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3171" documentId="13_ncr:1_{EDD54943-A1A0-4A42-9E44-4B1ED1E04208}" xr6:coauthVersionLast="47" xr6:coauthVersionMax="47" xr10:uidLastSave="{1F4326E1-DA73-4F16-8000-EABD4C84806A}"/>
  <bookViews>
    <workbookView xWindow="-19310" yWindow="-470" windowWidth="19420" windowHeight="10560" tabRatio="830" firstSheet="5" activeTab="7"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SeasonalityOffsets" sheetId="66" r:id="rId11"/>
    <sheet name="TV_Comprehensive" sheetId="86" r:id="rId12"/>
    <sheet name="TV_Merged" sheetId="96" r:id="rId13"/>
    <sheet name="Cadres_Comprehensive" sheetId="90" r:id="rId14"/>
    <sheet name="TV_Basic" sheetId="87" r:id="rId15"/>
    <sheet name="TaskValues_ref" sheetId="83" r:id="rId16"/>
    <sheet name="Cadres_Basic" sheetId="91" r:id="rId17"/>
    <sheet name="Cadres_Merged" sheetId="97" r:id="rId18"/>
    <sheet name="Staffing Models" sheetId="82" r:id="rId19"/>
    <sheet name="Fertility Mortality Rates" sheetId="103" r:id="rId20"/>
    <sheet name="RegionalData" sheetId="99" r:id="rId21"/>
    <sheet name="Work time" sheetId="47" r:id="rId22"/>
    <sheet name="AgeSpecific Fertility" sheetId="67" r:id="rId23"/>
    <sheet name="RuralUrban Mortality" sheetId="73" r:id="rId24"/>
    <sheet name="Age band mort calcs" sheetId="78" r:id="rId25"/>
    <sheet name="Data dictionary Scenarios" sheetId="63" r:id="rId26"/>
    <sheet name="Ratios" sheetId="71" r:id="rId27"/>
    <sheet name="Services summary" sheetId="25" r:id="rId28"/>
    <sheet name="Tasks_previous" sheetId="57" r:id="rId29"/>
    <sheet name="TaskValues" sheetId="95" r:id="rId30"/>
    <sheet name="Tasks_previous (2)" sheetId="85" r:id="rId31"/>
    <sheet name="lookups" sheetId="84" r:id="rId32"/>
    <sheet name="Prevalences" sheetId="31" r:id="rId33"/>
    <sheet name="DALYs " sheetId="62" r:id="rId34"/>
    <sheet name="CEA" sheetId="59" r:id="rId35"/>
    <sheet name="Ssn TB" sheetId="61" r:id="rId36"/>
    <sheet name="Ssn Births" sheetId="100" r:id="rId37"/>
    <sheet name="Ssn Diarrhea" sheetId="101" r:id="rId38"/>
    <sheet name="Ssn Malaria" sheetId="52" r:id="rId39"/>
    <sheet name="Ssn Nutr" sheetId="51" r:id="rId40"/>
    <sheet name="Ssn Measles" sheetId="50" r:id="rId41"/>
    <sheet name="Staffing" sheetId="21" r:id="rId42"/>
    <sheet name="Services ref" sheetId="22" r:id="rId43"/>
    <sheet name="Coverage impacts" sheetId="24" r:id="rId44"/>
    <sheet name="Demographics_Total" sheetId="26" r:id="rId45"/>
    <sheet name="Pop M" sheetId="18" r:id="rId46"/>
    <sheet name="Pop F" sheetId="19" r:id="rId47"/>
    <sheet name="TB Incidence" sheetId="41" r:id="rId48"/>
    <sheet name="Malaria Incid" sheetId="43" r:id="rId49"/>
    <sheet name="FP mod" sheetId="7" r:id="rId50"/>
    <sheet name="unmet need" sheetId="10" r:id="rId51"/>
    <sheet name="HIV Prev" sheetId="17" r:id="rId52"/>
    <sheet name="HIV Incid" sheetId="37" r:id="rId53"/>
    <sheet name="mort infant" sheetId="9" r:id="rId54"/>
    <sheet name="mort 1-5" sheetId="16" r:id="rId55"/>
    <sheet name="mort 5-9" sheetId="14" r:id="rId56"/>
    <sheet name="mort 10-14" sheetId="15" r:id="rId57"/>
    <sheet name="mort 15-19" sheetId="20" r:id="rId58"/>
    <sheet name="mort 20-24" sheetId="13" r:id="rId59"/>
    <sheet name="mort adult f" sheetId="11" r:id="rId60"/>
    <sheet name="mort adult m" sheetId="12" r:id="rId61"/>
    <sheet name="AggregateDALYs" sheetId="68" r:id="rId62"/>
  </sheets>
  <externalReferences>
    <externalReference r:id="rId63"/>
  </externalReferences>
  <definedNames>
    <definedName name="_xlnm._FilterDatabase" localSheetId="28" hidden="1">Tasks_previous!$A$1:$S$103</definedName>
    <definedName name="_xlnm._FilterDatabase" localSheetId="30" hidden="1">'Tasks_previous (2)'!$A$1:$E$21</definedName>
    <definedName name="_xlnm._FilterDatabase" localSheetId="15" hidden="1">TaskValues_ref!$A$1:$AA$225</definedName>
    <definedName name="_xlnm._FilterDatabase" localSheetId="12" hidden="1">TV_Merged!$A$1:$S$126</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84" i="103" l="1"/>
  <c r="L184" i="103"/>
  <c r="K185" i="103"/>
  <c r="L185" i="103"/>
  <c r="K176" i="103"/>
  <c r="L176" i="103"/>
  <c r="K177" i="103"/>
  <c r="L177" i="103"/>
  <c r="K178" i="103"/>
  <c r="L178" i="103"/>
  <c r="K179" i="103"/>
  <c r="L179" i="103"/>
  <c r="K180" i="103"/>
  <c r="L180" i="103"/>
  <c r="K181" i="103"/>
  <c r="L181" i="103"/>
  <c r="K182" i="103"/>
  <c r="L182" i="103"/>
  <c r="K183" i="103"/>
  <c r="L183" i="103"/>
  <c r="L175" i="103"/>
  <c r="K175" i="103"/>
  <c r="L174" i="103"/>
  <c r="K174" i="103"/>
  <c r="L173" i="103"/>
  <c r="K173" i="103"/>
  <c r="L172" i="103"/>
  <c r="K172" i="103"/>
  <c r="L171" i="103"/>
  <c r="K171" i="103"/>
  <c r="L170" i="103"/>
  <c r="K170" i="103"/>
  <c r="L169" i="103"/>
  <c r="K169" i="103"/>
  <c r="L168" i="103"/>
  <c r="K168" i="103"/>
  <c r="L167" i="103"/>
  <c r="K167" i="103"/>
  <c r="L166" i="103"/>
  <c r="K166" i="103"/>
  <c r="L165" i="103"/>
  <c r="K165" i="103"/>
  <c r="L164" i="103"/>
  <c r="K164" i="103"/>
  <c r="L154" i="103"/>
  <c r="L155" i="103"/>
  <c r="L156" i="103"/>
  <c r="L157" i="103"/>
  <c r="L158" i="103"/>
  <c r="L159" i="103"/>
  <c r="L160" i="103"/>
  <c r="L161" i="103"/>
  <c r="L162" i="103"/>
  <c r="L163" i="103"/>
  <c r="K154" i="103"/>
  <c r="K155" i="103"/>
  <c r="K156" i="103"/>
  <c r="K157" i="103"/>
  <c r="K158" i="103"/>
  <c r="K159" i="103"/>
  <c r="K160" i="103"/>
  <c r="K161" i="103"/>
  <c r="K162" i="103"/>
  <c r="K163" i="103"/>
  <c r="L152" i="103"/>
  <c r="L151" i="103"/>
  <c r="L150" i="103"/>
  <c r="L149" i="103"/>
  <c r="L148" i="103"/>
  <c r="L147" i="103"/>
  <c r="L146" i="103"/>
  <c r="L145" i="103"/>
  <c r="L144" i="103"/>
  <c r="L143" i="103"/>
  <c r="L142" i="103"/>
  <c r="L153" i="103"/>
  <c r="K142" i="103"/>
  <c r="K153" i="103"/>
  <c r="K152" i="103"/>
  <c r="K151" i="103"/>
  <c r="K150" i="103"/>
  <c r="K149" i="103"/>
  <c r="K148" i="103"/>
  <c r="K147" i="103"/>
  <c r="K146" i="103"/>
  <c r="K145" i="103"/>
  <c r="K144" i="103"/>
  <c r="K143" i="103"/>
  <c r="O321" i="99"/>
  <c r="O322" i="99"/>
  <c r="O323" i="99"/>
  <c r="O324" i="99"/>
  <c r="O325" i="99"/>
  <c r="O326" i="99"/>
  <c r="O327" i="99"/>
  <c r="O328" i="99"/>
  <c r="O329" i="99"/>
  <c r="O330" i="99"/>
  <c r="O331" i="99"/>
  <c r="O332" i="99"/>
  <c r="O333" i="99"/>
  <c r="O334" i="99"/>
  <c r="O335" i="99"/>
  <c r="O336" i="99"/>
  <c r="O337" i="99"/>
  <c r="O338" i="99"/>
  <c r="O339" i="99"/>
  <c r="O340" i="99"/>
  <c r="O341" i="99"/>
  <c r="O342" i="99"/>
  <c r="O343" i="99"/>
  <c r="O344" i="99"/>
  <c r="O345" i="99"/>
  <c r="O346" i="99"/>
  <c r="O347" i="99"/>
  <c r="O320"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O353" i="99"/>
  <c r="Q352" i="99"/>
  <c r="O352" i="99"/>
  <c r="C352" i="99"/>
  <c r="O351" i="99"/>
  <c r="Q350" i="99"/>
  <c r="O350" i="99"/>
  <c r="C350" i="99"/>
  <c r="O349" i="99"/>
  <c r="Q348" i="99"/>
  <c r="O348" i="99"/>
  <c r="C348" i="99"/>
  <c r="B24" i="78"/>
  <c r="B18" i="78"/>
  <c r="Q346" i="99"/>
  <c r="Q344" i="99"/>
  <c r="Q342" i="99"/>
  <c r="Q340" i="99"/>
  <c r="Q338" i="99"/>
  <c r="Q336" i="99"/>
  <c r="Q334" i="99"/>
  <c r="Q332" i="99"/>
  <c r="Q330" i="99"/>
  <c r="Q328" i="99"/>
  <c r="Q326" i="99"/>
  <c r="Q324" i="99"/>
  <c r="Q322" i="99"/>
  <c r="Q320" i="99"/>
  <c r="L120" i="103"/>
  <c r="O193" i="99"/>
  <c r="K120" i="103"/>
  <c r="O191" i="99"/>
  <c r="K119" i="103"/>
  <c r="Q191" i="99"/>
  <c r="L119" i="103"/>
  <c r="Q189" i="99"/>
  <c r="L118" i="103"/>
  <c r="O189" i="99"/>
  <c r="K118" i="103"/>
  <c r="O187" i="99"/>
  <c r="K117" i="103"/>
  <c r="Q187" i="99"/>
  <c r="L117" i="103"/>
  <c r="Q185" i="99"/>
  <c r="L116" i="103"/>
  <c r="O185" i="99"/>
  <c r="K116" i="103"/>
  <c r="O183" i="99"/>
  <c r="K115" i="103"/>
  <c r="Q183" i="99"/>
  <c r="L115" i="103"/>
  <c r="Q181" i="99"/>
  <c r="L114" i="103"/>
  <c r="O181" i="99"/>
  <c r="K114" i="103"/>
  <c r="L110" i="103"/>
  <c r="O179" i="99"/>
  <c r="K110" i="103"/>
  <c r="O177" i="99"/>
  <c r="K109" i="103"/>
  <c r="Q177" i="99"/>
  <c r="L109" i="103"/>
  <c r="Q175" i="99"/>
  <c r="L108" i="103"/>
  <c r="O175" i="99"/>
  <c r="K108" i="103"/>
  <c r="O173" i="99"/>
  <c r="K107" i="103"/>
  <c r="Q173" i="99"/>
  <c r="L107" i="103"/>
  <c r="Q171" i="99"/>
  <c r="L106" i="103"/>
  <c r="O171" i="99"/>
  <c r="K106" i="103"/>
  <c r="O169" i="99"/>
  <c r="K105" i="103"/>
  <c r="Q169" i="99"/>
  <c r="L105" i="103"/>
  <c r="Q167" i="99"/>
  <c r="L104" i="103"/>
  <c r="O167" i="99"/>
  <c r="K104" i="103"/>
  <c r="L100" i="103"/>
  <c r="O166" i="99"/>
  <c r="K100" i="103"/>
  <c r="O164" i="99"/>
  <c r="K99" i="103"/>
  <c r="Q164" i="99"/>
  <c r="L99" i="103"/>
  <c r="Q162" i="99"/>
  <c r="L98" i="103"/>
  <c r="O162" i="99"/>
  <c r="K98" i="103"/>
  <c r="O160" i="99"/>
  <c r="K97" i="103"/>
  <c r="Q160" i="99"/>
  <c r="L97" i="103"/>
  <c r="Q158" i="99"/>
  <c r="L96" i="103"/>
  <c r="O158" i="99"/>
  <c r="K96" i="103"/>
  <c r="O156" i="99"/>
  <c r="K95" i="103"/>
  <c r="Q156" i="99"/>
  <c r="L95" i="103"/>
  <c r="Q154" i="99"/>
  <c r="L94" i="103"/>
  <c r="O154" i="99"/>
  <c r="K94" i="103"/>
  <c r="Q153" i="99"/>
  <c r="L90" i="103"/>
  <c r="O153" i="99"/>
  <c r="K90" i="103"/>
  <c r="O151" i="99"/>
  <c r="K89" i="103"/>
  <c r="Q151" i="99"/>
  <c r="L89" i="103"/>
  <c r="Q149" i="99"/>
  <c r="L88" i="103"/>
  <c r="O149" i="99"/>
  <c r="K88" i="103"/>
  <c r="O147" i="99"/>
  <c r="K87" i="103"/>
  <c r="Q147" i="99"/>
  <c r="L87" i="103"/>
  <c r="Q145" i="99"/>
  <c r="L86" i="103"/>
  <c r="O145" i="99"/>
  <c r="K86" i="103"/>
  <c r="O143" i="99"/>
  <c r="K85" i="103"/>
  <c r="Q143" i="99"/>
  <c r="L85" i="103"/>
  <c r="Q141" i="99"/>
  <c r="L84" i="103"/>
  <c r="O141" i="99"/>
  <c r="K84" i="103"/>
  <c r="O139" i="99"/>
  <c r="K80" i="103"/>
  <c r="Q139" i="99"/>
  <c r="L80" i="103"/>
  <c r="Q137" i="99"/>
  <c r="L79" i="103"/>
  <c r="O137" i="99"/>
  <c r="K79" i="103"/>
  <c r="O135" i="99"/>
  <c r="K78" i="103"/>
  <c r="Q135" i="99"/>
  <c r="L78" i="103"/>
  <c r="Q133" i="99"/>
  <c r="L77" i="103"/>
  <c r="O133" i="99"/>
  <c r="K77" i="103"/>
  <c r="O131" i="99"/>
  <c r="K76" i="103"/>
  <c r="Q131" i="99"/>
  <c r="L76" i="103"/>
  <c r="Q129" i="99"/>
  <c r="L75" i="103"/>
  <c r="O129" i="99"/>
  <c r="K75" i="103"/>
  <c r="Q127" i="99"/>
  <c r="L74" i="103"/>
  <c r="O127" i="99"/>
  <c r="K74" i="103"/>
  <c r="O126" i="99"/>
  <c r="K70" i="103"/>
  <c r="L70" i="103"/>
  <c r="Q124" i="99"/>
  <c r="L69" i="103"/>
  <c r="O124" i="99"/>
  <c r="K69" i="103"/>
  <c r="O122" i="99"/>
  <c r="K68" i="103"/>
  <c r="Q122" i="99"/>
  <c r="L68" i="103"/>
  <c r="Q120" i="99"/>
  <c r="L67" i="103"/>
  <c r="O120" i="99"/>
  <c r="K67" i="103"/>
  <c r="O118" i="99"/>
  <c r="K66" i="103"/>
  <c r="Q118" i="99"/>
  <c r="L66" i="103"/>
  <c r="Q116" i="99"/>
  <c r="L65" i="103"/>
  <c r="O116" i="99"/>
  <c r="K65" i="103"/>
  <c r="Q114" i="99"/>
  <c r="L64" i="103"/>
  <c r="O114" i="99"/>
  <c r="K64" i="103"/>
  <c r="O113" i="99"/>
  <c r="K60" i="103"/>
  <c r="L60" i="103"/>
  <c r="Q111" i="99"/>
  <c r="L59" i="103"/>
  <c r="O111" i="99"/>
  <c r="K59" i="103"/>
  <c r="O109" i="99"/>
  <c r="K58" i="103"/>
  <c r="Q109" i="99"/>
  <c r="L58" i="103"/>
  <c r="Q107" i="99"/>
  <c r="L57" i="103"/>
  <c r="O107" i="99"/>
  <c r="K57" i="103"/>
  <c r="O105" i="99"/>
  <c r="K56" i="103"/>
  <c r="Q105" i="99"/>
  <c r="L56" i="103"/>
  <c r="Q103" i="99"/>
  <c r="L55" i="103"/>
  <c r="O103" i="99"/>
  <c r="K55" i="103"/>
  <c r="Q101" i="99"/>
  <c r="L54" i="103"/>
  <c r="O101" i="99"/>
  <c r="K54" i="103"/>
  <c r="O99" i="99"/>
  <c r="K50" i="103"/>
  <c r="Q99" i="99"/>
  <c r="L50" i="103"/>
  <c r="Q97" i="99"/>
  <c r="L49" i="103"/>
  <c r="O97" i="99"/>
  <c r="K49" i="103"/>
  <c r="O95" i="99"/>
  <c r="K48" i="103"/>
  <c r="Q95" i="99"/>
  <c r="L48" i="103"/>
  <c r="Q93" i="99"/>
  <c r="L47" i="103"/>
  <c r="O93" i="99"/>
  <c r="K47" i="103"/>
  <c r="O91" i="99"/>
  <c r="K46" i="103"/>
  <c r="O89" i="99"/>
  <c r="K45" i="103"/>
  <c r="Q91" i="99"/>
  <c r="L46" i="103"/>
  <c r="Q89" i="99"/>
  <c r="L45" i="103"/>
  <c r="Q87" i="99"/>
  <c r="L44" i="103"/>
  <c r="O87" i="99"/>
  <c r="K44" i="103"/>
  <c r="Q85" i="99"/>
  <c r="L40" i="103"/>
  <c r="O85" i="99"/>
  <c r="K40" i="103"/>
  <c r="O83" i="99"/>
  <c r="K39" i="103"/>
  <c r="Q83" i="99"/>
  <c r="L39" i="103"/>
  <c r="Q81" i="99"/>
  <c r="L38" i="103"/>
  <c r="O81" i="99"/>
  <c r="K38" i="103"/>
  <c r="O79" i="99"/>
  <c r="K37" i="103"/>
  <c r="Q79" i="99"/>
  <c r="L37" i="103"/>
  <c r="Q77" i="99"/>
  <c r="L36" i="103"/>
  <c r="O77" i="99"/>
  <c r="K36" i="103"/>
  <c r="O75" i="99"/>
  <c r="K35" i="103"/>
  <c r="Q75" i="99"/>
  <c r="L35" i="103"/>
  <c r="Q73" i="99"/>
  <c r="L34" i="103"/>
  <c r="O73" i="99"/>
  <c r="K34" i="103"/>
  <c r="O71" i="99"/>
  <c r="K30" i="103"/>
  <c r="Q71" i="99"/>
  <c r="L30" i="103"/>
  <c r="Q69" i="99"/>
  <c r="L29" i="103"/>
  <c r="O69" i="99"/>
  <c r="K29" i="103"/>
  <c r="Q67" i="99"/>
  <c r="L28" i="103"/>
  <c r="O67" i="99"/>
  <c r="K28" i="103"/>
  <c r="O65" i="99"/>
  <c r="K27" i="103"/>
  <c r="Q65" i="99"/>
  <c r="L27" i="103"/>
  <c r="Q63" i="99"/>
  <c r="L26" i="103"/>
  <c r="O63" i="99"/>
  <c r="K26" i="103"/>
  <c r="O61" i="99"/>
  <c r="K25" i="103"/>
  <c r="Q61" i="99"/>
  <c r="L25" i="103"/>
  <c r="Q59" i="99"/>
  <c r="L24" i="103"/>
  <c r="O59" i="99"/>
  <c r="K24" i="103"/>
  <c r="Q57" i="99"/>
  <c r="L20" i="103"/>
  <c r="O57" i="99"/>
  <c r="K20" i="103"/>
  <c r="Q55" i="99"/>
  <c r="L19" i="103"/>
  <c r="O55" i="99"/>
  <c r="K19" i="103"/>
  <c r="O53" i="99"/>
  <c r="K18" i="103"/>
  <c r="Q53" i="99"/>
  <c r="L18" i="103"/>
  <c r="Q51" i="99"/>
  <c r="L17" i="103"/>
  <c r="O51" i="99"/>
  <c r="K17" i="103"/>
  <c r="O49" i="99"/>
  <c r="K16" i="103"/>
  <c r="Q49" i="99"/>
  <c r="L16" i="103"/>
  <c r="Q47" i="99"/>
  <c r="L15" i="103"/>
  <c r="O47" i="99"/>
  <c r="K15" i="103"/>
  <c r="Q45" i="99"/>
  <c r="L14" i="103"/>
  <c r="O45" i="99"/>
  <c r="K14" i="103"/>
  <c r="Q15" i="99"/>
  <c r="L10" i="103"/>
  <c r="O15" i="99"/>
  <c r="K10" i="103"/>
  <c r="Q13" i="99"/>
  <c r="L9" i="103"/>
  <c r="O13" i="99"/>
  <c r="K9" i="103"/>
  <c r="Q11" i="99"/>
  <c r="L8" i="103"/>
  <c r="O11" i="99"/>
  <c r="K8" i="103"/>
  <c r="Q9" i="99"/>
  <c r="L7" i="103"/>
  <c r="O9" i="99"/>
  <c r="K7" i="103"/>
  <c r="Q7" i="99"/>
  <c r="L6" i="103"/>
  <c r="O7" i="99"/>
  <c r="K6" i="103"/>
  <c r="O5" i="99"/>
  <c r="K5" i="103"/>
  <c r="O3" i="99"/>
  <c r="K4" i="103"/>
  <c r="Q5" i="99"/>
  <c r="L5" i="103"/>
  <c r="Q3" i="99"/>
  <c r="L4" i="103"/>
  <c r="C2" i="98"/>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K128" i="103"/>
  <c r="L128" i="103"/>
  <c r="I129" i="103"/>
  <c r="K129" i="103"/>
  <c r="L129" i="103"/>
  <c r="I130" i="103"/>
  <c r="K130" i="103"/>
  <c r="L130" i="103"/>
  <c r="I131" i="103"/>
  <c r="K131" i="103"/>
  <c r="L131" i="103"/>
  <c r="I132" i="103"/>
  <c r="K132" i="103"/>
  <c r="L132" i="103"/>
  <c r="I133" i="103"/>
  <c r="K133" i="103"/>
  <c r="L133" i="103"/>
  <c r="I134" i="103"/>
  <c r="K134" i="103"/>
  <c r="L134" i="103"/>
  <c r="I135" i="103"/>
  <c r="K135" i="103"/>
  <c r="L135" i="103"/>
  <c r="I136" i="103"/>
  <c r="K136" i="103"/>
  <c r="L136" i="103"/>
  <c r="I137" i="103"/>
  <c r="K137" i="103"/>
  <c r="L137" i="103"/>
  <c r="I138" i="103"/>
  <c r="K138" i="103"/>
  <c r="L138" i="103"/>
  <c r="I139" i="103"/>
  <c r="K139" i="103"/>
  <c r="L139" i="103"/>
  <c r="I140" i="103"/>
  <c r="K140" i="103"/>
  <c r="L140" i="103"/>
  <c r="I141" i="103"/>
  <c r="K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H22" i="102"/>
  <c r="H23" i="102"/>
  <c r="H24" i="102"/>
  <c r="H25" i="102"/>
  <c r="H26" i="102"/>
  <c r="H27" i="102"/>
  <c r="H28" i="102"/>
  <c r="H29" i="102"/>
  <c r="H30" i="102"/>
  <c r="H31" i="102"/>
  <c r="G22" i="102"/>
  <c r="G23" i="102"/>
  <c r="G24" i="102"/>
  <c r="G25" i="102"/>
  <c r="G26" i="102"/>
  <c r="G27" i="102"/>
  <c r="G28" i="102"/>
  <c r="G29" i="102"/>
  <c r="G30" i="102"/>
  <c r="G31" i="102"/>
  <c r="H13" i="102"/>
  <c r="H14" i="102"/>
  <c r="H15" i="102"/>
  <c r="H16" i="102"/>
  <c r="H17" i="102"/>
  <c r="H18" i="102"/>
  <c r="H19" i="102"/>
  <c r="H20" i="102"/>
  <c r="H21" i="102"/>
  <c r="G13" i="102"/>
  <c r="G14" i="102"/>
  <c r="G15" i="102"/>
  <c r="G16" i="102"/>
  <c r="G17" i="102"/>
  <c r="G18" i="102"/>
  <c r="G19" i="102"/>
  <c r="G20" i="102"/>
  <c r="G21" i="102"/>
  <c r="H12" i="102"/>
  <c r="G12" i="102"/>
  <c r="H3" i="102"/>
  <c r="H4" i="102"/>
  <c r="H5" i="102"/>
  <c r="H6" i="102"/>
  <c r="H7" i="102"/>
  <c r="H8" i="102"/>
  <c r="H9" i="102"/>
  <c r="H10" i="102"/>
  <c r="H11" i="102"/>
  <c r="G3" i="102"/>
  <c r="G4" i="102"/>
  <c r="G5" i="102"/>
  <c r="G6" i="102"/>
  <c r="G7" i="102"/>
  <c r="G8" i="102"/>
  <c r="G9" i="102"/>
  <c r="G10" i="102"/>
  <c r="G11" i="102"/>
  <c r="G2" i="102"/>
  <c r="H2" i="102"/>
  <c r="F3" i="58"/>
  <c r="F4" i="58"/>
  <c r="F5" i="58"/>
  <c r="F6" i="58"/>
  <c r="F7" i="58"/>
  <c r="F8" i="58"/>
  <c r="F9" i="58"/>
  <c r="F10" i="58"/>
  <c r="F11" i="58"/>
  <c r="F12" i="58"/>
  <c r="F13" i="58"/>
  <c r="F2"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E3" i="58"/>
  <c r="E4" i="58"/>
  <c r="E5" i="58"/>
  <c r="E6" i="58"/>
  <c r="E7" i="58"/>
  <c r="E8" i="58"/>
  <c r="E9" i="58"/>
  <c r="E10" i="58"/>
  <c r="E11" i="58"/>
  <c r="E12" i="58"/>
  <c r="E13" i="58"/>
  <c r="E2" i="58"/>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C3" i="58"/>
  <c r="C4" i="58"/>
  <c r="C5" i="58"/>
  <c r="C6" i="58"/>
  <c r="C7" i="58"/>
  <c r="C8" i="58"/>
  <c r="C9" i="58"/>
  <c r="C10" i="58"/>
  <c r="C11" i="58"/>
  <c r="C12" i="58"/>
  <c r="C13" i="58"/>
  <c r="C2" i="58"/>
  <c r="AD3" i="51"/>
  <c r="AD4" i="51"/>
  <c r="AD5" i="51"/>
  <c r="AD6" i="51"/>
  <c r="AD7" i="51"/>
  <c r="AD8" i="51"/>
  <c r="AD9" i="51"/>
  <c r="AD10" i="51"/>
  <c r="AD11" i="51"/>
  <c r="AD12" i="51"/>
  <c r="AD13" i="51"/>
  <c r="AD2" i="51"/>
  <c r="B3" i="58"/>
  <c r="B4" i="58"/>
  <c r="B5" i="58"/>
  <c r="B6" i="58"/>
  <c r="B7" i="58"/>
  <c r="B8" i="58"/>
  <c r="B9" i="58"/>
  <c r="B10" i="58"/>
  <c r="B11" i="58"/>
  <c r="B12" i="58"/>
  <c r="B13" i="58"/>
  <c r="B2" i="58"/>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D3" i="58"/>
  <c r="D4" i="58"/>
  <c r="D5" i="58"/>
  <c r="D6" i="58"/>
  <c r="D7" i="58"/>
  <c r="D8" i="58"/>
  <c r="D9" i="58"/>
  <c r="D10" i="58"/>
  <c r="D11" i="58"/>
  <c r="D12" i="58"/>
  <c r="D13" i="58"/>
  <c r="D2" i="58"/>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O804" i="99"/>
  <c r="O805" i="99"/>
  <c r="O806" i="99"/>
  <c r="O807" i="99"/>
  <c r="O808" i="99"/>
  <c r="O809" i="99"/>
  <c r="O810" i="99"/>
  <c r="O811" i="99"/>
  <c r="O812" i="99"/>
  <c r="O813" i="99"/>
  <c r="O814" i="99"/>
  <c r="O803" i="99"/>
  <c r="O741" i="99"/>
  <c r="O742" i="99"/>
  <c r="O743" i="99"/>
  <c r="O744" i="99"/>
  <c r="O745" i="99"/>
  <c r="O746" i="99"/>
  <c r="O747" i="99"/>
  <c r="O748" i="99"/>
  <c r="O749" i="99"/>
  <c r="O750" i="99"/>
  <c r="O751" i="99"/>
  <c r="O752" i="99"/>
  <c r="O753" i="99"/>
  <c r="O754" i="99"/>
  <c r="O755" i="99"/>
  <c r="O756" i="99"/>
  <c r="O757" i="99"/>
  <c r="O758" i="99"/>
  <c r="O759" i="99"/>
  <c r="O760" i="99"/>
  <c r="O761" i="99"/>
  <c r="O762" i="99"/>
  <c r="O763" i="99"/>
  <c r="O764" i="99"/>
  <c r="O765" i="99"/>
  <c r="O766" i="99"/>
  <c r="O767" i="99"/>
  <c r="O768" i="99"/>
  <c r="O769" i="99"/>
  <c r="O770" i="99"/>
  <c r="O771" i="99"/>
  <c r="O772" i="99"/>
  <c r="O773" i="99"/>
  <c r="O774" i="99"/>
  <c r="O775" i="99"/>
  <c r="O776" i="99"/>
  <c r="O777" i="99"/>
  <c r="O778" i="99"/>
  <c r="O779" i="99"/>
  <c r="O780" i="99"/>
  <c r="O781" i="99"/>
  <c r="O782" i="99"/>
  <c r="O783" i="99"/>
  <c r="O784" i="99"/>
  <c r="O785" i="99"/>
  <c r="O786" i="99"/>
  <c r="O787" i="99"/>
  <c r="O788" i="99"/>
  <c r="O789" i="99"/>
  <c r="O790" i="99"/>
  <c r="O791" i="99"/>
  <c r="O792" i="99"/>
  <c r="O793" i="99"/>
  <c r="O794" i="99"/>
  <c r="O795" i="99"/>
  <c r="O796" i="99"/>
  <c r="O740" i="99"/>
  <c r="C194" i="99"/>
  <c r="C195" i="99"/>
  <c r="C196" i="99"/>
  <c r="C197" i="99"/>
  <c r="O4" i="99"/>
  <c r="O6" i="99"/>
  <c r="O8" i="99"/>
  <c r="O10" i="99"/>
  <c r="O12" i="99"/>
  <c r="O14"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6" i="99"/>
  <c r="O48" i="99"/>
  <c r="O50" i="99"/>
  <c r="O52" i="99"/>
  <c r="O54" i="99"/>
  <c r="O56" i="99"/>
  <c r="O58" i="99"/>
  <c r="O60" i="99"/>
  <c r="O62" i="99"/>
  <c r="O64" i="99"/>
  <c r="O66" i="99"/>
  <c r="O68" i="99"/>
  <c r="O70" i="99"/>
  <c r="O72" i="99"/>
  <c r="O74" i="99"/>
  <c r="O76" i="99"/>
  <c r="O78" i="99"/>
  <c r="O80" i="99"/>
  <c r="O82" i="99"/>
  <c r="O84" i="99"/>
  <c r="O86" i="99"/>
  <c r="O88" i="99"/>
  <c r="O90" i="99"/>
  <c r="O92" i="99"/>
  <c r="O94" i="99"/>
  <c r="O96" i="99"/>
  <c r="O98" i="99"/>
  <c r="O100" i="99"/>
  <c r="O102" i="99"/>
  <c r="O104" i="99"/>
  <c r="O106" i="99"/>
  <c r="O108" i="99"/>
  <c r="O110" i="99"/>
  <c r="O112" i="99"/>
  <c r="O115" i="99"/>
  <c r="O117" i="99"/>
  <c r="O119" i="99"/>
  <c r="O121" i="99"/>
  <c r="O123" i="99"/>
  <c r="O125" i="99"/>
  <c r="O128" i="99"/>
  <c r="O130" i="99"/>
  <c r="O132" i="99"/>
  <c r="O134" i="99"/>
  <c r="O136" i="99"/>
  <c r="O138" i="99"/>
  <c r="O140" i="99"/>
  <c r="O142" i="99"/>
  <c r="O144" i="99"/>
  <c r="O146" i="99"/>
  <c r="O148" i="99"/>
  <c r="O150" i="99"/>
  <c r="O152" i="99"/>
  <c r="O155" i="99"/>
  <c r="O157" i="99"/>
  <c r="O159" i="99"/>
  <c r="O161" i="99"/>
  <c r="O163" i="99"/>
  <c r="O165" i="99"/>
  <c r="O168" i="99"/>
  <c r="O170" i="99"/>
  <c r="O172" i="99"/>
  <c r="O174" i="99"/>
  <c r="O176" i="99"/>
  <c r="O178" i="99"/>
  <c r="O180" i="99"/>
  <c r="O182" i="99"/>
  <c r="O184" i="99"/>
  <c r="O186" i="99"/>
  <c r="O188" i="99"/>
  <c r="O190" i="99"/>
  <c r="O192" i="99"/>
  <c r="Q192"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I389" i="99"/>
  <c r="O389" i="99"/>
  <c r="C390" i="99"/>
  <c r="O390" i="99"/>
  <c r="C391" i="99"/>
  <c r="O391" i="99"/>
  <c r="Q391" i="99"/>
  <c r="O392" i="99"/>
  <c r="C393" i="99"/>
  <c r="O393" i="99"/>
  <c r="Q393" i="99"/>
  <c r="O394" i="99"/>
  <c r="C395" i="99"/>
  <c r="O395" i="99"/>
  <c r="Q395" i="99"/>
  <c r="O396" i="99"/>
  <c r="C397" i="99"/>
  <c r="O397" i="99"/>
  <c r="Q397" i="99"/>
  <c r="O398" i="99"/>
  <c r="C399" i="99"/>
  <c r="O399" i="99"/>
  <c r="Q399" i="99"/>
  <c r="O400" i="99"/>
  <c r="C401" i="99"/>
  <c r="O401" i="99"/>
  <c r="Q401" i="99"/>
  <c r="O402" i="99"/>
  <c r="C403" i="99"/>
  <c r="O403" i="99"/>
  <c r="Q403" i="99"/>
  <c r="O404" i="99"/>
  <c r="C405" i="99"/>
  <c r="O405" i="99"/>
  <c r="Q405" i="99"/>
  <c r="O406" i="99"/>
  <c r="C407" i="99"/>
  <c r="O407" i="99"/>
  <c r="Q407" i="99"/>
  <c r="O408" i="99"/>
  <c r="C409" i="99"/>
  <c r="O409" i="99"/>
  <c r="Q409" i="99"/>
  <c r="O410" i="99"/>
  <c r="C411" i="99"/>
  <c r="O411" i="99"/>
  <c r="Q411" i="99"/>
  <c r="O412" i="99"/>
  <c r="C413" i="99"/>
  <c r="O413" i="99"/>
  <c r="Q413" i="99"/>
  <c r="O414" i="99"/>
  <c r="C415" i="99"/>
  <c r="O415" i="99"/>
  <c r="Q415" i="99"/>
  <c r="O416" i="99"/>
  <c r="C417" i="99"/>
  <c r="O417" i="99"/>
  <c r="Q417"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C433"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2" i="99"/>
  <c r="O462" i="99"/>
  <c r="C463" i="99"/>
  <c r="O463" i="99"/>
  <c r="C464" i="99"/>
  <c r="O464" i="99"/>
  <c r="C465" i="99"/>
  <c r="O465" i="99"/>
  <c r="C466" i="99"/>
  <c r="O466" i="99"/>
  <c r="C467" i="99"/>
  <c r="O467" i="99"/>
  <c r="C468" i="99"/>
  <c r="O468" i="99"/>
  <c r="C469" i="99"/>
  <c r="O469" i="99"/>
  <c r="C470" i="99"/>
  <c r="O470" i="99"/>
  <c r="C471" i="99"/>
  <c r="O471" i="99"/>
  <c r="C472" i="99"/>
  <c r="O472" i="99"/>
  <c r="C473" i="99"/>
  <c r="O473" i="99"/>
  <c r="C474" i="99"/>
  <c r="O474" i="99"/>
  <c r="O475" i="99"/>
  <c r="C476" i="99"/>
  <c r="O476" i="99"/>
  <c r="C477" i="99"/>
  <c r="O477" i="99"/>
  <c r="C478" i="99"/>
  <c r="O478" i="99"/>
  <c r="C479" i="99"/>
  <c r="O479" i="99"/>
  <c r="C480" i="99"/>
  <c r="O480" i="99"/>
  <c r="C481" i="99"/>
  <c r="O481" i="99"/>
  <c r="C482" i="99"/>
  <c r="O482" i="99"/>
  <c r="C483" i="99"/>
  <c r="O483" i="99"/>
  <c r="C484" i="99"/>
  <c r="O484" i="99"/>
  <c r="C485" i="99"/>
  <c r="O485" i="99"/>
  <c r="C486" i="99"/>
  <c r="O486" i="99"/>
  <c r="C487" i="99"/>
  <c r="O487" i="99"/>
  <c r="C488" i="99"/>
  <c r="O488" i="99"/>
  <c r="C489" i="99"/>
  <c r="O489" i="99"/>
  <c r="C490" i="99"/>
  <c r="O490" i="99"/>
  <c r="C491" i="99"/>
  <c r="O491" i="99"/>
  <c r="C492" i="99"/>
  <c r="O492" i="99"/>
  <c r="C493" i="99"/>
  <c r="O493" i="99"/>
  <c r="C494" i="99"/>
  <c r="O494" i="99"/>
  <c r="C495" i="99"/>
  <c r="O495" i="99"/>
  <c r="C496" i="99"/>
  <c r="O496" i="99"/>
  <c r="C497" i="99"/>
  <c r="O497" i="99"/>
  <c r="C498" i="99"/>
  <c r="O498" i="99"/>
  <c r="C499" i="99"/>
  <c r="O499" i="99"/>
  <c r="C500" i="99"/>
  <c r="O500" i="99"/>
  <c r="C501" i="99"/>
  <c r="O501" i="99"/>
  <c r="C502" i="99"/>
  <c r="O502" i="99"/>
  <c r="C503" i="99"/>
  <c r="O503" i="99"/>
  <c r="C505" i="99"/>
  <c r="O505" i="99"/>
  <c r="C506" i="99"/>
  <c r="O506" i="99"/>
  <c r="C507" i="99"/>
  <c r="O507" i="99"/>
  <c r="C508" i="99"/>
  <c r="O508" i="99"/>
  <c r="C509" i="99"/>
  <c r="O509" i="99"/>
  <c r="C510" i="99"/>
  <c r="O510" i="99"/>
  <c r="C511" i="99"/>
  <c r="O511" i="99"/>
  <c r="C512" i="99"/>
  <c r="O512" i="99"/>
  <c r="Q513" i="99"/>
  <c r="Q515" i="99"/>
  <c r="Q517" i="99"/>
  <c r="Q519" i="99"/>
  <c r="Q521" i="99"/>
  <c r="Q523" i="99"/>
  <c r="Q525" i="99"/>
  <c r="Q527" i="99"/>
  <c r="Q529" i="99"/>
  <c r="Q531" i="99"/>
  <c r="Q533" i="99"/>
  <c r="Q535" i="99"/>
  <c r="Q537" i="99"/>
  <c r="Q539" i="99"/>
  <c r="C541" i="99"/>
  <c r="O541" i="99"/>
  <c r="Q541" i="99"/>
  <c r="O542" i="99"/>
  <c r="Q542" i="99"/>
  <c r="O543" i="99"/>
  <c r="C544" i="99"/>
  <c r="O544" i="99"/>
  <c r="Q544" i="99"/>
  <c r="O545" i="99"/>
  <c r="Q545" i="99"/>
  <c r="O546" i="99"/>
  <c r="C547" i="99"/>
  <c r="O547" i="99"/>
  <c r="Q547" i="99"/>
  <c r="O548" i="99"/>
  <c r="Q548" i="99"/>
  <c r="O549" i="99"/>
  <c r="C550" i="99"/>
  <c r="O550" i="99"/>
  <c r="Q550" i="99"/>
  <c r="O551" i="99"/>
  <c r="Q551" i="99"/>
  <c r="O552" i="99"/>
  <c r="C553" i="99"/>
  <c r="O553" i="99"/>
  <c r="Q553" i="99"/>
  <c r="O554" i="99"/>
  <c r="Q554" i="99"/>
  <c r="O555" i="99"/>
  <c r="C556" i="99"/>
  <c r="O556" i="99"/>
  <c r="Q556" i="99"/>
  <c r="O557" i="99"/>
  <c r="Q557" i="99"/>
  <c r="O558" i="99"/>
  <c r="C559" i="99"/>
  <c r="O559" i="99"/>
  <c r="Q559" i="99"/>
  <c r="O560" i="99"/>
  <c r="Q560" i="99"/>
  <c r="O561" i="99"/>
  <c r="C562" i="99"/>
  <c r="O562" i="99"/>
  <c r="Q562" i="99"/>
  <c r="O563" i="99"/>
  <c r="Q563" i="99"/>
  <c r="O564" i="99"/>
  <c r="C565" i="99"/>
  <c r="O565" i="99"/>
  <c r="Q565" i="99"/>
  <c r="O566" i="99"/>
  <c r="Q566" i="99"/>
  <c r="O567" i="99"/>
  <c r="C568" i="99"/>
  <c r="O568" i="99"/>
  <c r="Q568" i="99"/>
  <c r="O569" i="99"/>
  <c r="Q569" i="99"/>
  <c r="O570" i="99"/>
  <c r="C571" i="99"/>
  <c r="O571" i="99"/>
  <c r="Q571" i="99"/>
  <c r="O572" i="99"/>
  <c r="Q572" i="99"/>
  <c r="O573" i="99"/>
  <c r="C574" i="99"/>
  <c r="O574" i="99"/>
  <c r="Q574" i="99"/>
  <c r="O575" i="99"/>
  <c r="Q575" i="99"/>
  <c r="O576" i="99"/>
  <c r="C577" i="99"/>
  <c r="O577" i="99"/>
  <c r="Q577" i="99"/>
  <c r="O578" i="99"/>
  <c r="Q578" i="99"/>
  <c r="O579" i="99"/>
  <c r="C580" i="99"/>
  <c r="O580" i="99"/>
  <c r="Q580" i="99"/>
  <c r="O581" i="99"/>
  <c r="Q581" i="99"/>
  <c r="O582" i="99"/>
  <c r="C583" i="99"/>
  <c r="O583" i="99"/>
  <c r="C584" i="99"/>
  <c r="I584" i="99"/>
  <c r="O584" i="99"/>
  <c r="C585" i="99"/>
  <c r="I585" i="99"/>
  <c r="O585" i="99"/>
  <c r="C586" i="99"/>
  <c r="I586" i="99"/>
  <c r="O586" i="99"/>
  <c r="C587" i="99"/>
  <c r="I587" i="99"/>
  <c r="O587" i="99"/>
  <c r="C588" i="99"/>
  <c r="I588" i="99"/>
  <c r="O588" i="99"/>
  <c r="C589" i="99"/>
  <c r="I589" i="99"/>
  <c r="O589" i="99"/>
  <c r="C590" i="99"/>
  <c r="I590" i="99"/>
  <c r="O590" i="99"/>
  <c r="C591" i="99"/>
  <c r="I591" i="99"/>
  <c r="O591" i="99"/>
  <c r="C592" i="99"/>
  <c r="I592" i="99"/>
  <c r="O592" i="99"/>
  <c r="C593" i="99"/>
  <c r="I593" i="99"/>
  <c r="O593" i="99"/>
  <c r="C594" i="99"/>
  <c r="I594" i="99"/>
  <c r="O594" i="99"/>
  <c r="C595" i="99"/>
  <c r="I595" i="99"/>
  <c r="O595" i="99"/>
  <c r="C596" i="99"/>
  <c r="I596" i="99"/>
  <c r="O596" i="99"/>
  <c r="C597" i="99"/>
  <c r="O597" i="99"/>
  <c r="Q597" i="99"/>
  <c r="O598" i="99"/>
  <c r="Q598" i="99"/>
  <c r="O599" i="99"/>
  <c r="C600" i="99"/>
  <c r="O600" i="99"/>
  <c r="Q600" i="99"/>
  <c r="O601" i="99"/>
  <c r="Q601" i="99"/>
  <c r="O602" i="99"/>
  <c r="C603" i="99"/>
  <c r="O603" i="99"/>
  <c r="Q603" i="99"/>
  <c r="O604" i="99"/>
  <c r="Q604" i="99"/>
  <c r="O605" i="99"/>
  <c r="C606" i="99"/>
  <c r="O606" i="99"/>
  <c r="Q606" i="99"/>
  <c r="O607" i="99"/>
  <c r="Q607" i="99"/>
  <c r="O608" i="99"/>
  <c r="C609" i="99"/>
  <c r="O609" i="99"/>
  <c r="Q609" i="99"/>
  <c r="O610" i="99"/>
  <c r="Q610" i="99"/>
  <c r="O611" i="99"/>
  <c r="C612" i="99"/>
  <c r="O612" i="99"/>
  <c r="Q612" i="99"/>
  <c r="O613" i="99"/>
  <c r="Q613" i="99"/>
  <c r="O614" i="99"/>
  <c r="C615" i="99"/>
  <c r="O615" i="99"/>
  <c r="Q615" i="99"/>
  <c r="O616" i="99"/>
  <c r="Q616" i="99"/>
  <c r="O617" i="99"/>
  <c r="C618" i="99"/>
  <c r="O618" i="99"/>
  <c r="Q618" i="99"/>
  <c r="O619" i="99"/>
  <c r="Q619" i="99"/>
  <c r="O620" i="99"/>
  <c r="C621" i="99"/>
  <c r="O621" i="99"/>
  <c r="Q621" i="99"/>
  <c r="O622" i="99"/>
  <c r="Q622" i="99"/>
  <c r="O623" i="99"/>
  <c r="C624" i="99"/>
  <c r="O624" i="99"/>
  <c r="Q624" i="99"/>
  <c r="O625" i="99"/>
  <c r="Q625" i="99"/>
  <c r="O626" i="99"/>
  <c r="C627" i="99"/>
  <c r="O627" i="99"/>
  <c r="Q627" i="99"/>
  <c r="O628" i="99"/>
  <c r="Q628" i="99"/>
  <c r="O629" i="99"/>
  <c r="C630" i="99"/>
  <c r="O630" i="99"/>
  <c r="Q630" i="99"/>
  <c r="O631" i="99"/>
  <c r="Q631" i="99"/>
  <c r="O632" i="99"/>
  <c r="C633" i="99"/>
  <c r="O633" i="99"/>
  <c r="Q633" i="99"/>
  <c r="O634" i="99"/>
  <c r="Q634" i="99"/>
  <c r="O635" i="99"/>
  <c r="C636" i="99"/>
  <c r="O636" i="99"/>
  <c r="Q636" i="99"/>
  <c r="O637" i="99"/>
  <c r="Q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O654" i="99"/>
  <c r="C655"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O680" i="99"/>
  <c r="C681" i="99"/>
  <c r="O681" i="99"/>
  <c r="O682" i="99"/>
  <c r="C683" i="99"/>
  <c r="O683" i="99"/>
  <c r="O684" i="99"/>
  <c r="C685" i="99"/>
  <c r="O685" i="99"/>
  <c r="O686" i="99"/>
  <c r="C687" i="99"/>
  <c r="O687" i="99"/>
  <c r="O688" i="99"/>
  <c r="C689" i="99"/>
  <c r="O689" i="99"/>
  <c r="O690" i="99"/>
  <c r="C691" i="99"/>
  <c r="O691" i="99"/>
  <c r="O692" i="99"/>
  <c r="C693" i="99"/>
  <c r="O693" i="99"/>
  <c r="O694" i="99"/>
  <c r="C695" i="99"/>
  <c r="O695" i="99"/>
  <c r="C696" i="99"/>
  <c r="O696" i="99"/>
  <c r="O697" i="99"/>
  <c r="O698" i="99"/>
  <c r="C699" i="99"/>
  <c r="O699" i="99"/>
  <c r="O700" i="99"/>
  <c r="C701" i="99"/>
  <c r="O701" i="99"/>
  <c r="O702" i="99"/>
  <c r="C703" i="99"/>
  <c r="O703" i="99"/>
  <c r="O704" i="99"/>
  <c r="C705" i="99"/>
  <c r="O705" i="99"/>
  <c r="O706" i="99"/>
  <c r="C707" i="99"/>
  <c r="O707" i="99"/>
  <c r="O708" i="99"/>
  <c r="C709" i="99"/>
  <c r="O709" i="99"/>
  <c r="O710" i="99"/>
  <c r="C711" i="99"/>
  <c r="O711" i="99"/>
  <c r="O712" i="99"/>
  <c r="C713" i="99"/>
  <c r="O713" i="99"/>
  <c r="O714" i="99"/>
  <c r="C715" i="99"/>
  <c r="O715" i="99"/>
  <c r="O716" i="99"/>
  <c r="C717" i="99"/>
  <c r="O717" i="99"/>
  <c r="O718" i="99"/>
  <c r="C719" i="99"/>
  <c r="O719" i="99"/>
  <c r="O720" i="99"/>
  <c r="C721" i="99"/>
  <c r="O721" i="99"/>
  <c r="C722" i="99"/>
  <c r="O722" i="99"/>
  <c r="C723" i="99"/>
  <c r="O723" i="99"/>
  <c r="C724" i="99"/>
  <c r="O724" i="99"/>
  <c r="C725" i="99"/>
  <c r="O725" i="99"/>
  <c r="C726" i="99"/>
  <c r="O726" i="99"/>
  <c r="C727" i="99"/>
  <c r="O727" i="99"/>
  <c r="C728" i="99"/>
  <c r="O728" i="99"/>
  <c r="C729" i="99"/>
  <c r="O729" i="99"/>
  <c r="C730" i="99"/>
  <c r="O730" i="99"/>
  <c r="C731" i="99"/>
  <c r="O731" i="99"/>
  <c r="C732" i="99"/>
  <c r="O732" i="99"/>
  <c r="C733" i="99"/>
  <c r="O733" i="99"/>
  <c r="C734" i="99"/>
  <c r="O734" i="99"/>
  <c r="Q743" i="99"/>
  <c r="C748" i="99"/>
  <c r="Q748" i="99"/>
  <c r="C753" i="99"/>
  <c r="Q753" i="99"/>
  <c r="C758" i="99"/>
  <c r="Q758" i="99"/>
  <c r="C763" i="99"/>
  <c r="Q763" i="99"/>
  <c r="C768" i="99"/>
  <c r="Q768" i="99"/>
  <c r="C773" i="99"/>
  <c r="Q773" i="99"/>
  <c r="C778" i="99"/>
  <c r="Q778" i="99"/>
  <c r="C783" i="99"/>
  <c r="Q783" i="99"/>
  <c r="C788" i="99"/>
  <c r="Q788" i="99"/>
  <c r="C791" i="99"/>
  <c r="Q791" i="99"/>
  <c r="C796" i="99"/>
  <c r="Q796" i="99"/>
  <c r="Q800" i="99"/>
  <c r="C801" i="99"/>
  <c r="O801" i="99"/>
  <c r="C802" i="99"/>
  <c r="O802" i="99"/>
  <c r="C821" i="99"/>
  <c r="O821" i="99"/>
  <c r="C822" i="99"/>
  <c r="O822" i="99"/>
  <c r="C823" i="99"/>
  <c r="O823" i="99"/>
  <c r="C824" i="99"/>
  <c r="O824" i="99"/>
  <c r="C825" i="99"/>
  <c r="O825" i="99"/>
  <c r="C826" i="99"/>
  <c r="O826" i="99"/>
  <c r="C827" i="99"/>
  <c r="O827" i="99"/>
  <c r="C828" i="99"/>
  <c r="O828" i="99"/>
  <c r="C829" i="99"/>
  <c r="O829" i="99"/>
  <c r="C830" i="99"/>
  <c r="O830" i="99"/>
  <c r="C833" i="99"/>
  <c r="O833" i="99"/>
  <c r="C843" i="99"/>
  <c r="O843" i="99"/>
  <c r="Q843" i="99"/>
  <c r="O844" i="99"/>
  <c r="C845" i="99"/>
  <c r="O845" i="99"/>
  <c r="Q845" i="99"/>
  <c r="O846" i="99"/>
  <c r="C847" i="99"/>
  <c r="O847" i="99"/>
  <c r="Q847" i="99"/>
  <c r="O848" i="99"/>
  <c r="C849" i="99"/>
  <c r="O849" i="99"/>
  <c r="Q849" i="99"/>
  <c r="O850" i="99"/>
  <c r="C851" i="99"/>
  <c r="O851" i="99"/>
  <c r="Q851" i="99"/>
  <c r="O852" i="99"/>
  <c r="C853" i="99"/>
  <c r="O853" i="99"/>
  <c r="Q853" i="99"/>
  <c r="O854" i="99"/>
  <c r="C855" i="99"/>
  <c r="O855" i="99"/>
  <c r="Q855" i="99"/>
  <c r="O856" i="99"/>
  <c r="C857" i="99"/>
  <c r="O857" i="99"/>
  <c r="Q857" i="99"/>
  <c r="O858" i="99"/>
  <c r="C859" i="99"/>
  <c r="O859" i="99"/>
  <c r="Q859" i="99"/>
  <c r="O860" i="99"/>
  <c r="C861" i="99"/>
  <c r="O861" i="99"/>
  <c r="Q861" i="99"/>
  <c r="O862" i="99"/>
  <c r="C863" i="99"/>
  <c r="O863" i="99"/>
  <c r="Q863" i="99"/>
  <c r="O864" i="99"/>
  <c r="C865" i="99"/>
  <c r="O865" i="99"/>
  <c r="Q865" i="99"/>
  <c r="O866" i="99"/>
  <c r="C867" i="99"/>
  <c r="O867" i="99"/>
  <c r="Q867" i="99"/>
  <c r="O868" i="99"/>
  <c r="C869" i="99"/>
  <c r="O869" i="99"/>
  <c r="Q869" i="99"/>
  <c r="O870" i="99"/>
  <c r="C871" i="99"/>
  <c r="O871" i="99"/>
  <c r="C883" i="99"/>
  <c r="O883" i="99"/>
  <c r="C884" i="99"/>
  <c r="O884" i="99"/>
  <c r="C911" i="99"/>
  <c r="O911" i="99"/>
  <c r="C921" i="99"/>
  <c r="I921" i="99"/>
  <c r="O921" i="99"/>
  <c r="Q921" i="99"/>
  <c r="C922" i="99"/>
  <c r="O922" i="99"/>
  <c r="C923" i="99"/>
  <c r="O923" i="99"/>
  <c r="C924" i="99"/>
  <c r="O924" i="99"/>
  <c r="C925" i="99"/>
  <c r="O925" i="99"/>
  <c r="C926" i="99"/>
  <c r="O926" i="99"/>
  <c r="C927" i="99"/>
  <c r="O927" i="99"/>
  <c r="C928" i="99"/>
  <c r="O928" i="99"/>
  <c r="C929" i="99"/>
  <c r="O929" i="99"/>
  <c r="C930" i="99"/>
  <c r="O930" i="99"/>
  <c r="C931" i="99"/>
  <c r="O931" i="99"/>
  <c r="C932" i="99"/>
  <c r="O932" i="99"/>
  <c r="C933" i="99"/>
  <c r="O933" i="99"/>
  <c r="C934" i="99"/>
  <c r="O934" i="99"/>
  <c r="C935" i="99"/>
  <c r="O935" i="99"/>
  <c r="C936" i="99"/>
  <c r="O936" i="99"/>
  <c r="C937" i="99"/>
  <c r="O937" i="99"/>
  <c r="C938" i="99"/>
  <c r="O938" i="99"/>
  <c r="C939" i="99"/>
  <c r="O939" i="99"/>
  <c r="C940" i="99"/>
  <c r="O940" i="99"/>
  <c r="C941" i="99"/>
  <c r="O941" i="99"/>
  <c r="C942" i="99"/>
  <c r="O942" i="99"/>
  <c r="C943" i="99"/>
  <c r="O943" i="99"/>
  <c r="C944" i="99"/>
  <c r="O944" i="99"/>
  <c r="C945" i="99"/>
  <c r="O945" i="99"/>
  <c r="C946" i="99"/>
  <c r="O946" i="99"/>
  <c r="C947" i="99"/>
  <c r="O947" i="99"/>
  <c r="C948" i="99"/>
  <c r="O948" i="99"/>
  <c r="C949" i="99"/>
  <c r="O949" i="99"/>
  <c r="C950" i="99"/>
  <c r="O950" i="99"/>
  <c r="C951" i="99"/>
  <c r="O951" i="99"/>
  <c r="C952" i="99"/>
  <c r="O952" i="99"/>
  <c r="C953" i="99"/>
  <c r="O953" i="99"/>
  <c r="C954" i="99"/>
  <c r="O954" i="99"/>
  <c r="C955" i="99"/>
  <c r="O955" i="99"/>
  <c r="C956" i="99"/>
  <c r="O956" i="99"/>
  <c r="C957" i="99"/>
  <c r="O957" i="99"/>
  <c r="C958" i="99"/>
  <c r="O958" i="99"/>
  <c r="C959" i="99"/>
  <c r="O959" i="99"/>
  <c r="C960" i="99"/>
  <c r="O960" i="99"/>
  <c r="C961" i="99"/>
  <c r="O961" i="99"/>
  <c r="C962" i="99"/>
  <c r="O962" i="99"/>
  <c r="C963" i="99"/>
  <c r="I963" i="99"/>
  <c r="O963" i="99"/>
  <c r="C964" i="99"/>
  <c r="I964" i="99"/>
  <c r="O964" i="99"/>
  <c r="C965" i="99"/>
  <c r="I965" i="99"/>
  <c r="O965" i="99"/>
  <c r="C966" i="99"/>
  <c r="I966" i="99"/>
  <c r="O966" i="99"/>
  <c r="C967" i="99"/>
  <c r="I967" i="99"/>
  <c r="O967" i="99"/>
  <c r="C968" i="99"/>
  <c r="I968" i="99"/>
  <c r="O968" i="99"/>
  <c r="C969" i="99"/>
  <c r="I969" i="99"/>
  <c r="O969" i="99"/>
  <c r="C970" i="99"/>
  <c r="I970" i="99"/>
  <c r="O970" i="99"/>
  <c r="C971" i="99"/>
  <c r="I971" i="99"/>
  <c r="O971" i="99"/>
  <c r="C972" i="99"/>
  <c r="I972" i="99"/>
  <c r="O972" i="99"/>
  <c r="C973" i="99"/>
  <c r="I973" i="99"/>
  <c r="O973" i="99"/>
  <c r="C974" i="99"/>
  <c r="I974" i="99"/>
  <c r="O974" i="99"/>
  <c r="C975" i="99"/>
  <c r="O975" i="99"/>
  <c r="O132" i="83"/>
  <c r="O124" i="83"/>
  <c r="O120" i="83"/>
  <c r="O212" i="83"/>
  <c r="O206" i="83"/>
  <c r="O203" i="83"/>
  <c r="O200" i="83"/>
  <c r="O194" i="83"/>
  <c r="O188" i="83"/>
  <c r="O186" i="83"/>
  <c r="O170" i="83"/>
  <c r="O169" i="83"/>
  <c r="O168" i="83"/>
  <c r="O163" i="83"/>
  <c r="O157" i="83"/>
  <c r="O154" i="83"/>
  <c r="O153" i="83"/>
  <c r="O151" i="83"/>
  <c r="O150" i="83"/>
  <c r="O147" i="83"/>
  <c r="O144" i="83"/>
  <c r="O119" i="83"/>
  <c r="O114" i="83"/>
  <c r="O111" i="83"/>
  <c r="O110" i="83"/>
  <c r="O85" i="83"/>
  <c r="O84" i="83"/>
  <c r="O83" i="83"/>
  <c r="O81" i="83"/>
  <c r="O69" i="83"/>
  <c r="O70" i="83"/>
  <c r="O67" i="83"/>
  <c r="O59" i="83"/>
  <c r="O56" i="83"/>
  <c r="O53" i="83"/>
  <c r="O52" i="83"/>
  <c r="O51" i="83"/>
  <c r="O49" i="83"/>
  <c r="O44" i="83"/>
  <c r="O35" i="83"/>
  <c r="O34" i="83"/>
  <c r="O30" i="83"/>
  <c r="O28" i="83"/>
  <c r="O27" i="83"/>
  <c r="O23" i="83"/>
  <c r="O11" i="83"/>
  <c r="O10" i="83"/>
  <c r="O9" i="83"/>
  <c r="O6" i="83"/>
  <c r="O126" i="83"/>
  <c r="O122" i="83"/>
  <c r="O71" i="83"/>
  <c r="N214" i="83"/>
  <c r="N215" i="83"/>
  <c r="N216" i="83"/>
  <c r="N217" i="83"/>
  <c r="N218" i="83"/>
  <c r="N219" i="83"/>
  <c r="N220" i="83"/>
  <c r="N221" i="83"/>
  <c r="N222" i="83"/>
  <c r="N223" i="83"/>
  <c r="N224" i="83"/>
  <c r="N225" i="83"/>
  <c r="N213" i="83"/>
  <c r="N212" i="83"/>
  <c r="N200" i="83"/>
  <c r="N201" i="83"/>
  <c r="N202" i="83"/>
  <c r="N203" i="83"/>
  <c r="N204" i="83"/>
  <c r="N205" i="83"/>
  <c r="N206" i="83"/>
  <c r="N207" i="83"/>
  <c r="N208" i="83"/>
  <c r="N209" i="83"/>
  <c r="N210" i="83"/>
  <c r="N211" i="83"/>
  <c r="N196" i="83"/>
  <c r="N197" i="83"/>
  <c r="N198" i="83"/>
  <c r="N199" i="83"/>
  <c r="N195" i="83"/>
  <c r="N194" i="83"/>
  <c r="N172" i="83"/>
  <c r="N173" i="83"/>
  <c r="N174" i="83"/>
  <c r="N175" i="83"/>
  <c r="N176" i="83"/>
  <c r="N177" i="83"/>
  <c r="N178" i="83"/>
  <c r="N179" i="83"/>
  <c r="N180" i="83"/>
  <c r="N181" i="83"/>
  <c r="N182" i="83"/>
  <c r="N183" i="83"/>
  <c r="N184" i="83"/>
  <c r="N185" i="83"/>
  <c r="N186" i="83"/>
  <c r="N187" i="83"/>
  <c r="N188" i="83"/>
  <c r="N189" i="83"/>
  <c r="N190" i="83"/>
  <c r="N191" i="83"/>
  <c r="N192" i="83"/>
  <c r="N193" i="83"/>
  <c r="N171" i="83"/>
  <c r="N170" i="83"/>
  <c r="N169" i="83"/>
  <c r="N162" i="83"/>
  <c r="N163" i="83"/>
  <c r="N164" i="83"/>
  <c r="N165" i="83"/>
  <c r="N166" i="83"/>
  <c r="N167" i="83"/>
  <c r="N168" i="83"/>
  <c r="N148" i="83"/>
  <c r="N149" i="83"/>
  <c r="N150" i="83"/>
  <c r="N151" i="83"/>
  <c r="N152" i="83"/>
  <c r="N153" i="83"/>
  <c r="N154" i="83"/>
  <c r="N155" i="83"/>
  <c r="N156" i="83"/>
  <c r="N157" i="83"/>
  <c r="N158" i="83"/>
  <c r="N159" i="83"/>
  <c r="N160" i="83"/>
  <c r="N161" i="83"/>
  <c r="N129" i="83"/>
  <c r="N130" i="83"/>
  <c r="N131" i="83"/>
  <c r="N132" i="83"/>
  <c r="N133" i="83"/>
  <c r="N134" i="83"/>
  <c r="N135" i="83"/>
  <c r="N136" i="83"/>
  <c r="N137" i="83"/>
  <c r="N138" i="83"/>
  <c r="N139" i="83"/>
  <c r="N140" i="83"/>
  <c r="N141" i="83"/>
  <c r="N142" i="83"/>
  <c r="N143" i="83"/>
  <c r="N144" i="83"/>
  <c r="N145" i="83"/>
  <c r="N146" i="83"/>
  <c r="N147" i="83"/>
  <c r="N128" i="83"/>
  <c r="N127" i="83"/>
  <c r="N123" i="83"/>
  <c r="N124" i="83"/>
  <c r="N126" i="83"/>
  <c r="N122" i="83"/>
  <c r="N120" i="83"/>
  <c r="N125" i="83"/>
  <c r="N121" i="83"/>
  <c r="N105" i="83"/>
  <c r="N106" i="83"/>
  <c r="N107" i="83"/>
  <c r="N108" i="83"/>
  <c r="N109" i="83"/>
  <c r="N110" i="83"/>
  <c r="N111" i="83"/>
  <c r="N112" i="83"/>
  <c r="N113" i="83"/>
  <c r="N114" i="83"/>
  <c r="N115" i="83"/>
  <c r="N116" i="83"/>
  <c r="N117" i="83"/>
  <c r="N118" i="83"/>
  <c r="N119" i="83"/>
  <c r="N87" i="83"/>
  <c r="N88" i="83"/>
  <c r="N89" i="83"/>
  <c r="N90" i="83"/>
  <c r="N91" i="83"/>
  <c r="N92" i="83"/>
  <c r="N93" i="83"/>
  <c r="N94" i="83"/>
  <c r="N95" i="83"/>
  <c r="N96" i="83"/>
  <c r="N97" i="83"/>
  <c r="N98" i="83"/>
  <c r="N99" i="83"/>
  <c r="N100" i="83"/>
  <c r="N101" i="83"/>
  <c r="N102" i="83"/>
  <c r="N103" i="83"/>
  <c r="N104" i="83"/>
  <c r="N86" i="83"/>
  <c r="N82" i="83"/>
  <c r="N84" i="83"/>
  <c r="N85" i="83"/>
  <c r="N83" i="83"/>
  <c r="N81" i="83"/>
  <c r="N66" i="83"/>
  <c r="N67" i="83"/>
  <c r="N68" i="83"/>
  <c r="N69" i="83"/>
  <c r="N70" i="83"/>
  <c r="N71" i="83"/>
  <c r="N72" i="83"/>
  <c r="N73" i="83"/>
  <c r="N74" i="83"/>
  <c r="N75" i="83"/>
  <c r="N76" i="83"/>
  <c r="N77" i="83"/>
  <c r="N78" i="83"/>
  <c r="N79" i="83"/>
  <c r="N80" i="83"/>
  <c r="N56" i="83"/>
  <c r="N57" i="83"/>
  <c r="N58" i="83"/>
  <c r="N59" i="83"/>
  <c r="N60" i="83"/>
  <c r="N61" i="83"/>
  <c r="N62" i="83"/>
  <c r="N63" i="83"/>
  <c r="N64" i="83"/>
  <c r="N65" i="83"/>
  <c r="N55" i="83"/>
  <c r="N50" i="83"/>
  <c r="N51" i="83"/>
  <c r="N52" i="83"/>
  <c r="N53" i="83"/>
  <c r="N54" i="83"/>
  <c r="N45" i="83"/>
  <c r="N46" i="83"/>
  <c r="N47" i="83"/>
  <c r="N48" i="83"/>
  <c r="N44" i="83"/>
  <c r="N49" i="83"/>
  <c r="N43" i="83"/>
  <c r="N30" i="83"/>
  <c r="N31" i="83"/>
  <c r="N32" i="83"/>
  <c r="N33" i="83"/>
  <c r="N34" i="83"/>
  <c r="N35" i="83"/>
  <c r="N36" i="83"/>
  <c r="N37" i="83"/>
  <c r="N38" i="83"/>
  <c r="N39" i="83"/>
  <c r="N40" i="83"/>
  <c r="N41" i="83"/>
  <c r="N42" i="83"/>
  <c r="N29" i="83"/>
  <c r="N28" i="83"/>
  <c r="N27" i="83"/>
  <c r="N24" i="83"/>
  <c r="N25" i="83"/>
  <c r="N26" i="83"/>
  <c r="N23" i="83"/>
  <c r="N22" i="83"/>
  <c r="N21" i="83"/>
  <c r="N11" i="83"/>
  <c r="N12" i="83"/>
  <c r="N13" i="83"/>
  <c r="N14" i="83"/>
  <c r="N15" i="83"/>
  <c r="N16" i="83"/>
  <c r="N17" i="83"/>
  <c r="N18" i="83"/>
  <c r="N19" i="83"/>
  <c r="N20" i="83"/>
  <c r="N10" i="83"/>
  <c r="N9" i="83"/>
  <c r="N3" i="83"/>
  <c r="N4" i="83"/>
  <c r="N5" i="83"/>
  <c r="N6" i="83"/>
  <c r="N7" i="83"/>
  <c r="N8" i="83"/>
  <c r="N2" i="83"/>
  <c r="O117" i="83"/>
  <c r="O218" i="83"/>
  <c r="P2" i="53"/>
  <c r="P3" i="53"/>
  <c r="P4" i="53"/>
  <c r="E16" i="83"/>
  <c r="E17" i="83"/>
  <c r="E18" i="83"/>
  <c r="E19" i="83"/>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Q149" i="83"/>
  <c r="Q146" i="83"/>
  <c r="B17" i="56"/>
  <c r="V9" i="83"/>
  <c r="O12" i="83"/>
  <c r="S12" i="83"/>
  <c r="O22" i="83"/>
  <c r="E25" i="83"/>
  <c r="K26" i="83"/>
  <c r="L26" i="83"/>
  <c r="M26" i="83"/>
  <c r="E27" i="83"/>
  <c r="E28" i="83"/>
  <c r="E29" i="83"/>
  <c r="E30" i="83"/>
  <c r="S30" i="83"/>
  <c r="E31" i="83"/>
  <c r="E34" i="83"/>
  <c r="E35" i="83"/>
  <c r="E36" i="83"/>
  <c r="E52" i="83"/>
  <c r="E53" i="83"/>
  <c r="Q53" i="83"/>
  <c r="E54" i="83"/>
  <c r="O54" i="83"/>
  <c r="Q54" i="83"/>
  <c r="E55" i="83"/>
  <c r="E56" i="83"/>
  <c r="E57" i="83"/>
  <c r="O57" i="83"/>
  <c r="E58" i="83"/>
  <c r="E59" i="83"/>
  <c r="U59" i="83"/>
  <c r="E60" i="83"/>
  <c r="E61" i="83"/>
  <c r="E62" i="83"/>
  <c r="E63" i="83"/>
  <c r="E64" i="83"/>
  <c r="E65" i="83"/>
  <c r="E66" i="83"/>
  <c r="E67" i="83"/>
  <c r="E68" i="83"/>
  <c r="O68" i="83"/>
  <c r="S68" i="83"/>
  <c r="E69" i="83"/>
  <c r="S69" i="83"/>
  <c r="E70" i="83"/>
  <c r="S70" i="83"/>
  <c r="E71" i="83"/>
  <c r="S71" i="83"/>
  <c r="E72" i="83"/>
  <c r="E73" i="83"/>
  <c r="E74" i="83"/>
  <c r="E75" i="83"/>
  <c r="U75" i="83"/>
  <c r="E77" i="83"/>
  <c r="E78" i="83"/>
  <c r="E79" i="83"/>
  <c r="E80" i="83"/>
  <c r="E81" i="83"/>
  <c r="E83" i="83"/>
  <c r="S83" i="83"/>
  <c r="S84"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S111" i="83"/>
  <c r="E112" i="83"/>
  <c r="E113" i="83"/>
  <c r="O113" i="83"/>
  <c r="S114" i="83"/>
  <c r="S113" i="83"/>
  <c r="E114" i="83"/>
  <c r="E115" i="83"/>
  <c r="S115" i="83"/>
  <c r="V115" i="83"/>
  <c r="E116" i="83"/>
  <c r="S116" i="83"/>
  <c r="V116" i="83"/>
  <c r="E117" i="83"/>
  <c r="S117" i="83"/>
  <c r="E118" i="83"/>
  <c r="S118" i="83"/>
  <c r="E119" i="83"/>
  <c r="S119" i="83"/>
  <c r="E120" i="83"/>
  <c r="S122" i="83"/>
  <c r="O123" i="83"/>
  <c r="S123" i="83"/>
  <c r="S126" i="83"/>
  <c r="O127" i="83"/>
  <c r="S127" i="83"/>
  <c r="E128" i="83"/>
  <c r="E129" i="83"/>
  <c r="E130" i="83"/>
  <c r="Q132" i="83"/>
  <c r="S132" i="83"/>
  <c r="O133" i="83"/>
  <c r="S133" i="83"/>
  <c r="E134" i="83"/>
  <c r="O134" i="83"/>
  <c r="S134" i="83"/>
  <c r="T134" i="83"/>
  <c r="E135" i="83"/>
  <c r="E140" i="83"/>
  <c r="E141" i="83"/>
  <c r="Q141" i="83"/>
  <c r="E142" i="83"/>
  <c r="E143" i="83"/>
  <c r="E144" i="83"/>
  <c r="E145" i="83"/>
  <c r="E146" i="83"/>
  <c r="E147" i="83"/>
  <c r="E148" i="83"/>
  <c r="E149" i="83"/>
  <c r="E150" i="83"/>
  <c r="E151" i="83"/>
  <c r="E152" i="83"/>
  <c r="E153" i="83"/>
  <c r="E154" i="83"/>
  <c r="S154" i="83"/>
  <c r="D158" i="83"/>
  <c r="E158" i="83"/>
  <c r="D159" i="83"/>
  <c r="E159" i="83"/>
  <c r="D160" i="83"/>
  <c r="E160" i="83"/>
  <c r="D161" i="83"/>
  <c r="E161" i="83"/>
  <c r="D162" i="83"/>
  <c r="E162" i="83"/>
  <c r="E163" i="83"/>
  <c r="S163" i="83"/>
  <c r="D164" i="83"/>
  <c r="E164" i="83"/>
  <c r="D165" i="83"/>
  <c r="E165" i="83"/>
  <c r="D166" i="83"/>
  <c r="E166" i="83"/>
  <c r="O166" i="83"/>
  <c r="D167" i="83"/>
  <c r="E167" i="83"/>
  <c r="D168" i="83"/>
  <c r="E168" i="83"/>
  <c r="E181" i="83"/>
  <c r="U181" i="83"/>
  <c r="D186" i="83"/>
  <c r="E186" i="83"/>
  <c r="D187" i="83"/>
  <c r="E187" i="83"/>
  <c r="D188" i="83"/>
  <c r="E188" i="83"/>
  <c r="D189" i="83"/>
  <c r="E189" i="83"/>
  <c r="D190" i="83"/>
  <c r="E190" i="83"/>
  <c r="D191" i="83"/>
  <c r="E191" i="83"/>
  <c r="D192" i="83"/>
  <c r="E192" i="83"/>
  <c r="D193" i="83"/>
  <c r="E193" i="83"/>
  <c r="D194" i="83"/>
  <c r="E194" i="83"/>
  <c r="D195" i="83"/>
  <c r="E195" i="83"/>
  <c r="S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V215" i="83"/>
  <c r="V216" i="83"/>
  <c r="P218" i="83"/>
  <c r="Q218" i="83"/>
  <c r="R218" i="83"/>
  <c r="S218" i="83"/>
  <c r="T218" i="83"/>
  <c r="U218" i="83"/>
  <c r="V218" i="83"/>
  <c r="W218" i="83"/>
  <c r="X218" i="83"/>
  <c r="Y218" i="83"/>
  <c r="Z218" i="83"/>
  <c r="O219" i="83"/>
  <c r="P219" i="83"/>
  <c r="Q219" i="83"/>
  <c r="R219" i="83"/>
  <c r="S219" i="83"/>
  <c r="T219" i="83"/>
  <c r="U219" i="83"/>
  <c r="V219" i="83"/>
  <c r="W219" i="83"/>
  <c r="X219" i="83"/>
  <c r="Y219" i="83"/>
  <c r="Z219" i="83"/>
  <c r="W220" i="83"/>
  <c r="W221" i="83"/>
  <c r="W222" i="83"/>
  <c r="W223" i="83"/>
  <c r="W224" i="83"/>
  <c r="W225" i="83"/>
  <c r="J106" i="96"/>
  <c r="J105" i="96"/>
  <c r="G166" i="87"/>
  <c r="H166" i="87"/>
  <c r="I166" i="87"/>
  <c r="J166" i="87"/>
  <c r="K166" i="87"/>
  <c r="L166" i="87"/>
  <c r="M166" i="87"/>
  <c r="N166" i="87"/>
  <c r="O166" i="87"/>
  <c r="P166" i="87"/>
  <c r="Q166" i="87"/>
  <c r="R166" i="87"/>
  <c r="S166" i="87"/>
  <c r="G167" i="87"/>
  <c r="H167" i="87"/>
  <c r="I167" i="87"/>
  <c r="J167" i="87"/>
  <c r="K167" i="87"/>
  <c r="L167" i="87"/>
  <c r="M167" i="87"/>
  <c r="N167" i="87"/>
  <c r="O167" i="87"/>
  <c r="P167" i="87"/>
  <c r="Q167" i="87"/>
  <c r="R167" i="87"/>
  <c r="S167" i="87"/>
  <c r="G168" i="87"/>
  <c r="H168" i="87"/>
  <c r="I168" i="87"/>
  <c r="J168" i="87"/>
  <c r="K168" i="87"/>
  <c r="L168" i="87"/>
  <c r="M168" i="87"/>
  <c r="N168" i="87"/>
  <c r="O168" i="87"/>
  <c r="P168" i="87"/>
  <c r="Q168" i="87"/>
  <c r="R168" i="87"/>
  <c r="S168" i="87"/>
  <c r="G169" i="87"/>
  <c r="H169" i="87"/>
  <c r="I169" i="87"/>
  <c r="J169" i="87"/>
  <c r="K169" i="87"/>
  <c r="L169" i="87"/>
  <c r="M169" i="87"/>
  <c r="N169" i="87"/>
  <c r="O169" i="87"/>
  <c r="P169" i="87"/>
  <c r="Q169" i="87"/>
  <c r="R169" i="87"/>
  <c r="S169" i="87"/>
  <c r="AE63" i="47"/>
  <c r="AE65" i="47"/>
  <c r="AD55" i="47"/>
  <c r="G156" i="91"/>
  <c r="F156" i="91"/>
  <c r="U176" i="90"/>
  <c r="W176" i="90"/>
  <c r="V176" i="90"/>
  <c r="T176" i="90"/>
  <c r="S176" i="90"/>
  <c r="P176" i="90"/>
  <c r="O176" i="90"/>
  <c r="N176" i="90"/>
  <c r="M176" i="90"/>
  <c r="L176" i="90"/>
  <c r="K176" i="90"/>
  <c r="T159" i="91"/>
  <c r="T160" i="91"/>
  <c r="T161" i="91"/>
  <c r="T162" i="91"/>
  <c r="O159" i="91"/>
  <c r="O160" i="91"/>
  <c r="O161" i="91"/>
  <c r="O162" i="91"/>
  <c r="I159" i="91"/>
  <c r="I160" i="91"/>
  <c r="I161" i="91"/>
  <c r="E159" i="91"/>
  <c r="E160" i="91"/>
  <c r="O125" i="97"/>
  <c r="O126" i="97"/>
  <c r="L125" i="97"/>
  <c r="L126" i="97"/>
  <c r="H125" i="97"/>
  <c r="H126" i="97"/>
  <c r="E125" i="97"/>
  <c r="E126" i="97"/>
  <c r="Y179" i="90"/>
  <c r="Y180" i="90"/>
  <c r="Y181" i="90"/>
  <c r="Y182" i="90"/>
  <c r="Y183" i="90"/>
  <c r="Y184" i="90"/>
  <c r="R184" i="90"/>
  <c r="R183" i="90"/>
  <c r="R182" i="90"/>
  <c r="R181" i="90"/>
  <c r="R180" i="90"/>
  <c r="R179" i="90"/>
  <c r="J182" i="90"/>
  <c r="J181" i="90"/>
  <c r="J180" i="90"/>
  <c r="J179" i="90"/>
  <c r="E179" i="90"/>
  <c r="E180" i="90"/>
  <c r="S126" i="96"/>
  <c r="R126" i="96"/>
  <c r="Q126" i="96"/>
  <c r="P126" i="96"/>
  <c r="O126" i="96"/>
  <c r="N126" i="96"/>
  <c r="M126" i="96"/>
  <c r="L126" i="96"/>
  <c r="K126" i="96"/>
  <c r="J126" i="96"/>
  <c r="I126" i="96"/>
  <c r="H126" i="96"/>
  <c r="G126" i="96"/>
  <c r="S125" i="96"/>
  <c r="R125" i="96"/>
  <c r="Q125" i="96"/>
  <c r="P125" i="96"/>
  <c r="O125" i="96"/>
  <c r="N125" i="96"/>
  <c r="M125" i="96"/>
  <c r="L125" i="96"/>
  <c r="K125" i="96"/>
  <c r="J125" i="96"/>
  <c r="I125" i="96"/>
  <c r="H125" i="96"/>
  <c r="G125" i="96"/>
  <c r="S165" i="87"/>
  <c r="R165" i="87"/>
  <c r="Q165" i="87"/>
  <c r="P165" i="87"/>
  <c r="O165" i="87"/>
  <c r="N165" i="87"/>
  <c r="M165" i="87"/>
  <c r="L165" i="87"/>
  <c r="K165" i="87"/>
  <c r="J165" i="87"/>
  <c r="I165" i="87"/>
  <c r="H165" i="87"/>
  <c r="G165" i="87"/>
  <c r="S164" i="87"/>
  <c r="R164" i="87"/>
  <c r="Q164" i="87"/>
  <c r="P164" i="87"/>
  <c r="O164" i="87"/>
  <c r="N164" i="87"/>
  <c r="M164" i="87"/>
  <c r="L164" i="87"/>
  <c r="K164" i="87"/>
  <c r="J164" i="87"/>
  <c r="I164" i="87"/>
  <c r="H164" i="87"/>
  <c r="G164" i="87"/>
  <c r="S185" i="86"/>
  <c r="R185" i="86"/>
  <c r="Q185" i="86"/>
  <c r="P185" i="86"/>
  <c r="O185" i="86"/>
  <c r="N185" i="86"/>
  <c r="M185" i="86"/>
  <c r="L185" i="86"/>
  <c r="K185" i="86"/>
  <c r="J185" i="86"/>
  <c r="I185" i="86"/>
  <c r="H185" i="86"/>
  <c r="G185" i="86"/>
  <c r="S184" i="86"/>
  <c r="R184" i="86"/>
  <c r="Q184" i="86"/>
  <c r="P184" i="86"/>
  <c r="O184" i="86"/>
  <c r="N184" i="86"/>
  <c r="M184" i="86"/>
  <c r="L184" i="86"/>
  <c r="K184" i="86"/>
  <c r="J184" i="86"/>
  <c r="I184" i="86"/>
  <c r="H184" i="86"/>
  <c r="G184" i="86"/>
  <c r="S183" i="86"/>
  <c r="R183" i="86"/>
  <c r="Q183" i="86"/>
  <c r="P183" i="86"/>
  <c r="O183" i="86"/>
  <c r="N183" i="86"/>
  <c r="M183" i="86"/>
  <c r="L183" i="86"/>
  <c r="K183" i="86"/>
  <c r="J183" i="86"/>
  <c r="I183" i="86"/>
  <c r="H183" i="86"/>
  <c r="G183" i="86"/>
  <c r="S182" i="86"/>
  <c r="R182" i="86"/>
  <c r="Q182" i="86"/>
  <c r="P182" i="86"/>
  <c r="O182" i="86"/>
  <c r="N182" i="86"/>
  <c r="M182" i="86"/>
  <c r="L182" i="86"/>
  <c r="K182" i="86"/>
  <c r="J182" i="86"/>
  <c r="I182" i="86"/>
  <c r="H182" i="86"/>
  <c r="G182" i="86"/>
  <c r="S181" i="86"/>
  <c r="R181" i="86"/>
  <c r="Q181" i="86"/>
  <c r="P181" i="86"/>
  <c r="O181" i="86"/>
  <c r="N181" i="86"/>
  <c r="M181" i="86"/>
  <c r="L181" i="86"/>
  <c r="K181" i="86"/>
  <c r="J181" i="86"/>
  <c r="I181" i="86"/>
  <c r="H181" i="86"/>
  <c r="G181" i="86"/>
  <c r="S180" i="86"/>
  <c r="R180" i="86"/>
  <c r="Q180" i="86"/>
  <c r="P180" i="86"/>
  <c r="O180" i="86"/>
  <c r="N180" i="86"/>
  <c r="M180" i="86"/>
  <c r="L180" i="86"/>
  <c r="K180" i="86"/>
  <c r="J180" i="86"/>
  <c r="I180" i="86"/>
  <c r="H180" i="86"/>
  <c r="G180"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4" i="97"/>
  <c r="L124" i="97"/>
  <c r="H124" i="97"/>
  <c r="E124" i="97"/>
  <c r="O123" i="97"/>
  <c r="L123" i="97"/>
  <c r="H123" i="97"/>
  <c r="E123" i="97"/>
  <c r="M158" i="91"/>
  <c r="T158" i="91"/>
  <c r="O158" i="91"/>
  <c r="I158" i="91"/>
  <c r="E158" i="91"/>
  <c r="M157" i="91"/>
  <c r="R157" i="91"/>
  <c r="T157" i="91"/>
  <c r="O157" i="91"/>
  <c r="I157" i="91"/>
  <c r="E157" i="91"/>
  <c r="Y178" i="90"/>
  <c r="Y177" i="90"/>
  <c r="R177" i="90"/>
  <c r="R178" i="90"/>
  <c r="J178" i="90"/>
  <c r="J177" i="90"/>
  <c r="E178" i="90"/>
  <c r="E177" i="90"/>
  <c r="S124" i="96"/>
  <c r="R124" i="96"/>
  <c r="Q124" i="96"/>
  <c r="P124" i="96"/>
  <c r="O124" i="96"/>
  <c r="N124" i="96"/>
  <c r="M124" i="96"/>
  <c r="L124" i="96"/>
  <c r="K124" i="96"/>
  <c r="J124" i="96"/>
  <c r="I124" i="96"/>
  <c r="H124" i="96"/>
  <c r="G124" i="96"/>
  <c r="F124" i="96"/>
  <c r="S123" i="96"/>
  <c r="R123" i="96"/>
  <c r="Q123" i="96"/>
  <c r="P123" i="96"/>
  <c r="O123" i="96"/>
  <c r="N123" i="96"/>
  <c r="M123" i="96"/>
  <c r="L123" i="96"/>
  <c r="K123" i="96"/>
  <c r="J123" i="96"/>
  <c r="I123" i="96"/>
  <c r="H123" i="96"/>
  <c r="G123" i="96"/>
  <c r="F123" i="96"/>
  <c r="S163" i="87"/>
  <c r="R163" i="87"/>
  <c r="Q163" i="87"/>
  <c r="P163" i="87"/>
  <c r="O163" i="87"/>
  <c r="N163" i="87"/>
  <c r="M163" i="87"/>
  <c r="L163" i="87"/>
  <c r="K163" i="87"/>
  <c r="J163" i="87"/>
  <c r="I163" i="87"/>
  <c r="H163" i="87"/>
  <c r="G163" i="87"/>
  <c r="F163" i="87"/>
  <c r="S162" i="87"/>
  <c r="R162" i="87"/>
  <c r="Q162" i="87"/>
  <c r="P162" i="87"/>
  <c r="O162" i="87"/>
  <c r="N162" i="87"/>
  <c r="M162" i="87"/>
  <c r="L162" i="87"/>
  <c r="K162" i="87"/>
  <c r="J162" i="87"/>
  <c r="I162" i="87"/>
  <c r="H162" i="87"/>
  <c r="G162" i="87"/>
  <c r="F162" i="87"/>
  <c r="S179" i="86"/>
  <c r="R179" i="86"/>
  <c r="Q179" i="86"/>
  <c r="P179" i="86"/>
  <c r="O179" i="86"/>
  <c r="N179" i="86"/>
  <c r="M179" i="86"/>
  <c r="L179" i="86"/>
  <c r="K179" i="86"/>
  <c r="J179" i="86"/>
  <c r="I179" i="86"/>
  <c r="H179" i="86"/>
  <c r="G179" i="86"/>
  <c r="F179" i="86"/>
  <c r="S178" i="86"/>
  <c r="R178" i="86"/>
  <c r="Q178" i="86"/>
  <c r="P178" i="86"/>
  <c r="O178" i="86"/>
  <c r="N178" i="86"/>
  <c r="M178" i="86"/>
  <c r="L178" i="86"/>
  <c r="K178" i="86"/>
  <c r="J178" i="86"/>
  <c r="I178" i="86"/>
  <c r="H178" i="86"/>
  <c r="G178" i="86"/>
  <c r="F178" i="86"/>
  <c r="K177" i="86"/>
  <c r="M92" i="91"/>
  <c r="R92" i="91"/>
  <c r="T92" i="91"/>
  <c r="O92" i="91"/>
  <c r="I92" i="91"/>
  <c r="M42" i="91"/>
  <c r="R42" i="91"/>
  <c r="T42" i="91"/>
  <c r="O42" i="91"/>
  <c r="I42"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18" i="91"/>
  <c r="R118" i="91"/>
  <c r="T118" i="91"/>
  <c r="O118" i="91"/>
  <c r="I118" i="91"/>
  <c r="M117" i="91"/>
  <c r="R117" i="91"/>
  <c r="T117" i="91"/>
  <c r="O117" i="91"/>
  <c r="I117" i="91"/>
  <c r="M116" i="91"/>
  <c r="R116" i="91"/>
  <c r="T116" i="91"/>
  <c r="O116" i="91"/>
  <c r="I116" i="91"/>
  <c r="M115" i="91"/>
  <c r="R115" i="91"/>
  <c r="T115" i="91"/>
  <c r="O115" i="91"/>
  <c r="I115" i="91"/>
  <c r="M114" i="91"/>
  <c r="R114" i="91"/>
  <c r="T114" i="91"/>
  <c r="O114" i="91"/>
  <c r="I114" i="91"/>
  <c r="M113" i="91"/>
  <c r="R113" i="91"/>
  <c r="T113" i="91"/>
  <c r="O113" i="91"/>
  <c r="I113" i="91"/>
  <c r="M112" i="91"/>
  <c r="R112" i="91"/>
  <c r="T112" i="91"/>
  <c r="O112" i="91"/>
  <c r="I112" i="91"/>
  <c r="M111" i="91"/>
  <c r="R111" i="91"/>
  <c r="T111" i="91"/>
  <c r="O111" i="91"/>
  <c r="I111" i="91"/>
  <c r="M98" i="91"/>
  <c r="R98" i="91"/>
  <c r="T98" i="91"/>
  <c r="O98" i="91"/>
  <c r="I98" i="91"/>
  <c r="M97" i="91"/>
  <c r="R97" i="91"/>
  <c r="T97" i="91"/>
  <c r="O97" i="91"/>
  <c r="I97" i="91"/>
  <c r="M90" i="91"/>
  <c r="R90" i="91"/>
  <c r="T90" i="91"/>
  <c r="O90" i="91"/>
  <c r="I90" i="91"/>
  <c r="M89" i="91"/>
  <c r="R89" i="91"/>
  <c r="T89" i="91"/>
  <c r="O89" i="91"/>
  <c r="I89" i="91"/>
  <c r="I78" i="91"/>
  <c r="M78" i="91"/>
  <c r="O78" i="91"/>
  <c r="R78" i="91"/>
  <c r="T78" i="91"/>
  <c r="M77" i="91"/>
  <c r="R77" i="91"/>
  <c r="T77" i="91"/>
  <c r="O77" i="91"/>
  <c r="I77" i="91"/>
  <c r="M60" i="91"/>
  <c r="R60" i="91"/>
  <c r="T60" i="91"/>
  <c r="O60" i="91"/>
  <c r="I60" i="91"/>
  <c r="M69" i="91"/>
  <c r="R69" i="91"/>
  <c r="T69" i="91"/>
  <c r="O69" i="91"/>
  <c r="I69" i="91"/>
  <c r="M68" i="91"/>
  <c r="R68" i="91"/>
  <c r="T68" i="91"/>
  <c r="O68" i="91"/>
  <c r="I68" i="91"/>
  <c r="M67" i="91"/>
  <c r="R67" i="91"/>
  <c r="T67" i="91"/>
  <c r="O67" i="91"/>
  <c r="I67" i="91"/>
  <c r="M66" i="91"/>
  <c r="R66" i="91"/>
  <c r="T66" i="91"/>
  <c r="O66" i="91"/>
  <c r="I66" i="91"/>
  <c r="M61" i="91"/>
  <c r="R61" i="91"/>
  <c r="T61" i="91"/>
  <c r="O61" i="91"/>
  <c r="I61" i="91"/>
  <c r="M57" i="91"/>
  <c r="R57" i="91"/>
  <c r="T57" i="91"/>
  <c r="O57" i="91"/>
  <c r="I57" i="91"/>
  <c r="M56" i="91"/>
  <c r="R56" i="91"/>
  <c r="T56" i="91"/>
  <c r="O56" i="91"/>
  <c r="I56" i="91"/>
  <c r="M55" i="91"/>
  <c r="R55" i="91"/>
  <c r="T55" i="91"/>
  <c r="O55" i="91"/>
  <c r="I55" i="91"/>
  <c r="M54" i="91"/>
  <c r="R54" i="91"/>
  <c r="T54" i="91"/>
  <c r="O54" i="91"/>
  <c r="I54" i="91"/>
  <c r="M53" i="91"/>
  <c r="R53" i="91"/>
  <c r="T53" i="91"/>
  <c r="O53" i="91"/>
  <c r="I53" i="91"/>
  <c r="M50" i="91"/>
  <c r="R50" i="91"/>
  <c r="T50" i="91"/>
  <c r="O50" i="91"/>
  <c r="I50" i="91"/>
  <c r="M49" i="91"/>
  <c r="R49" i="91"/>
  <c r="T49" i="91"/>
  <c r="O49" i="91"/>
  <c r="I49" i="91"/>
  <c r="M45" i="91"/>
  <c r="R45" i="91"/>
  <c r="T45" i="91"/>
  <c r="O45" i="91"/>
  <c r="I45" i="91"/>
  <c r="M21" i="91"/>
  <c r="M133" i="91"/>
  <c r="R133" i="91"/>
  <c r="T133" i="91"/>
  <c r="O133" i="91"/>
  <c r="M132" i="91"/>
  <c r="R132" i="91"/>
  <c r="T132" i="91"/>
  <c r="O132" i="91"/>
  <c r="M127" i="91"/>
  <c r="R127" i="91"/>
  <c r="T127" i="91"/>
  <c r="O127" i="91"/>
  <c r="I127" i="91"/>
  <c r="M128" i="91"/>
  <c r="R128" i="91"/>
  <c r="T128" i="91"/>
  <c r="O128" i="91"/>
  <c r="I128" i="91"/>
  <c r="M152" i="91"/>
  <c r="R152" i="91"/>
  <c r="T152" i="91"/>
  <c r="O152" i="91"/>
  <c r="I152" i="91"/>
  <c r="E152" i="91"/>
  <c r="E146" i="91"/>
  <c r="I146" i="91"/>
  <c r="O146" i="91"/>
  <c r="R146" i="91"/>
  <c r="T146" i="91"/>
  <c r="M143" i="91"/>
  <c r="R143" i="91"/>
  <c r="T143" i="91"/>
  <c r="O143" i="91"/>
  <c r="I143" i="91"/>
  <c r="E143" i="91"/>
  <c r="M135" i="91"/>
  <c r="R135" i="91"/>
  <c r="T135" i="91"/>
  <c r="O135" i="91"/>
  <c r="I135" i="91"/>
  <c r="E135" i="91"/>
  <c r="E134" i="91"/>
  <c r="I134" i="91"/>
  <c r="M134" i="91"/>
  <c r="O134" i="91"/>
  <c r="R134" i="91"/>
  <c r="T134" i="91"/>
  <c r="E133" i="91"/>
  <c r="I133" i="91"/>
  <c r="M130" i="91"/>
  <c r="R130" i="91"/>
  <c r="T130" i="91"/>
  <c r="O130" i="91"/>
  <c r="I130" i="91"/>
  <c r="E130" i="91"/>
  <c r="M124" i="91"/>
  <c r="R124" i="91"/>
  <c r="T124" i="91"/>
  <c r="O124" i="91"/>
  <c r="I124" i="91"/>
  <c r="E124" i="91"/>
  <c r="M123" i="91"/>
  <c r="R123" i="91"/>
  <c r="T123" i="91"/>
  <c r="O123" i="91"/>
  <c r="I123" i="91"/>
  <c r="E123" i="91"/>
  <c r="M122" i="91"/>
  <c r="R122" i="91"/>
  <c r="T122" i="91"/>
  <c r="O122" i="91"/>
  <c r="I122" i="91"/>
  <c r="E122" i="91"/>
  <c r="M121" i="91"/>
  <c r="R121" i="91"/>
  <c r="T121" i="91"/>
  <c r="O121" i="91"/>
  <c r="I121" i="91"/>
  <c r="E121" i="91"/>
  <c r="M120" i="91"/>
  <c r="R120" i="91"/>
  <c r="T120" i="91"/>
  <c r="O120" i="91"/>
  <c r="I120" i="91"/>
  <c r="E120" i="91"/>
  <c r="M119" i="91"/>
  <c r="R119" i="91"/>
  <c r="T119" i="91"/>
  <c r="O119" i="91"/>
  <c r="I119" i="91"/>
  <c r="E119" i="91"/>
  <c r="M110" i="91"/>
  <c r="R110" i="91"/>
  <c r="T110" i="91"/>
  <c r="O110" i="91"/>
  <c r="I110" i="91"/>
  <c r="E110"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4" i="91"/>
  <c r="R104" i="91"/>
  <c r="T104" i="91"/>
  <c r="O104" i="91"/>
  <c r="I104" i="91"/>
  <c r="E104" i="91"/>
  <c r="E100" i="91"/>
  <c r="I100" i="91"/>
  <c r="M100" i="91"/>
  <c r="O100" i="91"/>
  <c r="R100" i="91"/>
  <c r="T100" i="91"/>
  <c r="E101" i="91"/>
  <c r="I101" i="91"/>
  <c r="M101" i="91"/>
  <c r="O101" i="91"/>
  <c r="R101" i="91"/>
  <c r="T101" i="91"/>
  <c r="M99" i="91"/>
  <c r="R99" i="91"/>
  <c r="T99" i="91"/>
  <c r="O99" i="91"/>
  <c r="I99" i="91"/>
  <c r="E99" i="91"/>
  <c r="M96" i="91"/>
  <c r="R96" i="91"/>
  <c r="T96" i="91"/>
  <c r="O96" i="91"/>
  <c r="I96" i="91"/>
  <c r="E96" i="91"/>
  <c r="M95" i="91"/>
  <c r="R95" i="91"/>
  <c r="T95" i="91"/>
  <c r="O95" i="91"/>
  <c r="I95" i="91"/>
  <c r="E95" i="91"/>
  <c r="M94" i="91"/>
  <c r="R94" i="91"/>
  <c r="T94" i="91"/>
  <c r="O94" i="91"/>
  <c r="I94" i="91"/>
  <c r="E94" i="91"/>
  <c r="M88" i="91"/>
  <c r="R88" i="91"/>
  <c r="T88" i="91"/>
  <c r="O88" i="91"/>
  <c r="I88" i="91"/>
  <c r="E88"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79" i="91"/>
  <c r="R79" i="91"/>
  <c r="T79" i="91"/>
  <c r="O79" i="91"/>
  <c r="I79" i="91"/>
  <c r="E79" i="91"/>
  <c r="M76" i="91"/>
  <c r="R76" i="91"/>
  <c r="T76" i="91"/>
  <c r="O76" i="91"/>
  <c r="I76" i="91"/>
  <c r="E76" i="91"/>
  <c r="M75" i="91"/>
  <c r="R75" i="91"/>
  <c r="T75" i="91"/>
  <c r="O75" i="91"/>
  <c r="I75" i="91"/>
  <c r="E75" i="91"/>
  <c r="M74" i="91"/>
  <c r="R74" i="91"/>
  <c r="T74" i="91"/>
  <c r="O74" i="91"/>
  <c r="I74" i="91"/>
  <c r="E74" i="91"/>
  <c r="M72" i="91"/>
  <c r="R72" i="91"/>
  <c r="T72" i="91"/>
  <c r="O72" i="91"/>
  <c r="I72" i="91"/>
  <c r="E72" i="91"/>
  <c r="M71" i="91"/>
  <c r="R71" i="91"/>
  <c r="T71" i="91"/>
  <c r="O71" i="91"/>
  <c r="I71" i="91"/>
  <c r="E71" i="91"/>
  <c r="M70" i="91"/>
  <c r="R70" i="91"/>
  <c r="T70" i="91"/>
  <c r="O70" i="91"/>
  <c r="I70" i="91"/>
  <c r="E70" i="91"/>
  <c r="M65" i="91"/>
  <c r="R65" i="91"/>
  <c r="T65" i="91"/>
  <c r="O65" i="91"/>
  <c r="I65" i="91"/>
  <c r="E65" i="91"/>
  <c r="M64" i="91"/>
  <c r="R64" i="91"/>
  <c r="T64" i="91"/>
  <c r="O64" i="91"/>
  <c r="I64" i="91"/>
  <c r="E64" i="91"/>
  <c r="M63" i="91"/>
  <c r="R63" i="91"/>
  <c r="T63" i="91"/>
  <c r="O63" i="91"/>
  <c r="I63" i="91"/>
  <c r="E63" i="91"/>
  <c r="M62" i="91"/>
  <c r="R62" i="91"/>
  <c r="T62" i="91"/>
  <c r="O62" i="91"/>
  <c r="I62" i="91"/>
  <c r="E62" i="91"/>
  <c r="M59" i="91"/>
  <c r="R59" i="91"/>
  <c r="T59" i="91"/>
  <c r="O59" i="91"/>
  <c r="I59" i="91"/>
  <c r="E59" i="91"/>
  <c r="M58" i="91"/>
  <c r="R58" i="91"/>
  <c r="T58" i="91"/>
  <c r="O58" i="91"/>
  <c r="I58" i="91"/>
  <c r="E58" i="91"/>
  <c r="M52" i="91"/>
  <c r="R52" i="91"/>
  <c r="T52" i="91"/>
  <c r="O52" i="91"/>
  <c r="I52" i="91"/>
  <c r="E52" i="91"/>
  <c r="M51" i="91"/>
  <c r="R51" i="91"/>
  <c r="T51" i="91"/>
  <c r="O51" i="91"/>
  <c r="I51" i="91"/>
  <c r="E51" i="91"/>
  <c r="M48" i="91"/>
  <c r="R48" i="91"/>
  <c r="T48" i="91"/>
  <c r="O48" i="91"/>
  <c r="I48" i="91"/>
  <c r="E48" i="91"/>
  <c r="M47" i="91"/>
  <c r="R47" i="91"/>
  <c r="T47" i="91"/>
  <c r="O47" i="91"/>
  <c r="I47" i="91"/>
  <c r="E47" i="91"/>
  <c r="M46" i="91"/>
  <c r="R46" i="91"/>
  <c r="T46" i="91"/>
  <c r="O46" i="91"/>
  <c r="I46" i="91"/>
  <c r="E46" i="91"/>
  <c r="M44" i="91"/>
  <c r="R44" i="91"/>
  <c r="T44" i="91"/>
  <c r="O44" i="91"/>
  <c r="I44" i="91"/>
  <c r="E44" i="91"/>
  <c r="E42"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1" i="91"/>
  <c r="R41" i="91"/>
  <c r="M43" i="91"/>
  <c r="R43" i="91"/>
  <c r="M73" i="91"/>
  <c r="R73" i="91"/>
  <c r="M80" i="91"/>
  <c r="R80" i="91"/>
  <c r="M91" i="91"/>
  <c r="R91" i="91"/>
  <c r="M93" i="91"/>
  <c r="R93" i="91"/>
  <c r="M102" i="91"/>
  <c r="R102" i="91"/>
  <c r="M103" i="91"/>
  <c r="R103" i="91"/>
  <c r="M105" i="91"/>
  <c r="R105" i="91"/>
  <c r="M125" i="91"/>
  <c r="R125" i="91"/>
  <c r="M126" i="91"/>
  <c r="R126" i="91"/>
  <c r="M129" i="91"/>
  <c r="R129" i="91"/>
  <c r="M131" i="91"/>
  <c r="R131" i="91"/>
  <c r="M136" i="91"/>
  <c r="R136" i="91"/>
  <c r="M137" i="91"/>
  <c r="R137" i="91"/>
  <c r="M139" i="91"/>
  <c r="R139" i="91"/>
  <c r="R140" i="91"/>
  <c r="R141" i="91"/>
  <c r="R142" i="91"/>
  <c r="M144" i="91"/>
  <c r="R144" i="91"/>
  <c r="M145" i="91"/>
  <c r="R145" i="91"/>
  <c r="R147" i="91"/>
  <c r="M148" i="91"/>
  <c r="R148" i="91"/>
  <c r="M149" i="91"/>
  <c r="R149" i="91"/>
  <c r="R150" i="91"/>
  <c r="M151" i="91"/>
  <c r="R151" i="91"/>
  <c r="R153" i="91"/>
  <c r="M154" i="91"/>
  <c r="R154" i="91"/>
  <c r="M155" i="91"/>
  <c r="R155" i="91"/>
  <c r="M2" i="91"/>
  <c r="R2" i="91"/>
  <c r="Y149" i="90"/>
  <c r="R149" i="90"/>
  <c r="J149" i="90"/>
  <c r="E149" i="90"/>
  <c r="Y150" i="90"/>
  <c r="R150" i="90"/>
  <c r="J150" i="90"/>
  <c r="E150" i="90"/>
  <c r="Y148" i="90"/>
  <c r="R148" i="90"/>
  <c r="J148" i="90"/>
  <c r="E148" i="90"/>
  <c r="Y147" i="90"/>
  <c r="R147" i="90"/>
  <c r="J147" i="90"/>
  <c r="E147" i="90"/>
  <c r="Y145" i="90"/>
  <c r="R145" i="90"/>
  <c r="J145" i="90"/>
  <c r="E145" i="90"/>
  <c r="Y144" i="90"/>
  <c r="R144" i="90"/>
  <c r="J144" i="90"/>
  <c r="E144" i="90"/>
  <c r="Y141" i="90"/>
  <c r="R141" i="90"/>
  <c r="J141" i="90"/>
  <c r="E141" i="90"/>
  <c r="Y138" i="90"/>
  <c r="R138" i="90"/>
  <c r="J138" i="90"/>
  <c r="E138" i="90"/>
  <c r="Y136" i="90"/>
  <c r="R136" i="90"/>
  <c r="J136" i="90"/>
  <c r="E136" i="90"/>
  <c r="Y135" i="90"/>
  <c r="R135" i="90"/>
  <c r="J135" i="90"/>
  <c r="E135" i="90"/>
  <c r="Y132" i="90"/>
  <c r="R132" i="90"/>
  <c r="J132" i="90"/>
  <c r="E132" i="90"/>
  <c r="Y131" i="90"/>
  <c r="R131" i="90"/>
  <c r="J131" i="90"/>
  <c r="E131" i="90"/>
  <c r="Y130" i="90"/>
  <c r="R130" i="90"/>
  <c r="J130" i="90"/>
  <c r="E130" i="90"/>
  <c r="Y129" i="90"/>
  <c r="R129" i="90"/>
  <c r="J129" i="90"/>
  <c r="E129" i="90"/>
  <c r="Y146" i="90"/>
  <c r="R146" i="90"/>
  <c r="J146" i="90"/>
  <c r="E146" i="90"/>
  <c r="Y140" i="90"/>
  <c r="R140" i="90"/>
  <c r="J140" i="90"/>
  <c r="E140" i="90"/>
  <c r="Y139" i="90"/>
  <c r="R139" i="90"/>
  <c r="J139" i="90"/>
  <c r="E139" i="90"/>
  <c r="Y137" i="90"/>
  <c r="R137" i="90"/>
  <c r="J137" i="90"/>
  <c r="E137" i="90"/>
  <c r="Y134" i="90"/>
  <c r="R134" i="90"/>
  <c r="J134" i="90"/>
  <c r="E134" i="90"/>
  <c r="Y133" i="90"/>
  <c r="R133" i="90"/>
  <c r="J133" i="90"/>
  <c r="E133" i="90"/>
  <c r="Y122" i="90"/>
  <c r="R122" i="90"/>
  <c r="J122" i="90"/>
  <c r="E122" i="90"/>
  <c r="Y118" i="90"/>
  <c r="R118" i="90"/>
  <c r="J118" i="90"/>
  <c r="E118" i="90"/>
  <c r="Y117" i="90"/>
  <c r="R117" i="90"/>
  <c r="J117" i="90"/>
  <c r="E117" i="90"/>
  <c r="Y109" i="90"/>
  <c r="R109" i="90"/>
  <c r="J109" i="90"/>
  <c r="E109" i="90"/>
  <c r="W143" i="90"/>
  <c r="Y143" i="90"/>
  <c r="R143" i="90"/>
  <c r="J143" i="90"/>
  <c r="E143"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2" i="90"/>
  <c r="R42" i="90"/>
  <c r="J42" i="90"/>
  <c r="E42" i="90"/>
  <c r="Y41" i="90"/>
  <c r="R41" i="90"/>
  <c r="J41" i="90"/>
  <c r="E41" i="90"/>
  <c r="Y33" i="90"/>
  <c r="R33" i="90"/>
  <c r="J33" i="90"/>
  <c r="E33" i="90"/>
  <c r="Y32" i="90"/>
  <c r="R32" i="90"/>
  <c r="J32" i="90"/>
  <c r="E32" i="90"/>
  <c r="R151" i="90"/>
  <c r="J151" i="90"/>
  <c r="E151" i="90"/>
  <c r="E46" i="90"/>
  <c r="E45" i="90"/>
  <c r="E44" i="90"/>
  <c r="W72" i="90"/>
  <c r="W74" i="90"/>
  <c r="W75" i="90"/>
  <c r="W106" i="90"/>
  <c r="W115" i="90"/>
  <c r="W142" i="90"/>
  <c r="W153" i="90"/>
  <c r="W154" i="90"/>
  <c r="W155" i="90"/>
  <c r="W156" i="90"/>
  <c r="W158" i="90"/>
  <c r="W162" i="90"/>
  <c r="W163" i="90"/>
  <c r="W164" i="90"/>
  <c r="W167" i="90"/>
  <c r="W168" i="90"/>
  <c r="W170" i="90"/>
  <c r="W173"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26" i="90"/>
  <c r="B127" i="90"/>
  <c r="B128" i="90"/>
  <c r="B129" i="90"/>
  <c r="B130" i="90"/>
  <c r="B131" i="90"/>
  <c r="B132" i="90"/>
  <c r="B133" i="90"/>
  <c r="B134" i="90"/>
  <c r="B135" i="90"/>
  <c r="B136" i="90"/>
  <c r="B137" i="90"/>
  <c r="B138" i="90"/>
  <c r="B139" i="90"/>
  <c r="B140" i="90"/>
  <c r="B141" i="90"/>
  <c r="B142" i="90"/>
  <c r="B143" i="90"/>
  <c r="B144" i="90"/>
  <c r="B145" i="90"/>
  <c r="B146"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12" i="91"/>
  <c r="B113" i="91"/>
  <c r="B114" i="91"/>
  <c r="B115" i="91"/>
  <c r="B116" i="91"/>
  <c r="B117" i="91"/>
  <c r="B118" i="91"/>
  <c r="B119" i="91"/>
  <c r="B120" i="91"/>
  <c r="B121" i="91"/>
  <c r="B122" i="91"/>
  <c r="B123" i="91"/>
  <c r="B124" i="91"/>
  <c r="B125" i="91"/>
  <c r="B126" i="91"/>
  <c r="B127" i="91"/>
  <c r="B128" i="91"/>
  <c r="B129" i="91"/>
  <c r="B130" i="91"/>
  <c r="B131" i="91"/>
  <c r="B132"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B30" i="97"/>
  <c r="F31" i="96"/>
  <c r="B31" i="97"/>
  <c r="F32" i="96"/>
  <c r="B32" i="97"/>
  <c r="F33" i="96"/>
  <c r="B33" i="97"/>
  <c r="F34" i="96"/>
  <c r="B34" i="97"/>
  <c r="F35" i="96"/>
  <c r="B35" i="97"/>
  <c r="F36" i="96"/>
  <c r="B36" i="97"/>
  <c r="F37" i="96"/>
  <c r="B37" i="97"/>
  <c r="F38" i="96"/>
  <c r="B38" i="97"/>
  <c r="F39" i="96"/>
  <c r="B39" i="97"/>
  <c r="F40" i="96"/>
  <c r="B40" i="97"/>
  <c r="F41" i="96"/>
  <c r="B41" i="97"/>
  <c r="F42" i="96"/>
  <c r="B42" i="97"/>
  <c r="F43" i="96"/>
  <c r="B43" i="97"/>
  <c r="F44" i="96"/>
  <c r="B44" i="97"/>
  <c r="F45" i="96"/>
  <c r="B45" i="97"/>
  <c r="F46" i="96"/>
  <c r="B46" i="97"/>
  <c r="F47" i="96"/>
  <c r="B47" i="97"/>
  <c r="F48" i="96"/>
  <c r="B48" i="97"/>
  <c r="F49" i="96"/>
  <c r="B49" i="97"/>
  <c r="F50" i="96"/>
  <c r="B50" i="97"/>
  <c r="F51" i="96"/>
  <c r="B51" i="97"/>
  <c r="F52" i="96"/>
  <c r="B52" i="97"/>
  <c r="F53" i="96"/>
  <c r="B53" i="97"/>
  <c r="F54" i="96"/>
  <c r="B54" i="97"/>
  <c r="F55" i="96"/>
  <c r="B55" i="97"/>
  <c r="F56" i="96"/>
  <c r="B56" i="97"/>
  <c r="F57" i="96"/>
  <c r="B57" i="97"/>
  <c r="F58" i="96"/>
  <c r="B58" i="97"/>
  <c r="F59" i="96"/>
  <c r="B59" i="97"/>
  <c r="F60" i="96"/>
  <c r="B60" i="97"/>
  <c r="F61" i="96"/>
  <c r="B61" i="97"/>
  <c r="F62" i="96"/>
  <c r="B62" i="97"/>
  <c r="F63" i="96"/>
  <c r="B63" i="97"/>
  <c r="F64" i="96"/>
  <c r="B64" i="97"/>
  <c r="F65" i="96"/>
  <c r="B65" i="97"/>
  <c r="F66" i="96"/>
  <c r="B66" i="97"/>
  <c r="F67" i="96"/>
  <c r="B67" i="97"/>
  <c r="F68" i="96"/>
  <c r="B68" i="97"/>
  <c r="F69" i="96"/>
  <c r="B69" i="97"/>
  <c r="F70" i="96"/>
  <c r="B70" i="97"/>
  <c r="F71" i="96"/>
  <c r="B71" i="97"/>
  <c r="F72" i="96"/>
  <c r="B72" i="97"/>
  <c r="F73" i="96"/>
  <c r="B73" i="97"/>
  <c r="F74" i="96"/>
  <c r="B74" i="97"/>
  <c r="F75" i="96"/>
  <c r="B75" i="97"/>
  <c r="F76" i="96"/>
  <c r="B76" i="97"/>
  <c r="F77" i="96"/>
  <c r="B77" i="97"/>
  <c r="F78" i="96"/>
  <c r="B78" i="97"/>
  <c r="F79" i="96"/>
  <c r="B79" i="97"/>
  <c r="F80" i="96"/>
  <c r="B80" i="97"/>
  <c r="F81" i="96"/>
  <c r="B81" i="97"/>
  <c r="F82" i="96"/>
  <c r="B82" i="97"/>
  <c r="F83" i="96"/>
  <c r="B83" i="97"/>
  <c r="F84" i="96"/>
  <c r="B84" i="97"/>
  <c r="F85" i="96"/>
  <c r="B85" i="97"/>
  <c r="F86" i="96"/>
  <c r="B86" i="97"/>
  <c r="F87" i="96"/>
  <c r="B87" i="97"/>
  <c r="F88" i="96"/>
  <c r="B88" i="97"/>
  <c r="F89" i="96"/>
  <c r="B89" i="97"/>
  <c r="F90" i="96"/>
  <c r="B90" i="97"/>
  <c r="F91" i="96"/>
  <c r="B91" i="97"/>
  <c r="F92" i="96"/>
  <c r="B92" i="97"/>
  <c r="F93" i="96"/>
  <c r="B93" i="97"/>
  <c r="F94" i="96"/>
  <c r="B94" i="97"/>
  <c r="F95" i="96"/>
  <c r="B95" i="97"/>
  <c r="F96" i="96"/>
  <c r="B96" i="97"/>
  <c r="F97" i="96"/>
  <c r="B97" i="97"/>
  <c r="F98" i="96"/>
  <c r="B98" i="97"/>
  <c r="F99" i="96"/>
  <c r="B99" i="97"/>
  <c r="F100" i="96"/>
  <c r="B100" i="97"/>
  <c r="F101" i="96"/>
  <c r="B101" i="97"/>
  <c r="F102" i="96"/>
  <c r="B102" i="97"/>
  <c r="F103" i="96"/>
  <c r="B103" i="97"/>
  <c r="F104" i="96"/>
  <c r="B104" i="97"/>
  <c r="F105" i="96"/>
  <c r="B105" i="97"/>
  <c r="F106" i="96"/>
  <c r="B106" i="97"/>
  <c r="F107" i="96"/>
  <c r="B107" i="97"/>
  <c r="F108" i="96"/>
  <c r="B108" i="97"/>
  <c r="F109" i="96"/>
  <c r="B109" i="97"/>
  <c r="F110" i="96"/>
  <c r="B110" i="97"/>
  <c r="F111" i="96"/>
  <c r="B111" i="97"/>
  <c r="F112" i="96"/>
  <c r="B112" i="97"/>
  <c r="F113" i="96"/>
  <c r="B113" i="97"/>
  <c r="F114" i="96"/>
  <c r="B114" i="97"/>
  <c r="F115" i="96"/>
  <c r="B115" i="97"/>
  <c r="F116" i="96"/>
  <c r="B116" i="97"/>
  <c r="F117" i="96"/>
  <c r="B117" i="97"/>
  <c r="F118" i="96"/>
  <c r="B118" i="97"/>
  <c r="F119" i="96"/>
  <c r="B119" i="97"/>
  <c r="F120" i="96"/>
  <c r="B120" i="97"/>
  <c r="F121" i="96"/>
  <c r="B121" i="97"/>
  <c r="F122" i="96"/>
  <c r="B122" i="97"/>
  <c r="F2" i="96"/>
  <c r="B2"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87" i="97"/>
  <c r="L87" i="97"/>
  <c r="H87" i="97"/>
  <c r="E87" i="97"/>
  <c r="O86" i="97"/>
  <c r="L86" i="97"/>
  <c r="H86" i="97"/>
  <c r="E86" i="97"/>
  <c r="O85" i="97"/>
  <c r="L85" i="97"/>
  <c r="H85" i="97"/>
  <c r="E85" i="97"/>
  <c r="O84" i="97"/>
  <c r="L84" i="97"/>
  <c r="H84" i="97"/>
  <c r="E84" i="97"/>
  <c r="O83" i="97"/>
  <c r="L83" i="97"/>
  <c r="H83" i="97"/>
  <c r="E83" i="97"/>
  <c r="O82" i="97"/>
  <c r="L82" i="97"/>
  <c r="H82" i="97"/>
  <c r="E82" i="97"/>
  <c r="O81" i="97"/>
  <c r="L81" i="97"/>
  <c r="H81" i="97"/>
  <c r="E81" i="97"/>
  <c r="O80" i="97"/>
  <c r="L80" i="97"/>
  <c r="H80" i="97"/>
  <c r="E80" i="97"/>
  <c r="O79" i="97"/>
  <c r="L79" i="97"/>
  <c r="H79" i="97"/>
  <c r="E7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13" i="96"/>
  <c r="K112" i="96"/>
  <c r="K111" i="96"/>
  <c r="K110" i="96"/>
  <c r="K109" i="96"/>
  <c r="K108" i="96"/>
  <c r="S107" i="96"/>
  <c r="R107" i="96"/>
  <c r="Q107" i="96"/>
  <c r="P107" i="96"/>
  <c r="O107" i="96"/>
  <c r="N107" i="96"/>
  <c r="M107" i="96"/>
  <c r="L107" i="96"/>
  <c r="K107" i="96"/>
  <c r="J107" i="96"/>
  <c r="I107" i="96"/>
  <c r="H107" i="96"/>
  <c r="G107" i="96"/>
  <c r="S106" i="96"/>
  <c r="R106" i="96"/>
  <c r="Q106" i="96"/>
  <c r="P106" i="96"/>
  <c r="O106" i="96"/>
  <c r="N106" i="96"/>
  <c r="M106" i="96"/>
  <c r="L106" i="96"/>
  <c r="K106" i="96"/>
  <c r="I106" i="96"/>
  <c r="H106" i="96"/>
  <c r="G106" i="96"/>
  <c r="S105" i="96"/>
  <c r="R105" i="96"/>
  <c r="Q105" i="96"/>
  <c r="P105" i="96"/>
  <c r="O105" i="96"/>
  <c r="N105" i="96"/>
  <c r="M105" i="96"/>
  <c r="L105" i="96"/>
  <c r="K105" i="96"/>
  <c r="I105" i="96"/>
  <c r="H105" i="96"/>
  <c r="G105" i="96"/>
  <c r="S104" i="96"/>
  <c r="R104" i="96"/>
  <c r="Q104" i="96"/>
  <c r="P104" i="96"/>
  <c r="O104" i="96"/>
  <c r="N104" i="96"/>
  <c r="M104" i="96"/>
  <c r="L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K101" i="96"/>
  <c r="J101" i="96"/>
  <c r="I101" i="96"/>
  <c r="H101" i="96"/>
  <c r="G101" i="96"/>
  <c r="S100" i="96"/>
  <c r="R100" i="96"/>
  <c r="Q100" i="96"/>
  <c r="P100" i="96"/>
  <c r="O100" i="96"/>
  <c r="N100" i="96"/>
  <c r="M100" i="96"/>
  <c r="L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K96" i="96"/>
  <c r="J96" i="96"/>
  <c r="I96" i="96"/>
  <c r="H96" i="96"/>
  <c r="G96" i="96"/>
  <c r="S95" i="96"/>
  <c r="R95" i="96"/>
  <c r="Q95" i="96"/>
  <c r="P95" i="96"/>
  <c r="O95" i="96"/>
  <c r="N95" i="96"/>
  <c r="M95" i="96"/>
  <c r="L95" i="96"/>
  <c r="K95" i="96"/>
  <c r="J95" i="96"/>
  <c r="I95" i="96"/>
  <c r="H95" i="96"/>
  <c r="G95" i="96"/>
  <c r="S94" i="96"/>
  <c r="R94" i="96"/>
  <c r="Q94" i="96"/>
  <c r="P94" i="96"/>
  <c r="O94" i="96"/>
  <c r="N94" i="96"/>
  <c r="M94" i="96"/>
  <c r="L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K90" i="96"/>
  <c r="J90" i="96"/>
  <c r="I90" i="96"/>
  <c r="H90" i="96"/>
  <c r="G90" i="96"/>
  <c r="S89" i="96"/>
  <c r="R89" i="96"/>
  <c r="Q89" i="96"/>
  <c r="P89" i="96"/>
  <c r="O89" i="96"/>
  <c r="N89" i="96"/>
  <c r="M89" i="96"/>
  <c r="L89" i="96"/>
  <c r="K89" i="96"/>
  <c r="J89" i="96"/>
  <c r="I89" i="96"/>
  <c r="H89" i="96"/>
  <c r="G89" i="96"/>
  <c r="S88" i="96"/>
  <c r="R88" i="96"/>
  <c r="Q88" i="96"/>
  <c r="P88" i="96"/>
  <c r="O88" i="96"/>
  <c r="N88" i="96"/>
  <c r="M88" i="96"/>
  <c r="L88" i="96"/>
  <c r="K88" i="96"/>
  <c r="J88" i="96"/>
  <c r="I88" i="96"/>
  <c r="H88" i="96"/>
  <c r="G88" i="96"/>
  <c r="S87" i="96"/>
  <c r="R87" i="96"/>
  <c r="Q87" i="96"/>
  <c r="P87" i="96"/>
  <c r="O87" i="96"/>
  <c r="N87" i="96"/>
  <c r="M87" i="96"/>
  <c r="L87" i="96"/>
  <c r="K87" i="96"/>
  <c r="J87" i="96"/>
  <c r="I87" i="96"/>
  <c r="H87" i="96"/>
  <c r="G87" i="96"/>
  <c r="S86" i="96"/>
  <c r="R86" i="96"/>
  <c r="Q86" i="96"/>
  <c r="P86" i="96"/>
  <c r="O86" i="96"/>
  <c r="N86" i="96"/>
  <c r="M86" i="96"/>
  <c r="L86" i="96"/>
  <c r="K86" i="96"/>
  <c r="J86" i="96"/>
  <c r="I86" i="96"/>
  <c r="H86" i="96"/>
  <c r="G86" i="96"/>
  <c r="S85" i="96"/>
  <c r="R85" i="96"/>
  <c r="Q85" i="96"/>
  <c r="P85" i="96"/>
  <c r="O85" i="96"/>
  <c r="N85" i="96"/>
  <c r="M85" i="96"/>
  <c r="L85" i="96"/>
  <c r="K85" i="96"/>
  <c r="J85" i="96"/>
  <c r="I85" i="96"/>
  <c r="H85" i="96"/>
  <c r="G85" i="96"/>
  <c r="S84" i="96"/>
  <c r="R84" i="96"/>
  <c r="Q84" i="96"/>
  <c r="P84" i="96"/>
  <c r="O84" i="96"/>
  <c r="N84" i="96"/>
  <c r="M84" i="96"/>
  <c r="L84" i="96"/>
  <c r="K84" i="96"/>
  <c r="J84" i="96"/>
  <c r="I84" i="96"/>
  <c r="H84" i="96"/>
  <c r="G84" i="96"/>
  <c r="S83" i="96"/>
  <c r="R83" i="96"/>
  <c r="Q83" i="96"/>
  <c r="P83" i="96"/>
  <c r="O83" i="96"/>
  <c r="N83" i="96"/>
  <c r="M83" i="96"/>
  <c r="L83" i="96"/>
  <c r="K83" i="96"/>
  <c r="J83" i="96"/>
  <c r="I83" i="96"/>
  <c r="H83" i="96"/>
  <c r="G83" i="96"/>
  <c r="S82" i="96"/>
  <c r="R82" i="96"/>
  <c r="Q82" i="96"/>
  <c r="P82" i="96"/>
  <c r="O82" i="96"/>
  <c r="N82" i="96"/>
  <c r="M82" i="96"/>
  <c r="L82" i="96"/>
  <c r="K82" i="96"/>
  <c r="J82" i="96"/>
  <c r="I82" i="96"/>
  <c r="H82" i="96"/>
  <c r="G82" i="96"/>
  <c r="S81" i="96"/>
  <c r="R81" i="96"/>
  <c r="Q81" i="96"/>
  <c r="P81" i="96"/>
  <c r="O81" i="96"/>
  <c r="N81" i="96"/>
  <c r="M81" i="96"/>
  <c r="L81" i="96"/>
  <c r="K81" i="96"/>
  <c r="J81" i="96"/>
  <c r="I81" i="96"/>
  <c r="H81" i="96"/>
  <c r="G81" i="96"/>
  <c r="S80" i="96"/>
  <c r="R80" i="96"/>
  <c r="Q80" i="96"/>
  <c r="P80" i="96"/>
  <c r="O80" i="96"/>
  <c r="N80" i="96"/>
  <c r="M80" i="96"/>
  <c r="L80" i="96"/>
  <c r="K80" i="96"/>
  <c r="J80" i="96"/>
  <c r="I80" i="96"/>
  <c r="H80" i="96"/>
  <c r="G80" i="96"/>
  <c r="S79" i="96"/>
  <c r="R79" i="96"/>
  <c r="Q79" i="96"/>
  <c r="P79" i="96"/>
  <c r="O79" i="96"/>
  <c r="N79" i="96"/>
  <c r="M79" i="96"/>
  <c r="L79" i="96"/>
  <c r="K79" i="96"/>
  <c r="J79" i="96"/>
  <c r="I79" i="96"/>
  <c r="H79" i="96"/>
  <c r="G79" i="96"/>
  <c r="S78" i="96"/>
  <c r="R78" i="96"/>
  <c r="Q78" i="96"/>
  <c r="P78" i="96"/>
  <c r="O78" i="96"/>
  <c r="N78" i="96"/>
  <c r="M78" i="96"/>
  <c r="L78" i="96"/>
  <c r="K78" i="96"/>
  <c r="J78" i="96"/>
  <c r="I78" i="96"/>
  <c r="H78" i="96"/>
  <c r="G78" i="96"/>
  <c r="S77" i="96"/>
  <c r="R77" i="96"/>
  <c r="Q77" i="96"/>
  <c r="P77" i="96"/>
  <c r="O77" i="96"/>
  <c r="N77" i="96"/>
  <c r="M77" i="96"/>
  <c r="L77" i="96"/>
  <c r="K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K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L71" i="96"/>
  <c r="K71" i="96"/>
  <c r="J71" i="96"/>
  <c r="I71" i="96"/>
  <c r="H71" i="96"/>
  <c r="G71" i="96"/>
  <c r="S70" i="96"/>
  <c r="R70" i="96"/>
  <c r="Q70" i="96"/>
  <c r="P70" i="96"/>
  <c r="O70" i="96"/>
  <c r="N70" i="96"/>
  <c r="M70" i="96"/>
  <c r="L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22" i="96"/>
  <c r="R122" i="96"/>
  <c r="K122" i="96"/>
  <c r="J122" i="96"/>
  <c r="I122" i="96"/>
  <c r="H122" i="96"/>
  <c r="G122" i="96"/>
  <c r="S121" i="96"/>
  <c r="R121" i="96"/>
  <c r="K121" i="96"/>
  <c r="J121" i="96"/>
  <c r="I121" i="96"/>
  <c r="H121" i="96"/>
  <c r="G121" i="96"/>
  <c r="S120" i="96"/>
  <c r="R120" i="96"/>
  <c r="K120" i="96"/>
  <c r="J120" i="96"/>
  <c r="I120" i="96"/>
  <c r="H120" i="96"/>
  <c r="G120" i="96"/>
  <c r="S119" i="96"/>
  <c r="R119" i="96"/>
  <c r="K119" i="96"/>
  <c r="J119" i="96"/>
  <c r="I119" i="96"/>
  <c r="H119" i="96"/>
  <c r="G119" i="96"/>
  <c r="S118" i="96"/>
  <c r="R118" i="96"/>
  <c r="K118" i="96"/>
  <c r="J118" i="96"/>
  <c r="I118" i="96"/>
  <c r="H118" i="96"/>
  <c r="G118" i="96"/>
  <c r="S66" i="96"/>
  <c r="R66" i="96"/>
  <c r="Q66" i="96"/>
  <c r="P66" i="96"/>
  <c r="O66" i="96"/>
  <c r="N66" i="96"/>
  <c r="M66" i="96"/>
  <c r="L66" i="96"/>
  <c r="K66" i="96"/>
  <c r="J66" i="96"/>
  <c r="I66" i="96"/>
  <c r="H66" i="96"/>
  <c r="G66" i="96"/>
  <c r="S65" i="96"/>
  <c r="R65" i="96"/>
  <c r="Q65" i="96"/>
  <c r="P65" i="96"/>
  <c r="O65" i="96"/>
  <c r="N65" i="96"/>
  <c r="M65" i="96"/>
  <c r="L65" i="96"/>
  <c r="K65" i="96"/>
  <c r="J65" i="96"/>
  <c r="I65" i="96"/>
  <c r="H65" i="96"/>
  <c r="G65" i="96"/>
  <c r="S64" i="96"/>
  <c r="R64" i="96"/>
  <c r="Q64" i="96"/>
  <c r="P64" i="96"/>
  <c r="O64" i="96"/>
  <c r="N64" i="96"/>
  <c r="M64" i="96"/>
  <c r="L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14" i="96"/>
  <c r="R114" i="96"/>
  <c r="K114" i="96"/>
  <c r="J114" i="96"/>
  <c r="I114" i="96"/>
  <c r="H114" i="96"/>
  <c r="G11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L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L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L31" i="96"/>
  <c r="K31" i="96"/>
  <c r="J31" i="96"/>
  <c r="I31" i="96"/>
  <c r="H31" i="96"/>
  <c r="G31" i="96"/>
  <c r="S30" i="96"/>
  <c r="R30" i="96"/>
  <c r="Q30" i="96"/>
  <c r="P30" i="96"/>
  <c r="O30" i="96"/>
  <c r="N30" i="96"/>
  <c r="M30" i="96"/>
  <c r="L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L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L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L16" i="96"/>
  <c r="K16" i="96"/>
  <c r="J16" i="96"/>
  <c r="I16" i="96"/>
  <c r="H16" i="96"/>
  <c r="G16" i="96"/>
  <c r="S15" i="96"/>
  <c r="R15" i="96"/>
  <c r="Q15" i="96"/>
  <c r="P15" i="96"/>
  <c r="O15" i="96"/>
  <c r="N15" i="96"/>
  <c r="M15" i="96"/>
  <c r="L15" i="96"/>
  <c r="K15" i="96"/>
  <c r="J15" i="96"/>
  <c r="I15" i="96"/>
  <c r="H15" i="96"/>
  <c r="G15" i="96"/>
  <c r="S14" i="96"/>
  <c r="R14" i="96"/>
  <c r="Q14" i="96"/>
  <c r="P14" i="96"/>
  <c r="O14" i="96"/>
  <c r="N14" i="96"/>
  <c r="M14" i="96"/>
  <c r="L14" i="96"/>
  <c r="K14" i="96"/>
  <c r="J14" i="96"/>
  <c r="I14" i="96"/>
  <c r="H14" i="96"/>
  <c r="G14" i="96"/>
  <c r="S117" i="96"/>
  <c r="R117" i="96"/>
  <c r="K117" i="96"/>
  <c r="J117" i="96"/>
  <c r="I117" i="96"/>
  <c r="H117" i="96"/>
  <c r="G117" i="96"/>
  <c r="S116" i="96"/>
  <c r="R116" i="96"/>
  <c r="K116" i="96"/>
  <c r="J116" i="96"/>
  <c r="I116" i="96"/>
  <c r="H116" i="96"/>
  <c r="G116" i="96"/>
  <c r="S115" i="96"/>
  <c r="R115" i="96"/>
  <c r="K115" i="96"/>
  <c r="J115" i="96"/>
  <c r="I115" i="96"/>
  <c r="H115" i="96"/>
  <c r="G115" i="96"/>
  <c r="S12" i="96"/>
  <c r="R12" i="96"/>
  <c r="Q12" i="96"/>
  <c r="P12" i="96"/>
  <c r="O12" i="96"/>
  <c r="N12" i="96"/>
  <c r="M12" i="96"/>
  <c r="L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E126" i="86"/>
  <c r="F126" i="86"/>
  <c r="E127" i="86"/>
  <c r="F127" i="86"/>
  <c r="E128" i="86"/>
  <c r="F128" i="86"/>
  <c r="E129" i="86"/>
  <c r="F129" i="86"/>
  <c r="E130" i="86"/>
  <c r="F130" i="86"/>
  <c r="E131" i="86"/>
  <c r="F131" i="86"/>
  <c r="E132" i="86"/>
  <c r="F132" i="86"/>
  <c r="E133" i="86"/>
  <c r="F133" i="86"/>
  <c r="E134" i="86"/>
  <c r="F134" i="86"/>
  <c r="E135" i="86"/>
  <c r="F135" i="86"/>
  <c r="E136" i="86"/>
  <c r="F136" i="86"/>
  <c r="F137" i="86"/>
  <c r="F138" i="86"/>
  <c r="E139" i="86"/>
  <c r="F139" i="86"/>
  <c r="E140" i="86"/>
  <c r="F140" i="86"/>
  <c r="E141" i="86"/>
  <c r="F141" i="86"/>
  <c r="E142" i="86"/>
  <c r="F142" i="86"/>
  <c r="E143" i="86"/>
  <c r="F143" i="86"/>
  <c r="E144" i="86"/>
  <c r="F144" i="86"/>
  <c r="D145" i="86"/>
  <c r="E145" i="86"/>
  <c r="F145" i="86"/>
  <c r="D146" i="86"/>
  <c r="E146" i="86"/>
  <c r="F146" i="86"/>
  <c r="D147" i="86"/>
  <c r="E147" i="86"/>
  <c r="F147" i="86"/>
  <c r="D148" i="86"/>
  <c r="E148" i="86"/>
  <c r="F148" i="86"/>
  <c r="D149" i="86"/>
  <c r="E149" i="86"/>
  <c r="F149" i="86"/>
  <c r="F150" i="86"/>
  <c r="F151" i="86"/>
  <c r="E152" i="86"/>
  <c r="F152" i="86"/>
  <c r="F153" i="86"/>
  <c r="D154" i="86"/>
  <c r="E154" i="86"/>
  <c r="F154" i="86"/>
  <c r="D155" i="86"/>
  <c r="E155" i="86"/>
  <c r="F155" i="86"/>
  <c r="D156" i="86"/>
  <c r="E156" i="86"/>
  <c r="F156" i="86"/>
  <c r="D157" i="86"/>
  <c r="E157" i="86"/>
  <c r="F157" i="86"/>
  <c r="D158" i="86"/>
  <c r="E158" i="86"/>
  <c r="F158" i="86"/>
  <c r="D159" i="86"/>
  <c r="E159" i="86"/>
  <c r="F159" i="86"/>
  <c r="D160" i="86"/>
  <c r="E160" i="86"/>
  <c r="F160" i="86"/>
  <c r="D161" i="86"/>
  <c r="E161" i="86"/>
  <c r="F161" i="86"/>
  <c r="D162" i="86"/>
  <c r="E162" i="86"/>
  <c r="F162" i="86"/>
  <c r="D163" i="86"/>
  <c r="E163" i="86"/>
  <c r="F163" i="86"/>
  <c r="D164" i="86"/>
  <c r="E164" i="86"/>
  <c r="F164" i="86"/>
  <c r="D165" i="86"/>
  <c r="E165" i="86"/>
  <c r="F165" i="86"/>
  <c r="D166" i="86"/>
  <c r="E166" i="86"/>
  <c r="F166" i="86"/>
  <c r="D167" i="86"/>
  <c r="E167" i="86"/>
  <c r="F167" i="86"/>
  <c r="D168" i="86"/>
  <c r="E168" i="86"/>
  <c r="F168" i="86"/>
  <c r="D169" i="86"/>
  <c r="E169" i="86"/>
  <c r="F169" i="86"/>
  <c r="D170" i="86"/>
  <c r="E170" i="86"/>
  <c r="F170" i="86"/>
  <c r="D171" i="86"/>
  <c r="E171" i="86"/>
  <c r="F171" i="86"/>
  <c r="D172" i="86"/>
  <c r="E172" i="86"/>
  <c r="F172" i="86"/>
  <c r="D173" i="86"/>
  <c r="E173" i="86"/>
  <c r="F173" i="86"/>
  <c r="F174" i="86"/>
  <c r="F175" i="86"/>
  <c r="F176" i="86"/>
  <c r="F177" i="86"/>
  <c r="F2" i="86"/>
  <c r="F161" i="87"/>
  <c r="F160" i="87"/>
  <c r="F159" i="87"/>
  <c r="F158" i="87"/>
  <c r="F157" i="87"/>
  <c r="F156" i="87"/>
  <c r="F155" i="87"/>
  <c r="F154" i="87"/>
  <c r="D135" i="87"/>
  <c r="D136" i="87"/>
  <c r="D137" i="87"/>
  <c r="D138" i="87"/>
  <c r="D139" i="87"/>
  <c r="D140" i="87"/>
  <c r="D141" i="87"/>
  <c r="D142" i="87"/>
  <c r="D143" i="87"/>
  <c r="D144" i="87"/>
  <c r="D145" i="87"/>
  <c r="D146" i="87"/>
  <c r="D147" i="87"/>
  <c r="D148" i="87"/>
  <c r="D149" i="87"/>
  <c r="D150" i="87"/>
  <c r="D151" i="87"/>
  <c r="D152" i="87"/>
  <c r="D153" i="87"/>
  <c r="E153" i="87"/>
  <c r="F153" i="87"/>
  <c r="E152" i="87"/>
  <c r="F152" i="87"/>
  <c r="E151" i="87"/>
  <c r="F151" i="87"/>
  <c r="E150" i="87"/>
  <c r="F150" i="87"/>
  <c r="E149" i="87"/>
  <c r="F149" i="87"/>
  <c r="E148" i="87"/>
  <c r="F148" i="87"/>
  <c r="E147" i="87"/>
  <c r="F147" i="87"/>
  <c r="E146" i="87"/>
  <c r="F146" i="87"/>
  <c r="E145" i="87"/>
  <c r="F145" i="87"/>
  <c r="E144" i="87"/>
  <c r="F144" i="87"/>
  <c r="E143" i="87"/>
  <c r="F143" i="87"/>
  <c r="E142" i="87"/>
  <c r="F142" i="87"/>
  <c r="E141" i="87"/>
  <c r="F141" i="87"/>
  <c r="E140" i="87"/>
  <c r="F140" i="87"/>
  <c r="E139" i="87"/>
  <c r="F139" i="87"/>
  <c r="E138" i="87"/>
  <c r="F138" i="87"/>
  <c r="E137" i="87"/>
  <c r="F137" i="87"/>
  <c r="E136" i="87"/>
  <c r="F136" i="87"/>
  <c r="E135" i="87"/>
  <c r="F135" i="87"/>
  <c r="F134" i="87"/>
  <c r="F133" i="87"/>
  <c r="E132" i="87"/>
  <c r="F132" i="87"/>
  <c r="E131" i="87"/>
  <c r="F131" i="87"/>
  <c r="E130" i="87"/>
  <c r="F130" i="87"/>
  <c r="E129" i="87"/>
  <c r="F129" i="87"/>
  <c r="E128" i="87"/>
  <c r="F128" i="87"/>
  <c r="E127" i="87"/>
  <c r="F127" i="87"/>
  <c r="E126" i="87"/>
  <c r="F126" i="87"/>
  <c r="E125" i="87"/>
  <c r="F125" i="87"/>
  <c r="E124" i="87"/>
  <c r="F124" i="87"/>
  <c r="E123" i="87"/>
  <c r="F123" i="87"/>
  <c r="F122" i="87"/>
  <c r="F121" i="87"/>
  <c r="E120" i="87"/>
  <c r="F120" i="87"/>
  <c r="E119" i="87"/>
  <c r="F119" i="87"/>
  <c r="E118" i="87"/>
  <c r="F118" i="87"/>
  <c r="E117" i="87"/>
  <c r="F117" i="87"/>
  <c r="E116" i="87"/>
  <c r="F116" i="87"/>
  <c r="E115" i="87"/>
  <c r="F115" i="87"/>
  <c r="E114" i="87"/>
  <c r="F114" i="87"/>
  <c r="E113" i="87"/>
  <c r="F113" i="87"/>
  <c r="E112"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61" i="87"/>
  <c r="K160" i="87"/>
  <c r="K159" i="87"/>
  <c r="K158" i="87"/>
  <c r="K157" i="87"/>
  <c r="E22" i="91"/>
  <c r="O21" i="91"/>
  <c r="I21" i="91"/>
  <c r="E21" i="91"/>
  <c r="E19" i="91"/>
  <c r="E18" i="91"/>
  <c r="E16" i="91"/>
  <c r="T156" i="91"/>
  <c r="O156" i="91"/>
  <c r="I156" i="91"/>
  <c r="E156" i="91"/>
  <c r="T155" i="91"/>
  <c r="O155" i="91"/>
  <c r="I155" i="91"/>
  <c r="E155" i="91"/>
  <c r="T154" i="91"/>
  <c r="O154" i="91"/>
  <c r="I154" i="91"/>
  <c r="E154" i="91"/>
  <c r="T153" i="91"/>
  <c r="O153" i="91"/>
  <c r="I153" i="91"/>
  <c r="E153" i="91"/>
  <c r="T151" i="91"/>
  <c r="O151" i="91"/>
  <c r="I151" i="91"/>
  <c r="E151" i="91"/>
  <c r="T150" i="91"/>
  <c r="O150" i="91"/>
  <c r="I150" i="91"/>
  <c r="E150" i="91"/>
  <c r="T149" i="91"/>
  <c r="O149" i="91"/>
  <c r="I149" i="91"/>
  <c r="E149" i="91"/>
  <c r="T148" i="91"/>
  <c r="O148" i="91"/>
  <c r="I148" i="91"/>
  <c r="E148" i="91"/>
  <c r="T147" i="91"/>
  <c r="O147" i="91"/>
  <c r="I147" i="91"/>
  <c r="E147" i="91"/>
  <c r="T145" i="91"/>
  <c r="O145" i="91"/>
  <c r="I145" i="91"/>
  <c r="E145" i="91"/>
  <c r="T144" i="91"/>
  <c r="O144" i="91"/>
  <c r="I144" i="91"/>
  <c r="E144" i="91"/>
  <c r="T142" i="91"/>
  <c r="O142" i="91"/>
  <c r="I142" i="91"/>
  <c r="E142" i="91"/>
  <c r="T141" i="91"/>
  <c r="O141" i="91"/>
  <c r="I141" i="91"/>
  <c r="E141" i="91"/>
  <c r="T140" i="91"/>
  <c r="O140" i="91"/>
  <c r="I140" i="91"/>
  <c r="E140" i="91"/>
  <c r="T139" i="91"/>
  <c r="O139" i="91"/>
  <c r="I139" i="91"/>
  <c r="E139" i="91"/>
  <c r="T138" i="91"/>
  <c r="O138" i="91"/>
  <c r="I138" i="91"/>
  <c r="E138" i="91"/>
  <c r="T137" i="91"/>
  <c r="O137" i="91"/>
  <c r="I137" i="91"/>
  <c r="E137" i="91"/>
  <c r="T136" i="91"/>
  <c r="O136" i="91"/>
  <c r="I136" i="91"/>
  <c r="E136" i="91"/>
  <c r="I132" i="91"/>
  <c r="E132" i="91"/>
  <c r="T131" i="91"/>
  <c r="O131" i="91"/>
  <c r="I131" i="91"/>
  <c r="E131" i="91"/>
  <c r="T129" i="91"/>
  <c r="O129" i="91"/>
  <c r="I129" i="91"/>
  <c r="E129" i="91"/>
  <c r="E128" i="91"/>
  <c r="E127" i="91"/>
  <c r="T126" i="91"/>
  <c r="O126" i="91"/>
  <c r="I126" i="91"/>
  <c r="E126" i="91"/>
  <c r="T125" i="91"/>
  <c r="O125" i="91"/>
  <c r="I125" i="91"/>
  <c r="E125" i="91"/>
  <c r="E118" i="91"/>
  <c r="E117" i="91"/>
  <c r="E116" i="91"/>
  <c r="E115" i="91"/>
  <c r="E114" i="91"/>
  <c r="E113" i="91"/>
  <c r="E112" i="91"/>
  <c r="E111" i="91"/>
  <c r="T105" i="91"/>
  <c r="O105" i="91"/>
  <c r="I105" i="91"/>
  <c r="E105" i="91"/>
  <c r="T103" i="91"/>
  <c r="O103" i="91"/>
  <c r="I103" i="91"/>
  <c r="E103" i="91"/>
  <c r="T102" i="91"/>
  <c r="O102" i="91"/>
  <c r="I102" i="91"/>
  <c r="E102" i="91"/>
  <c r="E98" i="91"/>
  <c r="E97" i="91"/>
  <c r="T93" i="91"/>
  <c r="O93" i="91"/>
  <c r="I93" i="91"/>
  <c r="E93" i="91"/>
  <c r="E92" i="91"/>
  <c r="T91" i="91"/>
  <c r="O91" i="91"/>
  <c r="I91" i="91"/>
  <c r="E91" i="91"/>
  <c r="E90" i="91"/>
  <c r="E89" i="91"/>
  <c r="T80" i="91"/>
  <c r="O80" i="91"/>
  <c r="I80" i="91"/>
  <c r="E80" i="91"/>
  <c r="E78" i="91"/>
  <c r="E77" i="91"/>
  <c r="T73" i="91"/>
  <c r="O73" i="91"/>
  <c r="I73" i="91"/>
  <c r="E73" i="91"/>
  <c r="E69" i="91"/>
  <c r="E68" i="91"/>
  <c r="E67" i="91"/>
  <c r="E66" i="91"/>
  <c r="E61" i="91"/>
  <c r="E60" i="91"/>
  <c r="E57" i="91"/>
  <c r="E56" i="91"/>
  <c r="E55" i="91"/>
  <c r="E54" i="91"/>
  <c r="E53" i="91"/>
  <c r="E50" i="91"/>
  <c r="E49" i="91"/>
  <c r="E45" i="91"/>
  <c r="T43" i="91"/>
  <c r="O43" i="91"/>
  <c r="I43" i="91"/>
  <c r="E43" i="91"/>
  <c r="T41" i="91"/>
  <c r="O41" i="91"/>
  <c r="I41" i="91"/>
  <c r="E41"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3" i="90"/>
  <c r="Y55" i="90"/>
  <c r="Y56" i="90"/>
  <c r="Y57" i="90"/>
  <c r="Y58" i="90"/>
  <c r="Y59" i="90"/>
  <c r="Y62" i="90"/>
  <c r="Y63" i="90"/>
  <c r="Y64" i="90"/>
  <c r="Y65" i="90"/>
  <c r="Y66" i="90"/>
  <c r="Y68" i="90"/>
  <c r="Y70" i="90"/>
  <c r="Y72" i="90"/>
  <c r="Y74" i="90"/>
  <c r="Y75"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5" i="90"/>
  <c r="Y116" i="90"/>
  <c r="Y119" i="90"/>
  <c r="Y123" i="90"/>
  <c r="Y124" i="90"/>
  <c r="Y125" i="90"/>
  <c r="Y126" i="90"/>
  <c r="Y127" i="90"/>
  <c r="Y128" i="90"/>
  <c r="Y142" i="90"/>
  <c r="Y151" i="90"/>
  <c r="Y152" i="90"/>
  <c r="Y153" i="90"/>
  <c r="Y154" i="90"/>
  <c r="Y155" i="90"/>
  <c r="Y156" i="90"/>
  <c r="Y157" i="90"/>
  <c r="Y158" i="90"/>
  <c r="Y159" i="90"/>
  <c r="Y160" i="90"/>
  <c r="Y161" i="90"/>
  <c r="Y162" i="90"/>
  <c r="Y163" i="90"/>
  <c r="Y164" i="90"/>
  <c r="Y165" i="90"/>
  <c r="Y166" i="90"/>
  <c r="Y167" i="90"/>
  <c r="Y168" i="90"/>
  <c r="Y169" i="90"/>
  <c r="Y170" i="90"/>
  <c r="Y171" i="90"/>
  <c r="Y172" i="90"/>
  <c r="Y173" i="90"/>
  <c r="Y174" i="90"/>
  <c r="Y175" i="90"/>
  <c r="Y176"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27" i="90"/>
  <c r="R128" i="90"/>
  <c r="R142" i="90"/>
  <c r="R152" i="90"/>
  <c r="R153" i="90"/>
  <c r="R154" i="90"/>
  <c r="R155" i="90"/>
  <c r="R156" i="90"/>
  <c r="R157" i="90"/>
  <c r="R158" i="90"/>
  <c r="R159" i="90"/>
  <c r="R160" i="90"/>
  <c r="R161" i="90"/>
  <c r="R162" i="90"/>
  <c r="R163" i="90"/>
  <c r="R164" i="90"/>
  <c r="R165" i="90"/>
  <c r="R166" i="90"/>
  <c r="R167" i="90"/>
  <c r="R168" i="90"/>
  <c r="R169" i="90"/>
  <c r="R170" i="90"/>
  <c r="R171" i="90"/>
  <c r="R172" i="90"/>
  <c r="R173" i="90"/>
  <c r="R174" i="90"/>
  <c r="R175" i="90"/>
  <c r="R176"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27" i="90"/>
  <c r="J128" i="90"/>
  <c r="J142"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27" i="90"/>
  <c r="E128" i="90"/>
  <c r="E142" i="90"/>
  <c r="E152" i="90"/>
  <c r="E153" i="90"/>
  <c r="E154" i="90"/>
  <c r="E155" i="90"/>
  <c r="E156" i="90"/>
  <c r="E157" i="90"/>
  <c r="E158" i="90"/>
  <c r="E159" i="90"/>
  <c r="E160" i="90"/>
  <c r="E161" i="90"/>
  <c r="E162" i="90"/>
  <c r="E163" i="90"/>
  <c r="E164" i="90"/>
  <c r="E165" i="90"/>
  <c r="E166" i="90"/>
  <c r="E167" i="90"/>
  <c r="E168" i="90"/>
  <c r="E169" i="90"/>
  <c r="E170" i="90"/>
  <c r="E171" i="90"/>
  <c r="E172" i="90"/>
  <c r="E173" i="90"/>
  <c r="E174" i="90"/>
  <c r="E175" i="90"/>
  <c r="E176"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2" i="87"/>
  <c r="L3" i="87"/>
  <c r="L4" i="87"/>
  <c r="L5" i="87"/>
  <c r="L6" i="87"/>
  <c r="L7" i="87"/>
  <c r="L8" i="87"/>
  <c r="L9" i="87"/>
  <c r="L10" i="87"/>
  <c r="L11" i="87"/>
  <c r="L12" i="87"/>
  <c r="L13" i="87"/>
  <c r="L14" i="87"/>
  <c r="L15" i="87"/>
  <c r="L16"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2"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30" i="56"/>
  <c r="B27" i="56"/>
  <c r="I275" i="11"/>
  <c r="B11" i="78"/>
  <c r="B15" i="78"/>
  <c r="B16" i="78"/>
  <c r="B17"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0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 ref="T831" authorId="0" shapeId="0" xr:uid="{644ECD97-C93B-4F9E-8817-FE6D5A74B8E1}">
      <text>
        <r>
          <rPr>
            <b/>
            <sz val="9"/>
            <color indexed="81"/>
            <rFont val="Tahoma"/>
            <family val="2"/>
          </rPr>
          <t>Rui Han (AgileOne):</t>
        </r>
        <r>
          <rPr>
            <sz val="9"/>
            <color indexed="81"/>
            <rFont val="Tahoma"/>
            <family val="2"/>
          </rPr>
          <t xml:space="preserve">
study done at one or two woredas, used as nationally representative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<sst xmlns="http://schemas.openxmlformats.org/spreadsheetml/2006/main" count="60734" uniqueCount="3375">
  <si>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</si>
  <si>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</si>
  <si>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</si>
  <si>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</si>
  <si>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</si>
  <si>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</si>
  <si>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</si>
  <si>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</si>
  <si>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</si>
  <si>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</si>
  <si>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</si>
  <si>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</si>
  <si>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</si>
  <si>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</si>
  <si>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</si>
  <si>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</si>
  <si>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</si>
  <si>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</si>
  <si>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</si>
  <si>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</si>
  <si>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</si>
  <si>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</si>
  <si>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</si>
  <si>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</si>
  <si>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</si>
  <si>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</si>
  <si>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</si>
  <si>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</si>
  <si>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</si>
  <si>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</si>
  <si>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</si>
  <si>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</si>
  <si>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</si>
  <si>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</si>
  <si>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</si>
  <si>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</si>
  <si>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</si>
  <si>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</si>
  <si>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</si>
  <si>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</si>
  <si>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</si>
  <si>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</si>
  <si>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</si>
  <si>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</si>
  <si>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</si>
  <si>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</si>
  <si>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</si>
  <si>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</si>
  <si>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</si>
  <si>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</si>
  <si>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</si>
  <si>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</si>
  <si>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</si>
  <si>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</si>
  <si>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</si>
  <si>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</si>
  <si>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</si>
  <si>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</si>
  <si>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</si>
  <si>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</si>
  <si>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</si>
  <si>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</si>
  <si>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</si>
  <si>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</si>
  <si>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</si>
  <si>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</si>
  <si>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</si>
  <si>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</si>
  <si>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</si>
  <si>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</si>
  <si>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</si>
  <si>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</si>
  <si>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</si>
  <si>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</si>
  <si>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</si>
  <si>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</si>
  <si>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</si>
  <si>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</si>
  <si>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</si>
  <si>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</si>
  <si>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</si>
  <si>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</si>
  <si>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</si>
  <si>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</si>
  <si>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</si>
  <si>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</si>
  <si>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</si>
  <si>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</si>
  <si>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</si>
  <si>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</si>
  <si>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</si>
  <si>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</si>
  <si>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</si>
  <si>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</si>
  <si>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</si>
  <si>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</si>
  <si>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</si>
  <si>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</si>
  <si>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</si>
  <si>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</si>
  <si>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</si>
  <si>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</si>
  <si>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</si>
  <si>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</si>
  <si>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</si>
  <si>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</si>
  <si>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</si>
  <si>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</si>
  <si>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</si>
  <si>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</si>
  <si>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</si>
  <si>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</si>
  <si>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</si>
  <si>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</si>
  <si>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</si>
  <si>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</si>
  <si>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</si>
  <si>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</si>
  <si>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</si>
  <si>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</si>
  <si>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</si>
  <si>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</si>
  <si>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</si>
  <si>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</si>
  <si>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</si>
  <si>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</si>
  <si>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</si>
  <si>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</si>
  <si>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</si>
  <si>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</si>
  <si>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</si>
  <si>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</si>
  <si>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</si>
  <si>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</si>
  <si>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</si>
  <si>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</si>
  <si>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</si>
  <si>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</si>
  <si>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</si>
  <si>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</si>
  <si>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</si>
  <si>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</si>
  <si>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</si>
  <si>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</si>
  <si>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</si>
  <si>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</si>
  <si>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</si>
  <si>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</si>
  <si>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</si>
  <si>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</si>
  <si>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</si>
  <si>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</si>
  <si>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</si>
  <si>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</si>
  <si>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</si>
  <si>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</si>
  <si>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</si>
  <si>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</si>
  <si>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</si>
  <si>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</si>
  <si>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</si>
  <si>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</si>
  <si>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</si>
  <si>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</si>
  <si>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</si>
  <si>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</si>
  <si>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</si>
  <si>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</si>
  <si>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</si>
  <si>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</si>
  <si>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</si>
  <si>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</si>
  <si>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</si>
  <si>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</si>
  <si>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</si>
  <si>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</si>
  <si>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</si>
  <si>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</si>
  <si>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</si>
  <si>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</si>
  <si>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</si>
  <si>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</si>
  <si>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</si>
  <si>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</si>
  <si>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</si>
  <si>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</si>
  <si>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</si>
  <si>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</si>
  <si>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</si>
  <si>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</si>
  <si>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</si>
  <si>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</si>
  <si>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</si>
  <si>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</si>
  <si>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</si>
  <si>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</si>
  <si>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</si>
  <si>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</si>
  <si>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</si>
  <si>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</si>
  <si>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</si>
  <si>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</si>
  <si>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</si>
  <si>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</si>
  <si>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</si>
  <si>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</si>
  <si>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</si>
  <si>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</si>
  <si>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</si>
  <si>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</si>
  <si>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</si>
  <si>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</si>
  <si>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</si>
  <si>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</si>
  <si>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</si>
  <si>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</si>
  <si>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</si>
  <si>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</si>
  <si>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</si>
  <si>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</si>
  <si>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</si>
  <si>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</si>
  <si>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</si>
  <si>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</si>
  <si>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</si>
  <si>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</si>
  <si>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</si>
  <si>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</si>
  <si>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</si>
  <si>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</si>
  <si>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</si>
  <si>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</si>
  <si>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</si>
  <si>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</si>
  <si>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</si>
  <si>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</si>
  <si>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</si>
  <si>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</si>
  <si>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</si>
  <si>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</si>
  <si>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</si>
  <si>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</si>
  <si>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</si>
  <si>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</si>
  <si>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</si>
  <si>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</si>
  <si>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</si>
  <si>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</si>
  <si>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</si>
  <si>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</si>
  <si>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</si>
  <si>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</si>
  <si>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</si>
  <si>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</si>
  <si>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</si>
  <si>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</si>
  <si>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</si>
  <si>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</si>
  <si>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</si>
  <si>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</si>
  <si>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</si>
  <si>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</si>
  <si>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</si>
  <si>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</si>
  <si>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</si>
  <si>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</si>
  <si>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</si>
  <si>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</si>
  <si>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</si>
  <si>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</si>
  <si>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</si>
  <si>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</si>
  <si>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</si>
  <si>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</si>
  <si>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</si>
  <si>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</si>
  <si>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</si>
  <si>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</si>
  <si>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</si>
  <si>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</si>
  <si>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</si>
  <si>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</si>
  <si>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</si>
  <si>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</si>
  <si>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</si>
  <si>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</si>
  <si>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</si>
  <si>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</si>
  <si>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</si>
  <si>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</si>
  <si>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</si>
  <si>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</si>
  <si>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</si>
  <si>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</si>
  <si>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</si>
  <si>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</si>
  <si>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</si>
  <si>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</si>
  <si>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</si>
  <si>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</si>
  <si>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</si>
  <si>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</si>
  <si>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</si>
  <si>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</si>
  <si>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</si>
  <si>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</si>
  <si>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</si>
  <si>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</si>
  <si>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</si>
  <si>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</si>
  <si>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</si>
  <si>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</si>
  <si>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</si>
  <si>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</si>
  <si>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</si>
  <si>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</si>
  <si>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</si>
  <si>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</si>
  <si>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</si>
  <si>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</si>
  <si>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</si>
  <si>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</si>
  <si>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</si>
  <si>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</si>
  <si>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</si>
  <si>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</si>
  <si>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</si>
  <si>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</si>
  <si>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</si>
  <si>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</si>
  <si>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</si>
  <si>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</si>
  <si>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</si>
  <si>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</si>
  <si>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</si>
  <si>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</si>
  <si>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</si>
  <si>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</si>
  <si>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</si>
  <si>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</si>
  <si>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</si>
  <si>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</si>
  <si>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</si>
  <si>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</si>
  <si>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</si>
  <si>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</si>
  <si>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</si>
  <si>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</si>
  <si>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</si>
  <si>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</si>
  <si>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</si>
  <si>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</si>
  <si>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</si>
  <si>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</si>
  <si>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</si>
  <si>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</si>
  <si>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</si>
  <si>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</si>
  <si>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</si>
  <si>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</si>
  <si>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</si>
  <si>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</si>
  <si>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</si>
  <si>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</si>
  <si>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</si>
  <si>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</si>
  <si>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</si>
  <si>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</si>
  <si>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</si>
  <si>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</si>
  <si>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</si>
  <si>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</si>
  <si>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</si>
  <si>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</si>
  <si>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</si>
  <si>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</si>
  <si>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</si>
  <si>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</si>
  <si>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</si>
  <si>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</si>
  <si>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</si>
  <si>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</si>
  <si>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</si>
  <si>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</si>
  <si>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</si>
  <si>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</si>
  <si>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</si>
  <si>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</si>
  <si>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</si>
  <si>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</si>
  <si>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</si>
  <si>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</si>
  <si>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</si>
  <si>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</si>
  <si>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</si>
  <si>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</si>
  <si>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</si>
  <si>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</si>
  <si>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</si>
  <si>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</si>
  <si>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</si>
  <si>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</si>
  <si>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</si>
  <si>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</si>
  <si>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</si>
  <si>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</si>
  <si>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</si>
  <si>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</si>
  <si>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</si>
  <si>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</si>
  <si>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</si>
  <si>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</si>
  <si>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</si>
  <si>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</si>
  <si>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</si>
  <si>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</si>
  <si>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</si>
  <si>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</si>
  <si>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</si>
  <si>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</si>
  <si>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</si>
  <si>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</si>
  <si>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</si>
  <si>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</si>
  <si>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</si>
  <si>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</si>
  <si>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</si>
  <si>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</si>
  <si>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</si>
  <si>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</si>
  <si>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</si>
  <si>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</si>
  <si>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</si>
  <si>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</si>
  <si>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</si>
  <si>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</si>
  <si>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</si>
  <si>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</si>
  <si>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</si>
  <si>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</si>
  <si>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</si>
  <si>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</si>
  <si>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</si>
  <si>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</si>
  <si>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</si>
  <si>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</si>
  <si>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</si>
  <si>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</si>
  <si>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</si>
  <si>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</si>
  <si>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</si>
  <si>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</si>
  <si>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</si>
  <si>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</si>
  <si>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</si>
  <si>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</si>
  <si>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</si>
  <si>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</si>
  <si>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</si>
  <si>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</si>
  <si>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</si>
  <si>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</si>
  <si>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</si>
  <si>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</si>
  <si>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</si>
  <si>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</si>
  <si>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</si>
  <si>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</si>
  <si>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</si>
  <si>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</si>
  <si>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</si>
  <si>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</si>
  <si>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</si>
  <si>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</si>
  <si>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</si>
  <si>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</si>
  <si>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</si>
  <si>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</si>
  <si>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</si>
  <si>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</si>
  <si>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</si>
  <si>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</si>
  <si>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</si>
  <si>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</si>
  <si>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</si>
  <si>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</si>
  <si>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</si>
  <si>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</si>
  <si>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</si>
  <si>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</si>
  <si>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</si>
  <si>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</si>
  <si>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</si>
  <si>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</si>
  <si>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</si>
  <si>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</si>
  <si>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</si>
  <si>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</si>
  <si>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</si>
  <si>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</si>
  <si>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</si>
  <si>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</si>
  <si>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</si>
  <si>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</si>
  <si>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</si>
  <si>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</si>
  <si>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</si>
  <si>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</si>
  <si>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</si>
  <si>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</si>
  <si>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</si>
  <si>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</si>
  <si>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</si>
  <si>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</si>
  <si>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</si>
  <si>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</si>
  <si>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</si>
  <si>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</si>
  <si>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</si>
  <si>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</si>
  <si>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</si>
  <si>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</si>
  <si>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</si>
  <si>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</si>
  <si>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</si>
  <si>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</si>
  <si>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</si>
  <si>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</si>
  <si>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</si>
  <si>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</si>
  <si>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</si>
  <si>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</si>
  <si>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</si>
  <si>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</si>
  <si>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</si>
  <si>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</si>
  <si>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</si>
  <si>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</si>
  <si>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</si>
  <si>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</si>
  <si>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</si>
  <si>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</si>
  <si>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</si>
  <si>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</si>
  <si>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</si>
  <si>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</si>
  <si>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</si>
  <si>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</si>
  <si>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</si>
  <si>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</si>
  <si>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</si>
  <si>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</si>
  <si>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</si>
  <si>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</si>
  <si>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</si>
  <si>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</si>
  <si>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</si>
  <si>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</si>
  <si>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</si>
  <si>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</si>
  <si>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</si>
  <si>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</si>
  <si>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</si>
  <si>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</si>
  <si>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</si>
  <si>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</si>
  <si>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</si>
  <si>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</si>
  <si>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</si>
  <si>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</si>
  <si>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</si>
  <si>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</si>
  <si>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</si>
  <si>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</si>
  <si>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</si>
  <si>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</si>
  <si>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</si>
  <si>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</si>
  <si>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</si>
  <si>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</si>
  <si>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</si>
  <si>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</si>
  <si>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</si>
  <si>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</si>
  <si>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</si>
  <si>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</si>
  <si>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</si>
  <si>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</si>
  <si>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</si>
  <si>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</si>
  <si>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</si>
  <si>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</si>
  <si>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</si>
  <si>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</si>
  <si>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</si>
  <si>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</si>
  <si>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</si>
  <si>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</si>
  <si>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</si>
  <si>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</si>
  <si>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</si>
  <si>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</si>
  <si>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</si>
  <si>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</si>
  <si>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</si>
  <si>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</si>
  <si>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</si>
  <si>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</si>
  <si>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</si>
  <si>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</si>
  <si>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</si>
  <si>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</si>
  <si>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</si>
  <si>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</si>
  <si>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</si>
  <si>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</si>
  <si>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</si>
  <si>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</si>
  <si>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</si>
  <si>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</si>
  <si>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</si>
  <si>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</si>
  <si>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</si>
  <si>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</si>
  <si>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</si>
  <si>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</si>
  <si>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</si>
  <si>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</si>
  <si>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</si>
  <si>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</si>
  <si>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</si>
  <si>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</si>
  <si>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</si>
  <si>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</si>
  <si>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</si>
  <si>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</si>
  <si>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</si>
  <si>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</si>
  <si>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</si>
  <si>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</si>
  <si>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</si>
  <si>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</si>
  <si>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</si>
  <si>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</si>
  <si>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</si>
  <si>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</si>
  <si>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</si>
  <si>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</si>
  <si>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</si>
  <si>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</si>
  <si>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</si>
  <si>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</si>
  <si>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</si>
  <si>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</si>
  <si>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</si>
  <si>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</si>
  <si>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</si>
  <si>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</si>
  <si>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</si>
  <si>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</si>
  <si>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</si>
  <si>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</si>
  <si>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</si>
  <si>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</si>
  <si>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</si>
  <si>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</si>
  <si>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</si>
  <si>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</si>
  <si>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</si>
  <si>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</si>
  <si>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</si>
  <si>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</si>
  <si>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</si>
  <si>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</si>
  <si>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</si>
  <si>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</si>
  <si>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</si>
  <si>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</si>
  <si>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</si>
  <si>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</si>
  <si>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</si>
  <si>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</si>
  <si>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</si>
  <si>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</si>
  <si>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</si>
  <si>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</si>
  <si>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</si>
  <si>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</si>
  <si>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</si>
  <si>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</si>
  <si>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</si>
  <si>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</si>
  <si>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</si>
  <si>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</si>
  <si>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</si>
  <si>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</si>
  <si>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</si>
  <si>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</si>
  <si>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</si>
  <si>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</si>
  <si>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</si>
  <si>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</si>
  <si>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</si>
  <si>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</si>
  <si>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</si>
  <si>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</si>
  <si>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</si>
  <si>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</si>
  <si>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</si>
  <si>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</si>
  <si>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</si>
  <si>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</si>
  <si>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</si>
  <si>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</si>
  <si>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</si>
  <si>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</si>
  <si>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</si>
  <si>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</si>
  <si>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</si>
  <si>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</si>
  <si>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</si>
  <si>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</si>
  <si>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</si>
  <si>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</si>
  <si>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</si>
  <si>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</si>
  <si>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</si>
  <si>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</si>
  <si>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</si>
  <si>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</si>
  <si>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</si>
  <si>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</si>
  <si>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</si>
  <si>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</si>
  <si>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</si>
  <si>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</si>
  <si>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</si>
  <si>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</si>
  <si>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</si>
  <si>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</si>
  <si>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</si>
  <si>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</si>
  <si>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</si>
  <si>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</si>
  <si>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</si>
  <si>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</si>
  <si>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</si>
  <si>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</si>
  <si>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</si>
  <si>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</si>
  <si>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</si>
  <si>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</si>
  <si>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</si>
  <si>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</si>
  <si>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</si>
  <si>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</si>
  <si>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</si>
  <si>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</si>
  <si>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</si>
  <si>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</si>
  <si>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</si>
  <si>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</si>
  <si>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</si>
  <si>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</si>
  <si>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</si>
  <si>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</si>
  <si>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</si>
  <si>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</si>
  <si>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</si>
  <si>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</si>
  <si>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</si>
  <si>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</si>
  <si>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</si>
  <si>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</si>
  <si>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</si>
  <si>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</si>
  <si>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</si>
  <si>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</si>
  <si>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</si>
  <si>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</si>
  <si>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</si>
  <si>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</si>
  <si>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</si>
  <si>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</si>
  <si>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</si>
  <si>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</si>
  <si>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</si>
  <si>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</si>
  <si>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</si>
  <si>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</si>
  <si>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</si>
  <si>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</si>
  <si>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</si>
  <si>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</si>
  <si>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</si>
  <si>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</si>
  <si>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</si>
  <si>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</si>
  <si>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</si>
  <si>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</si>
  <si>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</si>
  <si>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</si>
  <si>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</si>
  <si>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</si>
  <si>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</si>
  <si>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</si>
  <si>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</si>
  <si>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</si>
  <si>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</si>
  <si>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</si>
  <si>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</si>
  <si>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</si>
  <si>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</si>
  <si>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</si>
  <si>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</si>
  <si>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</si>
  <si>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</si>
  <si>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</si>
  <si>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</si>
  <si>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</si>
  <si>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</si>
  <si>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</si>
  <si>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</si>
  <si>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</si>
  <si>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</si>
  <si>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</si>
  <si>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</si>
  <si>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</si>
  <si>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</si>
  <si>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</si>
  <si>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</si>
  <si>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</si>
  <si>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</si>
  <si>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</si>
  <si>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</si>
  <si>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</si>
  <si>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</si>
  <si>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</si>
  <si>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</si>
  <si>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</si>
  <si>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</si>
  <si>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</si>
  <si>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</si>
  <si>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</si>
  <si>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</si>
  <si>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</si>
  <si>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</si>
  <si>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</si>
  <si>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</si>
  <si>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</si>
  <si>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</si>
  <si>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</si>
  <si>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</si>
  <si>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</si>
  <si>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</si>
  <si>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</si>
  <si>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</si>
  <si>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</si>
  <si>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</si>
  <si>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</si>
  <si>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</si>
  <si>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</si>
  <si>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</si>
  <si>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</si>
  <si>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</si>
  <si>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</si>
  <si>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</si>
  <si>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</si>
  <si>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</si>
  <si>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</si>
  <si>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</si>
  <si>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</si>
  <si>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</si>
  <si>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</si>
  <si>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</si>
  <si>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</si>
  <si>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</si>
  <si>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</si>
  <si>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</si>
  <si>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</si>
  <si>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</si>
  <si>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</si>
  <si>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</si>
  <si>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</si>
  <si>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</si>
  <si>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</si>
  <si>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</si>
  <si>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</si>
  <si>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</si>
  <si>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</si>
  <si>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</si>
  <si>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</si>
  <si>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</si>
  <si>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</si>
  <si>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</si>
  <si>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</si>
  <si>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</si>
  <si>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</si>
  <si>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</si>
  <si>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</si>
  <si>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</si>
  <si>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</si>
  <si>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</si>
  <si>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</si>
  <si>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</si>
  <si>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</si>
  <si>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</si>
  <si>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</si>
  <si>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</si>
  <si>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</si>
  <si>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</si>
  <si>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</si>
  <si>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</si>
  <si>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</si>
  <si>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</si>
  <si>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</si>
  <si>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</si>
  <si>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</si>
  <si>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</si>
  <si>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</si>
  <si>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</si>
  <si>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</si>
  <si>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</si>
  <si>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</si>
  <si>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</si>
  <si>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</si>
  <si>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</si>
  <si>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</si>
  <si>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</si>
  <si>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</si>
  <si>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</si>
  <si>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</si>
  <si>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</si>
  <si>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</si>
  <si>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</si>
  <si>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</si>
  <si>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</si>
  <si>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</si>
  <si>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</si>
  <si>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</si>
  <si>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</si>
  <si>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</si>
  <si>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</si>
  <si>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</si>
  <si>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</si>
  <si>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</si>
  <si>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</si>
  <si>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</si>
  <si>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</si>
  <si>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</si>
  <si>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</si>
  <si>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</si>
  <si>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</si>
  <si>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</si>
  <si>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</si>
  <si>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</si>
  <si>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</si>
  <si>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</si>
  <si>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</si>
  <si>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</si>
  <si>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</si>
  <si>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</si>
  <si>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</si>
  <si>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</si>
  <si>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</si>
  <si>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</si>
  <si>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</si>
  <si>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</si>
  <si>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</si>
  <si>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</si>
  <si>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</si>
  <si>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</si>
  <si>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</si>
  <si>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</si>
  <si>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</si>
  <si>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</si>
  <si>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</si>
  <si>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</si>
  <si>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</si>
  <si>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</si>
  <si>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</si>
  <si>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</si>
  <si>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</si>
  <si>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</si>
  <si>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</si>
  <si>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</si>
  <si>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</si>
  <si>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</si>
  <si>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</si>
  <si>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</si>
  <si>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</si>
  <si>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</si>
  <si>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</si>
  <si>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</si>
  <si>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</si>
  <si>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</si>
  <si>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</si>
  <si>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</si>
  <si>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</si>
  <si>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</si>
  <si>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</si>
  <si>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</si>
  <si>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</si>
  <si>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</si>
  <si>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</si>
  <si>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</si>
  <si>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</si>
  <si>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</si>
  <si>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</si>
  <si>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</si>
  <si>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</si>
  <si>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</si>
  <si>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</si>
  <si>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</si>
  <si>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</si>
  <si>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</si>
  <si>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</si>
  <si>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</si>
  <si>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</si>
  <si>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</si>
  <si>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</si>
  <si>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</si>
  <si>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</si>
  <si>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</si>
  <si>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</si>
  <si>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</si>
  <si>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</si>
  <si>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</si>
  <si>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</si>
  <si>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</si>
  <si>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</si>
  <si>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</si>
  <si>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</si>
  <si>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</si>
  <si>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</si>
  <si>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</si>
  <si>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</si>
  <si>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</si>
  <si>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</si>
  <si>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</si>
  <si>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</si>
  <si>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</si>
  <si>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</si>
  <si>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</si>
  <si>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</si>
  <si>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</si>
  <si>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</si>
  <si>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</si>
  <si>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</si>
  <si>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</si>
  <si>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</si>
  <si>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</si>
  <si>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</si>
  <si>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</si>
  <si>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</si>
  <si>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</si>
  <si>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</si>
  <si>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</si>
  <si>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</si>
  <si>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</si>
  <si>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</si>
  <si>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</si>
  <si>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</si>
  <si>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</si>
  <si>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</si>
  <si>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</si>
  <si>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</si>
  <si>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</si>
  <si>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</si>
  <si>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</si>
  <si>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</si>
  <si>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</si>
  <si>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</si>
  <si>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</si>
  <si>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</si>
  <si>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</si>
  <si>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</si>
  <si>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</si>
  <si>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</si>
  <si>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</si>
  <si>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</si>
  <si>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</si>
  <si>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</si>
  <si>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</si>
  <si>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</si>
  <si>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</si>
  <si>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</si>
  <si>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</si>
  <si>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</si>
  <si>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</si>
  <si>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</si>
  <si>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</si>
  <si>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</si>
  <si>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</si>
  <si>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</si>
  <si>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</si>
  <si>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</si>
  <si>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</si>
  <si>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</si>
  <si>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</si>
  <si>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</si>
  <si>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</si>
  <si>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</si>
  <si>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</si>
  <si>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</si>
  <si>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</si>
  <si>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</si>
  <si>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</si>
  <si>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</si>
  <si>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</si>
  <si>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</si>
  <si>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</si>
  <si>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</si>
  <si>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</si>
  <si>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</si>
  <si>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</si>
  <si>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</si>
  <si>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</si>
  <si>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</si>
  <si>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</si>
  <si>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</si>
  <si>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</si>
  <si>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</si>
  <si>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</si>
  <si>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</si>
  <si>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</si>
  <si>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</si>
  <si>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</si>
  <si>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</si>
  <si>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</si>
  <si>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</si>
  <si>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</si>
  <si>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</si>
  <si>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</si>
  <si>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</si>
  <si>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</si>
  <si>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</si>
  <si>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</si>
  <si>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</si>
  <si>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</si>
  <si>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</si>
  <si>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</si>
  <si>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</si>
  <si>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</si>
  <si>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</si>
  <si>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</si>
  <si>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</si>
  <si>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</si>
  <si>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</si>
  <si>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</si>
  <si>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</si>
  <si>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</si>
  <si>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</si>
  <si>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</si>
  <si>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</si>
  <si>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</si>
  <si>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</si>
  <si>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</si>
  <si>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</si>
  <si>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</si>
  <si>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</si>
  <si>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</si>
  <si>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</si>
  <si>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</si>
  <si>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</si>
  <si>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</si>
  <si>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</si>
  <si>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</si>
  <si>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</si>
  <si>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</si>
  <si>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</si>
  <si>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</si>
  <si>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</si>
  <si>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</si>
  <si>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</si>
  <si>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</si>
  <si>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</si>
  <si>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</si>
  <si>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</si>
  <si>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</si>
  <si>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</si>
  <si>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</si>
  <si>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</si>
  <si>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</si>
  <si>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</si>
  <si>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</si>
  <si>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</si>
  <si>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</si>
  <si>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</si>
  <si>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</si>
  <si>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</si>
  <si>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</si>
  <si>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</si>
  <si>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</si>
  <si>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</si>
  <si>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</si>
  <si>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</si>
  <si>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</si>
  <si>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</si>
  <si>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</si>
  <si>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</si>
  <si>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</si>
  <si>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</si>
  <si>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</si>
  <si>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</si>
  <si>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</si>
  <si>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</si>
  <si>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</si>
  <si>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</si>
  <si>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</si>
  <si>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</si>
  <si>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</si>
  <si>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</si>
  <si>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</si>
  <si>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</si>
  <si>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</si>
  <si>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</si>
  <si>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</si>
  <si>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</si>
  <si>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</si>
  <si>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</si>
  <si>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</si>
  <si>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</si>
  <si>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</si>
  <si>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</si>
  <si>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</si>
  <si>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</si>
  <si>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</si>
  <si>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</si>
  <si>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</si>
  <si>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</si>
  <si>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</si>
  <si>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</si>
  <si>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</si>
  <si>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</si>
  <si>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</si>
  <si>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</si>
  <si>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</si>
  <si>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</si>
  <si>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</si>
  <si>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</si>
  <si>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</si>
  <si>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</si>
  <si>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</si>
  <si>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</si>
  <si>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</si>
  <si>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</si>
  <si>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</si>
  <si>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</si>
  <si>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</si>
  <si>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</si>
  <si>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</si>
  <si>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</si>
  <si>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</si>
  <si>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</si>
  <si>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</si>
  <si>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</si>
  <si>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</si>
  <si>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</si>
  <si>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</si>
  <si>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</si>
  <si>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</si>
  <si>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</si>
  <si>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</si>
  <si>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</si>
  <si>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</si>
  <si>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</si>
  <si>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</si>
  <si>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</si>
  <si>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</si>
  <si>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</si>
  <si>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</si>
  <si>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</si>
  <si>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</si>
  <si>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</si>
  <si>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</si>
  <si>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</si>
  <si>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</si>
  <si>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</si>
  <si>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</si>
  <si>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</si>
  <si>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</si>
  <si>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</si>
  <si>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</si>
  <si>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</si>
  <si>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</si>
  <si>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</si>
  <si>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</si>
  <si>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</si>
  <si>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</si>
  <si>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</si>
  <si>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</si>
  <si>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</si>
  <si>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</si>
  <si>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</si>
  <si>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</si>
  <si>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</si>
  <si>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</si>
  <si>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</si>
  <si>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</si>
  <si>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</si>
  <si>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</si>
  <si>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</si>
  <si>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</si>
  <si>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</si>
  <si>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</si>
  <si>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</si>
  <si>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</si>
  <si>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</si>
  <si>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</si>
  <si>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</si>
  <si>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</si>
  <si>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</si>
  <si>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</si>
  <si>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</si>
  <si>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</si>
  <si>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</si>
  <si>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</si>
  <si>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</si>
  <si>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</si>
  <si>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</si>
  <si>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</si>
  <si>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</si>
  <si>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</si>
  <si>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</si>
  <si>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</si>
  <si>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</si>
  <si>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</si>
  <si>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</si>
  <si>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</si>
  <si>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</si>
  <si>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</si>
  <si>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</si>
  <si>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</si>
  <si>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</si>
  <si>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</si>
  <si>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</si>
  <si>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</si>
  <si>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</si>
  <si>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</si>
  <si>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</si>
  <si>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</si>
  <si>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</si>
  <si>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</si>
  <si>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</si>
  <si>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</si>
  <si>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</si>
  <si>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</si>
  <si>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</si>
  <si>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</si>
  <si>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</si>
  <si>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</si>
  <si>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</si>
  <si>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</si>
  <si>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</si>
  <si>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</si>
  <si>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</si>
  <si>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</si>
  <si>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</si>
  <si>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</si>
  <si>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</si>
  <si>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</si>
  <si>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</si>
  <si>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</si>
  <si>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</si>
  <si>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</si>
  <si>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</si>
  <si>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</si>
  <si>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</si>
  <si>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</si>
  <si>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</si>
  <si>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</si>
  <si>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</si>
  <si>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</si>
  <si>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</si>
  <si>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</si>
  <si>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</si>
  <si>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</si>
  <si>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</si>
  <si>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</si>
  <si>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</si>
  <si>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</si>
  <si>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</si>
  <si>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</si>
  <si>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</si>
  <si>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</si>
  <si>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</si>
  <si>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</si>
  <si>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</si>
  <si>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</si>
  <si>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</si>
  <si>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</si>
  <si>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</si>
  <si>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</si>
  <si>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</si>
  <si>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</si>
  <si>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</si>
  <si>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</si>
  <si>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</si>
  <si>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</si>
  <si>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</si>
  <si>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</si>
  <si>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</si>
  <si>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</si>
  <si>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</si>
  <si>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</si>
  <si>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</si>
  <si>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</si>
  <si>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</si>
  <si>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</si>
  <si>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</si>
  <si>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</si>
  <si>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</si>
  <si>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</si>
  <si>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</si>
  <si>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</si>
  <si>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</si>
  <si>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</si>
  <si>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</si>
  <si>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</si>
  <si>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</si>
  <si>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</si>
  <si>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</si>
  <si>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</si>
  <si>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</si>
  <si>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</si>
  <si>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</si>
  <si>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</si>
  <si>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</si>
  <si>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</si>
  <si>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</si>
  <si>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</si>
  <si>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</si>
  <si>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</si>
  <si>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</si>
  <si>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</si>
  <si>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</si>
  <si>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</si>
  <si>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</si>
  <si>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</si>
  <si>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</si>
  <si>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</si>
  <si>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</si>
  <si>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</si>
  <si>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</si>
  <si>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</si>
  <si>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</si>
  <si>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</si>
  <si>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</si>
  <si>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</si>
  <si>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</si>
  <si>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</si>
  <si>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</si>
  <si>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</si>
  <si>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</si>
  <si>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</si>
  <si>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</si>
  <si>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</si>
  <si>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</si>
  <si>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</si>
  <si>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</si>
  <si>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</si>
  <si>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</si>
  <si>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</si>
  <si>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</si>
  <si>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</si>
  <si>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</si>
  <si>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</si>
  <si>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</si>
  <si>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</si>
  <si>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</si>
  <si>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</si>
  <si>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</si>
  <si>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</si>
  <si>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</si>
  <si>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</si>
  <si>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</si>
  <si>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</si>
  <si>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</si>
  <si>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</si>
  <si>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</si>
  <si>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</si>
  <si>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</si>
  <si>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</si>
  <si>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</si>
  <si>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</si>
  <si>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</si>
  <si>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</si>
  <si>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</si>
  <si>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</si>
  <si>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</si>
  <si>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</si>
  <si>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</si>
  <si>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</si>
  <si>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</si>
  <si>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</si>
  <si>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</si>
  <si>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</si>
  <si>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</si>
  <si>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</si>
  <si>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</si>
  <si>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</si>
  <si>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</si>
  <si>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</si>
  <si>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</si>
  <si>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</si>
  <si>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</si>
  <si>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</si>
  <si>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</si>
  <si>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</si>
  <si>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</si>
  <si>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</si>
  <si>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</si>
  <si>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</si>
  <si>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</si>
  <si>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</si>
  <si>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</si>
  <si>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</si>
  <si>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</si>
  <si>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</si>
  <si>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</si>
  <si>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</si>
  <si>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</si>
  <si>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</si>
  <si>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</si>
  <si>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</si>
  <si>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</si>
  <si>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</si>
  <si>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</si>
  <si>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</si>
  <si>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</si>
  <si>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</si>
  <si>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</si>
  <si>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</si>
  <si>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</si>
  <si>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</si>
  <si>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</si>
  <si>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</si>
  <si>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</si>
  <si>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</si>
  <si>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</si>
  <si>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</si>
  <si>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</si>
  <si>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</si>
  <si>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</si>
  <si>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</si>
  <si>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</si>
  <si>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</si>
  <si>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</si>
  <si>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</si>
  <si>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</si>
  <si>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</si>
  <si>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</si>
  <si>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</si>
  <si>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</si>
  <si>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</si>
  <si>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</si>
  <si>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</si>
  <si>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</si>
  <si>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</si>
  <si>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</si>
  <si>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</si>
  <si>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</si>
  <si>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</si>
  <si>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</si>
  <si>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</si>
  <si>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</si>
  <si>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</si>
  <si>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</si>
  <si>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</si>
  <si>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</si>
  <si>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</si>
  <si>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</si>
  <si>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</si>
  <si>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</si>
  <si>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</si>
  <si>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</si>
  <si>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</si>
  <si>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</si>
  <si>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</si>
  <si>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</si>
  <si>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</si>
  <si>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</si>
  <si>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</si>
  <si>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</si>
  <si>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</si>
  <si>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</si>
  <si>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</si>
  <si>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</si>
  <si>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</si>
  <si>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</si>
  <si>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</si>
  <si>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</si>
  <si>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</si>
  <si>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</si>
  <si>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</si>
  <si>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</si>
  <si>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</si>
  <si>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</si>
  <si>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</si>
  <si>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</si>
  <si>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</si>
  <si>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</si>
  <si>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</si>
  <si>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</si>
  <si>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</si>
  <si>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</si>
  <si>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</si>
  <si>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</si>
  <si>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</si>
  <si>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</si>
  <si>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</si>
  <si>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</si>
  <si>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</si>
  <si>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</si>
  <si>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</si>
  <si>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</si>
  <si>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</si>
  <si>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</si>
  <si>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</si>
  <si>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</si>
  <si>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</si>
  <si>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</si>
  <si>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</si>
  <si>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</si>
  <si>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</si>
  <si>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</si>
  <si>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</si>
  <si>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</si>
  <si>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</si>
  <si>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</si>
  <si>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</si>
  <si>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</si>
  <si>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</si>
  <si>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</si>
  <si>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</si>
  <si>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</si>
  <si>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</si>
  <si>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</si>
  <si>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</si>
  <si>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</si>
  <si>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</si>
  <si>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</si>
  <si>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</si>
  <si>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</si>
  <si>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</si>
  <si>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</si>
  <si>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</si>
  <si>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</si>
  <si>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</si>
  <si>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</si>
  <si>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</si>
  <si>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</si>
  <si>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</si>
  <si>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</si>
  <si>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</si>
  <si>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</si>
  <si>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</si>
  <si>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</si>
  <si>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</si>
  <si>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</si>
  <si>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</si>
  <si>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</si>
  <si>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</si>
  <si>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</si>
  <si>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</si>
  <si>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</si>
  <si>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</si>
  <si>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</si>
  <si>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</si>
  <si>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</si>
  <si>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</si>
  <si>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</si>
  <si>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</si>
  <si>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</si>
  <si>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</si>
  <si>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</si>
  <si>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</si>
  <si>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</si>
  <si>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</si>
  <si>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</si>
  <si>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</si>
  <si>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</si>
  <si>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</si>
  <si>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</si>
  <si>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</si>
  <si>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</si>
  <si>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</si>
  <si>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</si>
  <si>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</si>
  <si>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</si>
  <si>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</si>
  <si>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</si>
  <si>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</si>
  <si>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</si>
  <si>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</si>
  <si>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</si>
  <si>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</si>
  <si>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</si>
  <si>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</si>
  <si>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</si>
  <si>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</si>
  <si>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</si>
  <si>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</si>
  <si>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</si>
  <si>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</si>
  <si>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</si>
  <si>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</si>
  <si>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</si>
  <si>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</si>
  <si>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</si>
  <si>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</si>
  <si>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</si>
  <si>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</si>
  <si>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</si>
  <si>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</si>
  <si>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</si>
  <si>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</si>
  <si>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</si>
  <si>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</si>
  <si>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</si>
  <si>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</si>
  <si>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</si>
  <si>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</si>
  <si>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</si>
  <si>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</si>
  <si>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</si>
  <si>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</si>
  <si>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</si>
  <si>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</si>
  <si>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</si>
  <si>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</si>
  <si>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</si>
  <si>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</si>
  <si>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</si>
  <si>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</si>
  <si>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</si>
  <si>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</si>
  <si>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</si>
  <si>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</si>
  <si>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</si>
  <si>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</si>
  <si>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</si>
  <si>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</si>
  <si>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</si>
  <si>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</si>
  <si>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</si>
  <si>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</si>
  <si>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</si>
  <si>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</si>
  <si>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</si>
  <si>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</si>
  <si>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</si>
  <si>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</si>
  <si>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</si>
  <si>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</si>
  <si>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</si>
  <si>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</si>
  <si>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</si>
  <si>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</si>
  <si>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</si>
  <si>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</si>
  <si>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</si>
  <si>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</si>
  <si>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</si>
  <si>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</si>
  <si>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</si>
  <si>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</si>
  <si>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</si>
  <si>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</si>
  <si>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</si>
  <si>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</si>
  <si>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</si>
  <si>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</si>
  <si>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</si>
  <si>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</si>
  <si>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</si>
  <si>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</si>
  <si>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</si>
  <si>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</si>
  <si>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</si>
  <si>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</si>
  <si>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</si>
  <si>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</si>
  <si>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</si>
  <si>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</si>
  <si>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</si>
  <si>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</si>
  <si>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</si>
  <si>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</si>
  <si>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</si>
  <si>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</si>
  <si>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</si>
  <si>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</si>
  <si>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</si>
  <si>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</si>
  <si>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</si>
  <si>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</si>
  <si>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</si>
  <si>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</si>
  <si>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</si>
  <si>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</si>
  <si>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</si>
  <si>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</si>
  <si>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</si>
  <si>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</si>
  <si>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</si>
  <si>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</si>
  <si>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</si>
  <si>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</si>
  <si>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</si>
  <si>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</si>
  <si>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</si>
  <si>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</si>
  <si>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</si>
  <si>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</si>
  <si>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</si>
  <si>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</si>
  <si>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</si>
  <si>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</si>
  <si>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</si>
  <si>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</si>
  <si>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</si>
  <si>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</si>
  <si>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</si>
  <si>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</si>
  <si>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</si>
  <si>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</si>
  <si>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</si>
  <si>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</si>
  <si>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</si>
  <si>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</si>
  <si>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</si>
  <si>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</si>
  <si>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</si>
  <si>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</si>
  <si>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</si>
  <si>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</si>
  <si>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</si>
  <si>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</si>
  <si>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</si>
  <si>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</si>
  <si>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</si>
  <si>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</si>
  <si>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</si>
  <si>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</si>
  <si>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</si>
  <si>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</si>
  <si>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</si>
  <si>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</si>
  <si>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</si>
  <si>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</si>
  <si>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</si>
  <si>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</si>
  <si>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</si>
  <si>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</si>
  <si>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</si>
  <si>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</si>
  <si>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</si>
  <si>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</si>
  <si>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</si>
  <si>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</si>
  <si>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</si>
  <si>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</si>
  <si>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</si>
  <si>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</si>
  <si>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</si>
  <si>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</si>
  <si>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</si>
  <si>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</si>
  <si>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</si>
  <si>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</si>
  <si>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</si>
  <si>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</si>
  <si>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</si>
  <si>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</si>
  <si>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</si>
  <si>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</si>
  <si>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</si>
  <si>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</si>
  <si>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</si>
  <si>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</si>
  <si>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</si>
  <si>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</si>
  <si>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</si>
  <si>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</si>
  <si>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</si>
  <si>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</si>
  <si>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</si>
  <si>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</si>
  <si>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</si>
  <si>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</si>
  <si>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</si>
  <si>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</si>
  <si>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</si>
  <si>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</si>
  <si>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</si>
  <si>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</si>
  <si>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</si>
  <si>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</si>
  <si>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</si>
  <si>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</si>
  <si>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</si>
  <si>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</si>
  <si>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</si>
  <si>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</si>
  <si>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</si>
  <si>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</si>
  <si>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</si>
  <si>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</si>
  <si>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</si>
  <si>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</si>
  <si>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</si>
  <si>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</si>
  <si>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</si>
  <si>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</si>
  <si>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</si>
  <si>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</si>
  <si>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</si>
  <si>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</si>
  <si>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</si>
  <si>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</si>
  <si>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</si>
  <si>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</si>
  <si>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</si>
  <si>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</si>
  <si>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</si>
  <si>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</si>
  <si>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</si>
  <si>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</si>
  <si>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</si>
  <si>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</si>
  <si>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</si>
  <si>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</si>
  <si>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</si>
  <si>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</si>
  <si>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</si>
  <si>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</si>
  <si>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</si>
  <si>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</si>
  <si>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</si>
  <si>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</si>
  <si>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</si>
  <si>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</si>
  <si>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</si>
  <si>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</si>
  <si>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</si>
  <si>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</si>
  <si>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</si>
  <si>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</si>
  <si>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</si>
  <si>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</si>
  <si>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</si>
  <si>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</si>
  <si>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</si>
  <si>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</si>
  <si>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</si>
  <si>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</si>
  <si>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</si>
  <si>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</si>
  <si>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</si>
  <si>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</si>
  <si>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</si>
  <si>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</si>
  <si>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</si>
  <si>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</si>
  <si>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</si>
  <si>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</si>
  <si>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</si>
  <si>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</si>
  <si>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</si>
  <si>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</si>
  <si>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</si>
  <si>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</si>
  <si>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</si>
  <si>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</si>
  <si>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</si>
  <si>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</si>
  <si>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</si>
  <si>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</si>
  <si>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</si>
  <si>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</si>
  <si>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</si>
  <si>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</si>
  <si>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</si>
  <si>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</si>
  <si>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</si>
  <si>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</si>
  <si>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</si>
  <si>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</si>
  <si>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</si>
  <si>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</si>
  <si>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</si>
  <si>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</si>
  <si>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</si>
  <si>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</si>
  <si>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</si>
  <si>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</si>
  <si>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</si>
  <si>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</si>
  <si>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</si>
  <si>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</si>
  <si>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</si>
  <si>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</si>
  <si>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</si>
  <si>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</si>
  <si>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</si>
  <si>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</si>
  <si>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</si>
  <si>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</si>
  <si>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</si>
  <si>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</si>
  <si>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</si>
  <si>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</si>
  <si>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</si>
  <si>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</si>
  <si>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</si>
  <si>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</si>
  <si>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</si>
  <si>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</si>
  <si>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</si>
  <si>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</si>
  <si>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</si>
  <si>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</si>
  <si>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</si>
  <si>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</si>
  <si>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</si>
  <si>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</si>
  <si>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</si>
  <si>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</si>
  <si>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</si>
  <si>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</si>
  <si>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</si>
  <si>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</si>
  <si>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</si>
  <si>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</si>
  <si>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</si>
  <si>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</si>
  <si>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</si>
  <si>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</si>
  <si>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</si>
  <si>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</si>
  <si>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</si>
  <si>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</si>
  <si>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</si>
  <si>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</si>
  <si>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</si>
  <si>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</si>
  <si>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</si>
  <si>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</si>
  <si>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</si>
  <si>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</si>
  <si>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</si>
  <si>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</si>
  <si>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</si>
  <si>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</si>
  <si>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</si>
  <si>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</si>
  <si>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</si>
  <si>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</si>
  <si>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</si>
  <si>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</si>
  <si>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</si>
  <si>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</si>
  <si>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</si>
  <si>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</si>
  <si>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</si>
  <si>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</si>
  <si>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</si>
  <si>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</si>
  <si>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</si>
  <si>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</si>
  <si>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</si>
  <si>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</si>
  <si>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</si>
  <si>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</si>
  <si>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</si>
  <si>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</si>
  <si>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</si>
  <si>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</si>
  <si>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</si>
  <si>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</si>
  <si>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</si>
  <si>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</si>
  <si>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</si>
  <si>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</si>
  <si>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</si>
  <si>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</si>
  <si>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</si>
  <si>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</si>
  <si>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</si>
  <si>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</si>
  <si>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</si>
  <si>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</si>
  <si>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</si>
  <si>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</si>
  <si>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</si>
  <si>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</si>
  <si>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</si>
  <si>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</si>
  <si>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</si>
  <si>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</si>
  <si>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</si>
  <si>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</si>
  <si>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</si>
  <si>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</si>
  <si>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</si>
  <si>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</si>
  <si>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</si>
  <si>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</si>
  <si>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</si>
  <si>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</si>
  <si>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</si>
  <si>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</si>
  <si>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</si>
  <si>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</si>
  <si>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</si>
  <si>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</si>
  <si>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</si>
  <si>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</si>
  <si>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</si>
  <si>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</si>
  <si>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</si>
  <si>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</si>
  <si>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</si>
  <si>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</si>
  <si>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</si>
  <si>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</si>
  <si>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</si>
  <si>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</si>
  <si>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</si>
  <si>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</si>
  <si>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</si>
  <si>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</si>
  <si>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</si>
  <si>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</si>
  <si>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</si>
  <si>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</si>
  <si>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</si>
  <si>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</si>
  <si>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</si>
  <si>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</si>
  <si>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</si>
  <si>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</si>
  <si>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</si>
  <si>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</si>
  <si>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</si>
  <si>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</si>
  <si>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</si>
  <si>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</si>
  <si>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</si>
  <si>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</si>
  <si>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</si>
  <si>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</si>
  <si>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</si>
  <si>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</si>
  <si>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</si>
  <si>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</si>
  <si>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</si>
  <si>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</si>
  <si>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</si>
  <si>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</si>
  <si>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</si>
  <si>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</si>
  <si>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</si>
  <si>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</si>
  <si>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</si>
  <si>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</si>
  <si>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</si>
  <si>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</si>
  <si>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</si>
  <si>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</si>
  <si>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</si>
  <si>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</si>
  <si>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</si>
  <si>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</si>
  <si>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</si>
  <si>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</si>
  <si>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</si>
  <si>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</si>
  <si>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</si>
  <si>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</si>
  <si>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</si>
  <si>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</si>
  <si>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</si>
  <si>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</si>
  <si>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</si>
  <si>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</si>
  <si>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</si>
  <si>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</si>
  <si>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</si>
  <si>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</si>
  <si>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</si>
  <si>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</si>
  <si>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</si>
  <si>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</si>
  <si>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</si>
  <si>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</si>
  <si>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</si>
  <si>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</si>
  <si>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</si>
  <si>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</si>
  <si>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</si>
  <si>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</si>
  <si>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</si>
  <si>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</si>
  <si>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</si>
  <si>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</si>
  <si>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</si>
  <si>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</si>
  <si>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</si>
  <si>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</si>
  <si>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</si>
  <si>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</si>
  <si>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</si>
  <si>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</si>
  <si>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</si>
  <si>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</si>
  <si>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</si>
  <si>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</si>
  <si>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</si>
  <si>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</si>
  <si>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</si>
  <si>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</si>
  <si>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</si>
  <si>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</si>
  <si>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</si>
  <si>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</si>
  <si>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</si>
  <si>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</si>
  <si>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</si>
  <si>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</si>
  <si>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</si>
  <si>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</si>
  <si>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</si>
  <si>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</si>
  <si>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</si>
  <si>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</si>
  <si>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</si>
  <si>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</si>
  <si>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</si>
  <si>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</si>
  <si>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</si>
  <si>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</si>
  <si>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</si>
  <si>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</si>
  <si>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</si>
  <si>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</si>
  <si>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</si>
  <si>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</si>
  <si>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</si>
  <si>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</si>
  <si>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</si>
  <si>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</si>
  <si>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</si>
  <si>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</si>
  <si>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</si>
  <si>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</si>
  <si>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</si>
  <si>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</si>
  <si>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</si>
  <si>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</si>
  <si>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</si>
  <si>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</si>
  <si>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</si>
  <si>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</si>
  <si>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</si>
  <si>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</si>
  <si>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</si>
  <si>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</si>
  <si>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</si>
  <si>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</si>
  <si>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</si>
  <si>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</si>
  <si>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</si>
  <si>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</si>
  <si>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</si>
  <si>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</si>
  <si>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</si>
  <si>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</si>
  <si>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</si>
  <si>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</si>
  <si>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</si>
  <si>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</si>
  <si>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</si>
  <si>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</si>
  <si>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</si>
  <si>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</si>
  <si>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</si>
  <si>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</si>
  <si>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</si>
  <si>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</si>
  <si>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</si>
  <si>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</si>
  <si>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</si>
  <si>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</si>
  <si>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</si>
  <si>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</si>
  <si>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</si>
  <si>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</si>
  <si>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</si>
  <si>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</si>
  <si>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</si>
  <si>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</si>
  <si>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</si>
  <si>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</si>
  <si>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</si>
  <si>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</si>
  <si>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</si>
  <si>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</si>
  <si>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</si>
  <si>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</si>
  <si>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</si>
  <si>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</si>
  <si>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</si>
  <si>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</si>
  <si>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</si>
  <si>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</si>
  <si>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</si>
  <si>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</si>
  <si>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</si>
  <si>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</si>
  <si>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</si>
  <si>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</si>
  <si>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</si>
  <si>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</si>
  <si>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</si>
  <si>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</si>
  <si>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</si>
  <si>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</si>
  <si>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</si>
  <si>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</si>
  <si>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</si>
  <si>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</si>
  <si>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</si>
  <si>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</si>
  <si>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</si>
  <si>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</si>
  <si>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</si>
  <si>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</si>
  <si>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</si>
  <si>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</si>
  <si>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</si>
  <si>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</si>
  <si>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</si>
  <si>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</si>
  <si>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</si>
  <si>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</si>
  <si>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</si>
  <si>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</si>
  <si>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</si>
  <si>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</si>
  <si>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</si>
  <si>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</si>
  <si>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</si>
  <si>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</si>
  <si>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</si>
  <si>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</si>
  <si>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</si>
  <si>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</si>
  <si>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</si>
  <si>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</si>
  <si>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</si>
  <si>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</si>
  <si>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</si>
  <si>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</si>
  <si>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</si>
  <si>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</si>
  <si>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</si>
  <si>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</si>
  <si>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</si>
  <si>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</si>
  <si>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</si>
  <si>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</si>
  <si>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</si>
  <si>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</si>
  <si>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</si>
  <si>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</si>
  <si>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</si>
  <si>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</si>
  <si>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</si>
  <si>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</si>
  <si>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</si>
  <si>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</si>
  <si>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</si>
  <si>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</si>
  <si>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</si>
  <si>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</si>
  <si>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</si>
  <si>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</si>
  <si>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</si>
  <si>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</si>
  <si>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</si>
  <si>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</si>
  <si>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</si>
  <si>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</si>
  <si>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</si>
  <si>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</si>
  <si>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</si>
  <si>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</si>
  <si>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</si>
  <si>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</si>
  <si>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</si>
  <si>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</si>
  <si>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</si>
  <si>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</si>
  <si>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</si>
  <si>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</si>
  <si>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</si>
  <si>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</si>
  <si>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</si>
  <si>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</si>
  <si>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</si>
  <si>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</si>
  <si>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</si>
  <si>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</si>
  <si>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</si>
  <si>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</si>
  <si>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</si>
  <si>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</si>
  <si>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</si>
  <si>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</si>
  <si>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</si>
  <si>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</si>
  <si>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</si>
  <si>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</si>
  <si>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</si>
  <si>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</si>
  <si>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</si>
  <si>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</si>
  <si>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</si>
  <si>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</si>
  <si>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</si>
  <si>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</si>
  <si>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</si>
  <si>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</si>
  <si>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</si>
  <si>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</si>
  <si>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</si>
  <si>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</si>
  <si>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</si>
  <si>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</si>
  <si>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</si>
  <si>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</si>
  <si>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</si>
  <si>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</si>
  <si>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</si>
  <si>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</si>
  <si>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</si>
  <si>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</si>
  <si>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</si>
  <si>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</si>
  <si>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</si>
  <si>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</si>
  <si>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</si>
  <si>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</si>
  <si>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</si>
  <si>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</si>
  <si>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</si>
  <si>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</si>
  <si>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</si>
  <si>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</si>
  <si>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</si>
  <si>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</si>
  <si>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</si>
  <si>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</si>
  <si>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</si>
  <si>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</si>
  <si>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</si>
  <si>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</si>
  <si>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</si>
  <si>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</si>
  <si>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</si>
  <si>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</si>
  <si>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</si>
  <si>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</si>
  <si>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</si>
  <si>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</si>
  <si>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</si>
  <si>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</si>
  <si>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</si>
  <si>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</si>
  <si>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</si>
  <si>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</si>
  <si>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</si>
  <si>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</si>
  <si>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</si>
  <si>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</si>
  <si>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</si>
  <si>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</si>
  <si>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</si>
  <si>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</si>
  <si>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</si>
  <si>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</si>
  <si>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</si>
  <si>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</si>
  <si>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</si>
  <si>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</si>
  <si>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</si>
  <si>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</si>
  <si>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</si>
  <si>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</si>
  <si>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</si>
  <si>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</si>
  <si>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</si>
  <si>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</si>
  <si>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</si>
  <si>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</si>
  <si>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</si>
  <si>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</si>
  <si>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</si>
  <si>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</si>
  <si>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</si>
  <si>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</si>
  <si>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</si>
  <si>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</si>
  <si>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</si>
  <si>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</si>
  <si>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</si>
  <si>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</si>
  <si>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</si>
  <si>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</si>
  <si>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</si>
  <si>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</si>
  <si>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</si>
  <si>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</si>
  <si>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</si>
  <si>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</si>
  <si>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</si>
  <si>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</si>
  <si>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</si>
  <si>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</si>
  <si>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</si>
  <si>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</si>
  <si>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</si>
  <si>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</si>
  <si>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</si>
  <si>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</si>
  <si>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</si>
  <si>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</si>
  <si>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</si>
  <si>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</si>
  <si>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</si>
  <si>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</si>
  <si>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</si>
  <si>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</si>
  <si>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</si>
  <si>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</si>
  <si>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</si>
  <si>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</si>
  <si>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</si>
  <si>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</si>
  <si>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</si>
  <si>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</si>
  <si>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</si>
  <si>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</si>
  <si>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</si>
  <si>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</si>
  <si>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</si>
  <si>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</si>
  <si>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</si>
  <si>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</si>
  <si>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</si>
  <si>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</si>
  <si>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</si>
  <si>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</si>
  <si>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</si>
  <si>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</si>
  <si>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</si>
  <si>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</si>
  <si>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</si>
  <si>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</si>
  <si>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</si>
  <si>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</si>
  <si>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</si>
  <si>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</si>
  <si>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</si>
  <si>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</si>
  <si>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</si>
  <si>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</si>
  <si>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</si>
  <si>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</si>
  <si>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</si>
  <si>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</si>
  <si>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</si>
  <si>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</si>
  <si>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</si>
  <si>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</si>
  <si>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</si>
  <si>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</si>
  <si>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</si>
  <si>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</si>
  <si>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</si>
  <si>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</si>
  <si>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</si>
  <si>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</si>
  <si>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</si>
  <si>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</si>
  <si>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</si>
  <si>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</si>
  <si>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</si>
  <si>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</si>
  <si>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</si>
  <si>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</si>
  <si>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</si>
  <si>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</si>
  <si>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</si>
  <si>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</si>
  <si>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</si>
  <si>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</si>
  <si>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</si>
  <si>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</si>
  <si>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</si>
  <si>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</si>
  <si>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</si>
  <si>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</si>
  <si>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</si>
  <si>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</si>
  <si>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</si>
  <si>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</si>
  <si>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</si>
  <si>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</si>
  <si>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</si>
  <si>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</si>
  <si>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</si>
  <si>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</si>
  <si>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</si>
  <si>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</si>
  <si>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</si>
  <si>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</si>
  <si>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</si>
  <si>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</si>
  <si>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</si>
  <si>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</si>
  <si>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</si>
  <si>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</si>
  <si>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</si>
  <si>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</si>
  <si>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</si>
  <si>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</si>
  <si>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</si>
  <si>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</si>
  <si>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</si>
  <si>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</si>
  <si>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</si>
  <si>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</si>
  <si>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</si>
  <si>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</si>
  <si>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</si>
  <si>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</si>
  <si>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</si>
  <si>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</si>
  <si>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</si>
  <si>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</si>
  <si>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</si>
  <si>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</si>
  <si>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</si>
  <si>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</si>
  <si>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</si>
  <si>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</si>
  <si>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</si>
  <si>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</si>
  <si>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</si>
  <si>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</si>
  <si>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</si>
  <si>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</si>
  <si>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</si>
  <si>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</si>
  <si>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</si>
  <si>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</si>
  <si>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</si>
  <si>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</si>
  <si>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</si>
  <si>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</si>
  <si>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</si>
  <si>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</si>
  <si>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</si>
  <si>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</si>
  <si>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</si>
  <si>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</si>
  <si>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</si>
  <si>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</si>
  <si>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</si>
  <si>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</si>
  <si>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</si>
  <si>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</si>
  <si>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</si>
  <si>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</si>
  <si>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</si>
  <si>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</si>
  <si>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</si>
  <si>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</si>
  <si>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</si>
  <si>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</si>
  <si>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</si>
  <si>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</si>
  <si>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</si>
  <si>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</si>
  <si>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</si>
  <si>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</si>
  <si>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</si>
  <si>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</si>
  <si>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</si>
  <si>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</si>
  <si>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</si>
  <si>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</si>
  <si>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</si>
  <si>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</si>
  <si>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</si>
  <si>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</si>
  <si>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</si>
  <si>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</si>
  <si>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</si>
  <si>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</si>
  <si>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</si>
  <si>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</si>
  <si>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</si>
  <si>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</si>
  <si>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</si>
  <si>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</si>
  <si>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</si>
  <si>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</si>
  <si>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</si>
  <si>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</si>
  <si>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</si>
  <si>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</si>
  <si>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</si>
  <si>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</si>
  <si>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</si>
  <si>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</si>
  <si>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</si>
  <si>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</si>
  <si>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</si>
  <si>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</si>
  <si>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</si>
  <si>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</si>
  <si>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</si>
  <si>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</si>
  <si>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</si>
  <si>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</si>
  <si>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</si>
  <si>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</si>
  <si>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</si>
  <si>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</si>
  <si>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</si>
  <si>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</si>
  <si>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</si>
  <si>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</si>
  <si>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</si>
  <si>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</si>
  <si>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</si>
  <si>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</si>
  <si>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</si>
  <si>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</si>
  <si>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</si>
  <si>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</si>
  <si>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</si>
  <si>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</si>
  <si>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</si>
  <si>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</si>
  <si>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</si>
  <si>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</si>
  <si>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</si>
  <si>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</si>
  <si>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</si>
  <si>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</si>
  <si>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</si>
  <si>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</si>
  <si>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</si>
  <si>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</si>
  <si>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</si>
  <si>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</si>
  <si>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</si>
  <si>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</si>
  <si>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</si>
  <si>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</si>
  <si>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</si>
  <si>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</si>
  <si>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</si>
  <si>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</si>
  <si>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</si>
  <si>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</si>
  <si>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</si>
  <si>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</si>
  <si>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</si>
  <si>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</si>
  <si>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</si>
  <si>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</si>
  <si>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</si>
  <si>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</si>
  <si>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</si>
  <si>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</si>
  <si>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</si>
  <si>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</si>
  <si>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</si>
  <si>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</si>
  <si>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</si>
  <si>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</si>
  <si>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</si>
  <si>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</si>
  <si>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</si>
  <si>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</si>
  <si>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</si>
  <si>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</si>
  <si>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</si>
  <si>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</si>
  <si>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</si>
  <si>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</si>
  <si>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</si>
  <si>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</si>
  <si>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</si>
  <si>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</si>
  <si>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</si>
  <si>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</si>
  <si>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</si>
  <si>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</si>
  <si>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</si>
  <si>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</si>
  <si>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</si>
  <si>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</si>
  <si>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</si>
  <si>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</si>
  <si>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</si>
  <si>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</si>
  <si>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</si>
  <si>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</si>
  <si>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</si>
  <si>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</si>
  <si>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</si>
  <si>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</si>
  <si>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</si>
  <si>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</si>
  <si>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</si>
  <si>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</si>
  <si>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</si>
  <si>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</si>
  <si>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</si>
  <si>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</si>
  <si>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</si>
  <si>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</si>
  <si>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</si>
  <si>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</si>
  <si>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</si>
  <si>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</si>
  <si>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</si>
  <si>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</si>
  <si>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</si>
  <si>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</si>
  <si>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</si>
  <si>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</si>
  <si>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</si>
  <si>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</si>
  <si>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</si>
  <si>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</si>
  <si>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</si>
  <si>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</si>
  <si>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</si>
  <si>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</si>
  <si>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</si>
  <si>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</si>
  <si>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</si>
  <si>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</si>
  <si>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</si>
  <si>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</si>
  <si>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</si>
  <si>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</si>
  <si>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</si>
  <si>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</si>
  <si>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</si>
  <si>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</si>
  <si>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</si>
  <si>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</si>
  <si>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</si>
  <si>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</si>
  <si>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</si>
  <si>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</si>
  <si>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</si>
  <si>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</si>
  <si>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</si>
  <si>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</si>
  <si>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</si>
  <si>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</si>
  <si>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</si>
  <si>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</si>
  <si>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</si>
  <si>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</si>
  <si>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</si>
  <si>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</si>
  <si>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</si>
  <si>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</si>
  <si>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</si>
  <si>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</si>
  <si>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</si>
  <si>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</si>
  <si>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</si>
  <si>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</si>
  <si>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</si>
  <si>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</si>
  <si>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</si>
  <si>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</si>
  <si>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</si>
  <si>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</si>
  <si>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</si>
  <si>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</si>
  <si>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</si>
  <si>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</si>
  <si>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</si>
  <si>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</si>
  <si>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</si>
  <si>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</si>
  <si>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</si>
  <si>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</si>
  <si>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</si>
  <si>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</si>
  <si>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</si>
  <si>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</si>
  <si>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</si>
  <si>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</si>
  <si>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</si>
  <si>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</si>
  <si>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</si>
  <si>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</si>
  <si>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</si>
  <si>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</si>
  <si>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</si>
  <si>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</si>
  <si>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</si>
  <si>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</si>
  <si>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</si>
  <si>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</si>
  <si>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</si>
  <si>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</si>
  <si>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</si>
  <si>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</si>
  <si>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</si>
  <si>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</si>
  <si>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</si>
  <si>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</si>
  <si>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</si>
  <si>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</si>
  <si>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</si>
  <si>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</si>
  <si>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</si>
  <si>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</si>
  <si>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</si>
  <si>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</si>
  <si>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</si>
  <si>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</si>
  <si>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</si>
  <si>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</si>
  <si>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</si>
  <si>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</si>
  <si>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</si>
  <si>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</si>
  <si>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</si>
  <si>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</si>
  <si>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</si>
  <si>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</si>
  <si>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</si>
  <si>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</si>
  <si>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</si>
  <si>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</si>
  <si>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</si>
  <si>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</si>
  <si>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</si>
  <si>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</si>
  <si>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</si>
  <si>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</si>
  <si>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</si>
  <si>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</si>
  <si>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</si>
  <si>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</si>
  <si>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</si>
  <si>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</si>
  <si>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</si>
  <si>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</si>
  <si>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</si>
  <si>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</si>
  <si>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</si>
  <si>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</si>
  <si>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</si>
  <si>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</si>
  <si>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</si>
  <si>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</si>
  <si>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</si>
  <si>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</si>
  <si>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</si>
  <si>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</si>
  <si>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</si>
  <si>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</si>
  <si>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</si>
  <si>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</si>
  <si>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</si>
  <si>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</si>
  <si>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</si>
  <si>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</si>
  <si>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</si>
  <si>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</si>
  <si>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</si>
  <si>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</si>
  <si>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</si>
  <si>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</si>
  <si>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</si>
  <si>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</si>
  <si>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</si>
  <si>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</si>
  <si>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</si>
  <si>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</si>
  <si>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</si>
  <si>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</si>
  <si>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</si>
  <si>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</si>
  <si>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</si>
  <si>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</si>
  <si>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</si>
  <si>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</si>
  <si>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</si>
  <si>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</si>
  <si>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</si>
  <si>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</si>
  <si>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</si>
  <si>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</si>
  <si>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</si>
  <si>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</si>
  <si>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</si>
  <si>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</si>
  <si>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</si>
  <si>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</si>
  <si>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</si>
  <si>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</si>
  <si>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</si>
  <si>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</si>
  <si>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</si>
  <si>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</si>
  <si>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</si>
  <si>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</si>
  <si>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</si>
  <si>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</si>
  <si>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</si>
  <si>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</si>
  <si>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</si>
  <si>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</si>
  <si>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</si>
  <si>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</si>
  <si>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</si>
  <si>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</si>
  <si>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</si>
  <si>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</si>
  <si>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</si>
  <si>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</si>
  <si>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</si>
  <si>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</si>
  <si>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</si>
  <si>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</si>
  <si>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</si>
  <si>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</si>
  <si>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</si>
  <si>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</si>
  <si>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</si>
  <si>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</si>
  <si>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</si>
  <si>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</si>
  <si>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</si>
  <si>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</si>
  <si>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</si>
  <si>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</si>
  <si>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</si>
  <si>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</si>
  <si>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</si>
  <si>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</si>
  <si>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</si>
  <si>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</si>
  <si>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</si>
  <si>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</si>
  <si>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</si>
  <si>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</si>
  <si>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</si>
  <si>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</si>
  <si>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</si>
  <si>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</si>
  <si>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</si>
  <si>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</si>
  <si>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</si>
  <si>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</si>
  <si>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</si>
  <si>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</si>
  <si>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</si>
  <si>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</si>
  <si>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</si>
  <si>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</si>
  <si>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</si>
  <si>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</si>
  <si>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</si>
  <si>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</si>
  <si>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</si>
  <si>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</si>
  <si>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</si>
  <si>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</si>
  <si>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</si>
  <si>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</si>
  <si>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</si>
  <si>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</si>
  <si>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</si>
  <si>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</si>
  <si>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</si>
  <si>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</si>
  <si>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</si>
  <si>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</si>
  <si>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</si>
  <si>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</si>
  <si>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</si>
  <si>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</si>
  <si>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</si>
  <si>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Dbt1</t>
  </si>
  <si>
    <t>Rural, 15+</t>
  </si>
  <si>
    <t>% of rural population</t>
  </si>
  <si>
    <t>Dbt2</t>
  </si>
  <si>
    <t>Urban, 35+</t>
  </si>
  <si>
    <t>% of urban population</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</si>
  <si>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</si>
  <si>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</si>
  <si>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</si>
  <si>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</si>
  <si>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</si>
  <si>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</si>
  <si>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</si>
  <si>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</si>
  <si>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</si>
  <si>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</si>
  <si>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</si>
  <si>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</si>
  <si>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</si>
  <si>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</si>
  <si>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</si>
  <si>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</si>
  <si>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</si>
  <si>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</si>
  <si>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</si>
  <si>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</si>
  <si>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</si>
  <si>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</si>
  <si>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</si>
  <si>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</si>
  <si>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</si>
  <si>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</si>
  <si>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</si>
  <si>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</si>
  <si>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</si>
  <si>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</si>
  <si>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</si>
  <si>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</si>
  <si>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</si>
  <si>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</si>
  <si>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</si>
  <si>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</si>
  <si>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</si>
  <si>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</si>
  <si>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</si>
  <si>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</si>
  <si>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</si>
  <si>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</si>
  <si>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</si>
  <si>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</si>
  <si>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Men, ages 20-24</t>
  </si>
  <si>
    <t>Men, ages 25-29</t>
  </si>
  <si>
    <t>Men, ages 30-34</t>
  </si>
  <si>
    <t>Men, ages 35-39</t>
  </si>
  <si>
    <t>Men, ages 40-44</t>
  </si>
  <si>
    <t>Men, ages 45-49</t>
  </si>
  <si>
    <t>Men, ages 50-54</t>
  </si>
  <si>
    <t>Men, ages 55-59</t>
  </si>
  <si>
    <t>Men, ages 60-64</t>
  </si>
  <si>
    <t>Men, ages 65-69</t>
  </si>
  <si>
    <t>Men, ages 70-85+</t>
  </si>
  <si>
    <t>Estimated deaths from cancer per 100,000 women</t>
  </si>
  <si>
    <t>Women, all</t>
  </si>
  <si>
    <t>(53.65, 61.42)</t>
  </si>
  <si>
    <t>Women, ages 0-19</t>
  </si>
  <si>
    <t>Women, ages 20-24</t>
  </si>
  <si>
    <t>Women, ages 25-29</t>
  </si>
  <si>
    <t>Women, ages 30-34</t>
  </si>
  <si>
    <t>Women, ages 35-39</t>
  </si>
  <si>
    <t>Women, ages 40-44</t>
  </si>
  <si>
    <t>Women, ages 45-49</t>
  </si>
  <si>
    <t>Women, ages 50-54</t>
  </si>
  <si>
    <t>Women, ages 55-59</t>
  </si>
  <si>
    <t>Women, ages 60-64</t>
  </si>
  <si>
    <t>Women, ages 65-69</t>
  </si>
  <si>
    <t>Women, ages 70-85+</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</si>
  <si>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</si>
  <si>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</si>
  <si>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</si>
  <si>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</si>
  <si>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</si>
  <si>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</si>
  <si>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</si>
  <si>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</si>
  <si>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</si>
  <si>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</si>
  <si>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</si>
  <si>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</si>
  <si>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</si>
  <si>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</si>
  <si>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</si>
  <si>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</si>
  <si>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</si>
  <si>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</si>
  <si>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</si>
  <si>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</si>
  <si>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</si>
  <si>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</si>
  <si>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</si>
  <si>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</si>
  <si>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</si>
  <si>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</si>
  <si>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</si>
  <si>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</si>
  <si>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</si>
  <si>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</si>
  <si>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</si>
  <si>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</si>
  <si>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</si>
  <si>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</si>
  <si>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</si>
  <si>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</si>
  <si>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</si>
  <si>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</si>
  <si>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</si>
  <si>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</si>
  <si>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</si>
  <si>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</si>
  <si>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</si>
  <si>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</si>
  <si>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</si>
  <si>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</si>
  <si>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</si>
  <si>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</si>
  <si>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</si>
  <si>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</si>
  <si>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</si>
  <si>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</si>
  <si>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</si>
  <si>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</si>
  <si>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</si>
  <si>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Readable Name</t>
  </si>
  <si>
    <t>Starting Age</t>
  </si>
  <si>
    <t>Ending Age</t>
  </si>
  <si>
    <t>Included</t>
  </si>
  <si>
    <t>Excluded</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</si>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</sst>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8"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72">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6" fontId="0" fillId="22" borderId="0" xfId="0" applyNumberFormat="1" applyFill="1"/>
    <xf numFmtId="175" fontId="0" fillId="22" borderId="0" xfId="0" applyNumberFormat="1" applyFill="1"/>
    <xf numFmtId="181" fontId="0" fillId="0" borderId="0" xfId="0" applyNumberFormat="1"/>
    <xf numFmtId="0" fontId="0" fillId="23" borderId="0" xfId="0" applyFill="1"/>
    <xf numFmtId="176" fontId="0" fillId="0" borderId="0" xfId="0" applyNumberFormat="1" applyBorder="1" applyAlignment="1">
      <alignment horizontal="center"/>
    </xf>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applyAlignment="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9450" y="69380101"/>
          <a:ext cx="6705600" cy="27559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bmj.com/content/bmj/suppl/2005/11/10/331.7525.1107.DC1/adamt1_t5.pdf"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4.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6.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2.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5546875" defaultRowHeight="15" x14ac:dyDescent="0.25"/>
  <cols>
    <col min="1" max="1" width="25.5703125" style="234" bestFit="1" customWidth="1"/>
    <col min="2" max="13" width="10.140625" style="234" customWidth="1"/>
    <col min="14" max="14" width="31.5703125" style="234" bestFit="1" customWidth="1"/>
    <col min="15" max="16384" width="16.85546875" style="234"/>
  </cols>
  <sheetData>
    <row r="1" spans="1:14" s="313" customFormat="1" ht="45" x14ac:dyDescent="0.25">
      <c r="A1" s="313" t="s">
        <v>71</v>
      </c>
      <c r="B1" s="313" t="s">
        <v>2153</v>
      </c>
      <c r="C1" s="313" t="s">
        <v>2152</v>
      </c>
      <c r="D1" s="313" t="s">
        <v>2151</v>
      </c>
      <c r="E1" s="313" t="s">
        <v>75</v>
      </c>
      <c r="F1" s="313" t="s">
        <v>76</v>
      </c>
      <c r="G1" s="313" t="s">
        <v>77</v>
      </c>
      <c r="H1" s="313" t="s">
        <v>78</v>
      </c>
      <c r="I1" s="313" t="s">
        <v>79</v>
      </c>
      <c r="J1" s="313" t="s">
        <v>80</v>
      </c>
      <c r="K1" s="281" t="s">
        <v>2144</v>
      </c>
      <c r="L1" s="281" t="s">
        <v>2145</v>
      </c>
      <c r="M1" s="281" t="s">
        <v>2146</v>
      </c>
      <c r="N1" s="313" t="s">
        <v>81</v>
      </c>
    </row>
    <row r="2" spans="1:14" s="313" customFormat="1" x14ac:dyDescent="0.25"/>
    <row r="3" spans="1:14" s="313" customFormat="1" x14ac:dyDescent="0.25">
      <c r="A3" s="316" t="s">
        <v>2150</v>
      </c>
    </row>
    <row r="4" spans="1:14" x14ac:dyDescent="0.2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2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2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2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2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2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2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25">
      <c r="A12" s="315" t="s">
        <v>2078</v>
      </c>
    </row>
    <row r="13" spans="1:14" x14ac:dyDescent="0.2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2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2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2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2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25">
      <c r="A18" s="234" t="s">
        <v>2074</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2075</v>
      </c>
    </row>
    <row r="20" spans="1:14" x14ac:dyDescent="0.25">
      <c r="A20" s="317" t="s">
        <v>2149</v>
      </c>
    </row>
    <row r="21" spans="1:14" x14ac:dyDescent="0.2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2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2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2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25">
      <c r="A25" s="257" t="s">
        <v>2135</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2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109375" defaultRowHeight="15" x14ac:dyDescent="0.25"/>
  <cols>
    <col min="1" max="1" width="17.5703125" bestFit="1" customWidth="1"/>
    <col min="2" max="2" width="53.140625" bestFit="1" customWidth="1"/>
  </cols>
  <sheetData>
    <row r="1" spans="1:2" x14ac:dyDescent="0.25">
      <c r="A1" s="71" t="s">
        <v>0</v>
      </c>
    </row>
    <row r="2" spans="1:2" hidden="1" x14ac:dyDescent="0.25">
      <c r="A2" s="199" t="s">
        <v>1</v>
      </c>
      <c r="B2" s="199" t="s">
        <v>2</v>
      </c>
    </row>
    <row r="3" spans="1:2" s="199" customFormat="1" hidden="1" x14ac:dyDescent="0.25">
      <c r="A3" s="199" t="s">
        <v>3</v>
      </c>
      <c r="B3" s="199" t="s">
        <v>4</v>
      </c>
    </row>
    <row r="4" spans="1:2" s="199" customFormat="1" hidden="1" x14ac:dyDescent="0.25">
      <c r="A4" s="199" t="s">
        <v>5</v>
      </c>
      <c r="B4" s="199" t="s">
        <v>6</v>
      </c>
    </row>
    <row r="5" spans="1:2" s="199" customFormat="1" hidden="1" x14ac:dyDescent="0.25">
      <c r="A5" s="199" t="s">
        <v>7</v>
      </c>
      <c r="B5" s="199" t="s">
        <v>8</v>
      </c>
    </row>
    <row r="6" spans="1:2" s="199" customFormat="1" hidden="1" x14ac:dyDescent="0.25">
      <c r="A6" s="199" t="s">
        <v>7</v>
      </c>
      <c r="B6" s="199"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B11" t="s">
        <v>18</v>
      </c>
    </row>
    <row r="13" spans="1:2" x14ac:dyDescent="0.25">
      <c r="A13" t="s">
        <v>12</v>
      </c>
      <c r="B13" t="s">
        <v>19</v>
      </c>
    </row>
    <row r="14" spans="1:2" x14ac:dyDescent="0.25">
      <c r="A14" t="s">
        <v>20</v>
      </c>
      <c r="B14" t="s">
        <v>21</v>
      </c>
    </row>
    <row r="15" spans="1:2" x14ac:dyDescent="0.25">
      <c r="A15" t="s">
        <v>22</v>
      </c>
      <c r="B15" t="s">
        <v>23</v>
      </c>
    </row>
    <row r="16" spans="1:2" x14ac:dyDescent="0.25">
      <c r="A16" t="s">
        <v>24</v>
      </c>
      <c r="B16" t="s">
        <v>25</v>
      </c>
    </row>
    <row r="18" spans="1:2" x14ac:dyDescent="0.25">
      <c r="A18" t="s">
        <v>26</v>
      </c>
      <c r="B18" t="s">
        <v>27</v>
      </c>
    </row>
    <row r="19" spans="1:2" x14ac:dyDescent="0.25">
      <c r="A19" t="s">
        <v>28</v>
      </c>
      <c r="B19" t="s">
        <v>29</v>
      </c>
    </row>
    <row r="20" spans="1:2" x14ac:dyDescent="0.25">
      <c r="A20" t="s">
        <v>30</v>
      </c>
      <c r="B20" t="s">
        <v>31</v>
      </c>
    </row>
    <row r="21" spans="1:2" x14ac:dyDescent="0.25">
      <c r="A21" t="s">
        <v>24</v>
      </c>
      <c r="B21" t="s">
        <v>32</v>
      </c>
    </row>
    <row r="22" spans="1:2" x14ac:dyDescent="0.25">
      <c r="A22" t="s">
        <v>33</v>
      </c>
      <c r="B22" t="s">
        <v>34</v>
      </c>
    </row>
    <row r="23" spans="1:2" x14ac:dyDescent="0.25">
      <c r="A23" t="s">
        <v>7</v>
      </c>
      <c r="B23" t="s">
        <v>35</v>
      </c>
    </row>
    <row r="24" spans="1:2" x14ac:dyDescent="0.25">
      <c r="A24" t="s">
        <v>22</v>
      </c>
      <c r="B24" t="s">
        <v>36</v>
      </c>
    </row>
    <row r="25" spans="1:2" x14ac:dyDescent="0.25">
      <c r="A25" t="s">
        <v>10</v>
      </c>
      <c r="B25" t="s">
        <v>37</v>
      </c>
    </row>
    <row r="27" spans="1:2" x14ac:dyDescent="0.25">
      <c r="A27" t="s">
        <v>5</v>
      </c>
      <c r="B27" t="s">
        <v>38</v>
      </c>
    </row>
    <row r="28" spans="1:2" x14ac:dyDescent="0.25">
      <c r="A28" t="s">
        <v>1</v>
      </c>
      <c r="B28" t="s">
        <v>39</v>
      </c>
    </row>
    <row r="29" spans="1:2" x14ac:dyDescent="0.25">
      <c r="A29" t="s">
        <v>12</v>
      </c>
      <c r="B29" t="s">
        <v>40</v>
      </c>
    </row>
    <row r="31" spans="1:2" x14ac:dyDescent="0.25">
      <c r="A31" s="71" t="s">
        <v>41</v>
      </c>
    </row>
    <row r="32" spans="1:2" hidden="1" x14ac:dyDescent="0.25">
      <c r="A32" s="199" t="s">
        <v>10</v>
      </c>
      <c r="B32" s="200" t="s">
        <v>42</v>
      </c>
    </row>
    <row r="33" spans="1:2" s="199" customFormat="1" hidden="1" x14ac:dyDescent="0.25">
      <c r="A33" s="199" t="s">
        <v>22</v>
      </c>
      <c r="B33" s="199" t="s">
        <v>43</v>
      </c>
    </row>
    <row r="34" spans="1:2" s="199" customFormat="1" hidden="1" x14ac:dyDescent="0.25">
      <c r="A34" s="199" t="s">
        <v>7</v>
      </c>
      <c r="B34" s="199" t="s">
        <v>44</v>
      </c>
    </row>
    <row r="35" spans="1:2" hidden="1" x14ac:dyDescent="0.25">
      <c r="A35" s="199" t="s">
        <v>45</v>
      </c>
      <c r="B35" s="199" t="s">
        <v>46</v>
      </c>
    </row>
    <row r="37" spans="1:2" x14ac:dyDescent="0.25">
      <c r="A37" s="71" t="s">
        <v>47</v>
      </c>
    </row>
    <row r="38" spans="1:2" x14ac:dyDescent="0.25">
      <c r="A38" t="s">
        <v>48</v>
      </c>
      <c r="B38" t="s">
        <v>49</v>
      </c>
    </row>
    <row r="39" spans="1:2" x14ac:dyDescent="0.25">
      <c r="A39" t="s">
        <v>50</v>
      </c>
      <c r="B39" t="s">
        <v>51</v>
      </c>
    </row>
    <row r="40" spans="1:2" x14ac:dyDescent="0.25">
      <c r="A40" t="s">
        <v>50</v>
      </c>
      <c r="B40" t="s">
        <v>52</v>
      </c>
    </row>
    <row r="41" spans="1:2" x14ac:dyDescent="0.25">
      <c r="A41" t="s">
        <v>50</v>
      </c>
      <c r="B41" t="s">
        <v>53</v>
      </c>
    </row>
    <row r="42" spans="1:2" x14ac:dyDescent="0.25">
      <c r="A42" t="s">
        <v>50</v>
      </c>
      <c r="B42" t="s">
        <v>54</v>
      </c>
    </row>
    <row r="43" spans="1:2" x14ac:dyDescent="0.25">
      <c r="A43" t="s">
        <v>55</v>
      </c>
      <c r="B43" t="s">
        <v>56</v>
      </c>
    </row>
    <row r="44" spans="1:2" x14ac:dyDescent="0.25">
      <c r="A44" t="s">
        <v>48</v>
      </c>
      <c r="B44" t="s">
        <v>57</v>
      </c>
    </row>
    <row r="45" spans="1:2" x14ac:dyDescent="0.25">
      <c r="A45" t="s">
        <v>48</v>
      </c>
      <c r="B45" t="s">
        <v>58</v>
      </c>
    </row>
    <row r="46" spans="1:2" x14ac:dyDescent="0.25">
      <c r="A46" t="s">
        <v>50</v>
      </c>
      <c r="B46" t="s">
        <v>59</v>
      </c>
    </row>
    <row r="47" spans="1:2" hidden="1" x14ac:dyDescent="0.25">
      <c r="B47" s="199" t="s">
        <v>60</v>
      </c>
    </row>
    <row r="48" spans="1:2" hidden="1" x14ac:dyDescent="0.25">
      <c r="B48" s="199" t="s">
        <v>61</v>
      </c>
    </row>
    <row r="49" spans="1:2" hidden="1" x14ac:dyDescent="0.25">
      <c r="B49" s="199" t="s">
        <v>62</v>
      </c>
    </row>
    <row r="50" spans="1:2" hidden="1" x14ac:dyDescent="0.25">
      <c r="B50" s="199" t="s">
        <v>63</v>
      </c>
    </row>
    <row r="51" spans="1:2" x14ac:dyDescent="0.2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5" x14ac:dyDescent="0.25"/>
  <sheetData>
    <row r="2" spans="2:11" x14ac:dyDescent="0.25">
      <c r="B2" t="s">
        <v>2070</v>
      </c>
    </row>
    <row r="3" spans="2:11" x14ac:dyDescent="0.25">
      <c r="B3" t="s">
        <v>2069</v>
      </c>
    </row>
    <row r="4" spans="2:11" x14ac:dyDescent="0.25">
      <c r="B4" t="s">
        <v>2117</v>
      </c>
    </row>
    <row r="6" spans="2:11" x14ac:dyDescent="0.25">
      <c r="B6" t="s">
        <v>2071</v>
      </c>
    </row>
    <row r="7" spans="2:11" x14ac:dyDescent="0.25">
      <c r="B7" t="s">
        <v>2072</v>
      </c>
    </row>
    <row r="8" spans="2:11" x14ac:dyDescent="0.25">
      <c r="B8" t="s">
        <v>2073</v>
      </c>
    </row>
    <row r="12" spans="2:11" x14ac:dyDescent="0.25">
      <c r="K12" t="s">
        <v>2116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topLeftCell="E1" workbookViewId="0">
      <selection activeCell="D5" sqref="D5"/>
    </sheetView>
  </sheetViews>
  <sheetFormatPr defaultColWidth="16.85546875" defaultRowHeight="15" x14ac:dyDescent="0.25"/>
  <cols>
    <col min="1" max="1" width="25.5703125" bestFit="1" customWidth="1"/>
    <col min="2" max="3" width="7.85546875" customWidth="1"/>
    <col min="4" max="4" width="9.85546875" bestFit="1" customWidth="1"/>
    <col min="5" max="5" width="9.42578125" customWidth="1"/>
    <col min="6" max="10" width="14.28515625" customWidth="1"/>
    <col min="11" max="11" width="18.42578125" customWidth="1"/>
    <col min="12" max="12" width="16.85546875" customWidth="1"/>
    <col min="13" max="15" width="22.28515625" customWidth="1"/>
    <col min="16" max="16" width="11.140625" customWidth="1"/>
    <col min="17" max="17" width="31.5703125" bestFit="1" customWidth="1"/>
  </cols>
  <sheetData>
    <row r="1" spans="1:17" s="177" customFormat="1" ht="30" x14ac:dyDescent="0.25">
      <c r="A1" s="281" t="s">
        <v>71</v>
      </c>
      <c r="B1" s="281" t="s">
        <v>72</v>
      </c>
      <c r="C1" s="281" t="s">
        <v>73</v>
      </c>
      <c r="D1" s="281" t="s">
        <v>74</v>
      </c>
      <c r="E1" s="281" t="s">
        <v>75</v>
      </c>
      <c r="F1" s="281" t="s">
        <v>76</v>
      </c>
      <c r="G1" s="281" t="s">
        <v>77</v>
      </c>
      <c r="H1" s="281" t="s">
        <v>78</v>
      </c>
      <c r="I1" s="281" t="s">
        <v>79</v>
      </c>
      <c r="J1" s="281" t="s">
        <v>80</v>
      </c>
      <c r="K1" s="281" t="s">
        <v>2144</v>
      </c>
      <c r="L1" s="281" t="s">
        <v>2145</v>
      </c>
      <c r="M1" s="281" t="s">
        <v>2146</v>
      </c>
      <c r="N1" s="281" t="s">
        <v>2784</v>
      </c>
      <c r="O1" s="281" t="s">
        <v>2788</v>
      </c>
      <c r="P1" s="402" t="s">
        <v>2833</v>
      </c>
      <c r="Q1" s="281" t="s">
        <v>81</v>
      </c>
    </row>
    <row r="2" spans="1:17" x14ac:dyDescent="0.25">
      <c r="A2" s="58" t="s">
        <v>2626</v>
      </c>
      <c r="B2" s="58">
        <v>48</v>
      </c>
      <c r="C2" s="58">
        <v>32</v>
      </c>
      <c r="D2" s="58">
        <v>5000</v>
      </c>
      <c r="E2" s="58" t="s">
        <v>82</v>
      </c>
      <c r="F2" s="58" t="b">
        <v>1</v>
      </c>
      <c r="G2" s="58" t="b">
        <v>1</v>
      </c>
      <c r="H2" s="58" t="b">
        <v>1</v>
      </c>
      <c r="I2" s="58" t="b">
        <v>1</v>
      </c>
      <c r="J2" s="58" t="b">
        <v>1</v>
      </c>
      <c r="K2" t="s">
        <v>2774</v>
      </c>
      <c r="L2" t="s">
        <v>2147</v>
      </c>
      <c r="M2" t="s">
        <v>2148</v>
      </c>
      <c r="N2" t="s">
        <v>2785</v>
      </c>
      <c r="O2" t="s">
        <v>2171</v>
      </c>
      <c r="P2" s="48" t="str">
        <f>RegionSelect!B2</f>
        <v>Ethiopia</v>
      </c>
      <c r="Q2" s="58"/>
    </row>
    <row r="3" spans="1:17" x14ac:dyDescent="0.25">
      <c r="A3" t="s">
        <v>2775</v>
      </c>
      <c r="B3" s="58">
        <v>48</v>
      </c>
      <c r="C3" s="58">
        <v>32</v>
      </c>
      <c r="D3" s="58">
        <v>5000</v>
      </c>
      <c r="E3" s="58" t="s">
        <v>82</v>
      </c>
      <c r="F3" s="58" t="b">
        <v>1</v>
      </c>
      <c r="G3" s="58" t="b">
        <v>1</v>
      </c>
      <c r="H3" s="58" t="b">
        <v>1</v>
      </c>
      <c r="I3" s="58" t="b">
        <v>1</v>
      </c>
      <c r="J3" s="58" t="b">
        <v>1</v>
      </c>
      <c r="K3" t="s">
        <v>2776</v>
      </c>
      <c r="L3" t="s">
        <v>2147</v>
      </c>
      <c r="M3" t="s">
        <v>2148</v>
      </c>
      <c r="N3" t="s">
        <v>2786</v>
      </c>
      <c r="O3" t="s">
        <v>2172</v>
      </c>
      <c r="P3" s="48" t="str">
        <f>P2</f>
        <v>Ethiopia</v>
      </c>
    </row>
    <row r="4" spans="1:17" x14ac:dyDescent="0.25">
      <c r="A4" t="s">
        <v>2782</v>
      </c>
      <c r="B4" s="58">
        <v>48</v>
      </c>
      <c r="C4" s="58">
        <v>32</v>
      </c>
      <c r="D4" s="58">
        <v>5000</v>
      </c>
      <c r="E4" s="58" t="s">
        <v>82</v>
      </c>
      <c r="F4" s="58" t="b">
        <v>1</v>
      </c>
      <c r="G4" s="58" t="b">
        <v>1</v>
      </c>
      <c r="H4" s="58" t="b">
        <v>1</v>
      </c>
      <c r="I4" s="58" t="b">
        <v>1</v>
      </c>
      <c r="J4" s="58" t="b">
        <v>1</v>
      </c>
      <c r="K4" t="s">
        <v>2783</v>
      </c>
      <c r="L4" t="s">
        <v>2147</v>
      </c>
      <c r="M4" t="s">
        <v>2148</v>
      </c>
      <c r="N4" t="s">
        <v>2787</v>
      </c>
      <c r="O4" t="s">
        <v>2173</v>
      </c>
      <c r="P4" s="48" t="str">
        <f>P3</f>
        <v>Ethiopia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C11" sqref="C11"/>
    </sheetView>
  </sheetViews>
  <sheetFormatPr defaultRowHeight="15" x14ac:dyDescent="0.25"/>
  <cols>
    <col min="1" max="1" width="9.85546875" bestFit="1" customWidth="1"/>
    <col min="2" max="2" width="18.85546875" bestFit="1" customWidth="1"/>
    <col min="3" max="3" width="10.42578125" bestFit="1" customWidth="1"/>
    <col min="5" max="5" width="11.28515625" bestFit="1" customWidth="1"/>
    <col min="6" max="6" width="18.85546875" bestFit="1" customWidth="1"/>
    <col min="7" max="7" width="11.140625" bestFit="1" customWidth="1"/>
  </cols>
  <sheetData>
    <row r="1" spans="1:7" x14ac:dyDescent="0.25">
      <c r="B1" s="404" t="s">
        <v>2846</v>
      </c>
      <c r="C1" s="404" t="s">
        <v>2845</v>
      </c>
      <c r="E1" s="404" t="s">
        <v>2844</v>
      </c>
      <c r="F1" s="404" t="s">
        <v>2846</v>
      </c>
      <c r="G1" s="404" t="s">
        <v>2845</v>
      </c>
    </row>
    <row r="2" spans="1:7" x14ac:dyDescent="0.25">
      <c r="A2" s="404" t="s">
        <v>141</v>
      </c>
      <c r="B2" s="59" t="s">
        <v>594</v>
      </c>
      <c r="C2" t="str">
        <f>VLOOKUP(B2, F2:G13, 2, FALSE)</f>
        <v>ET</v>
      </c>
      <c r="E2">
        <v>0</v>
      </c>
      <c r="F2" t="s">
        <v>594</v>
      </c>
      <c r="G2" t="s">
        <v>2851</v>
      </c>
    </row>
    <row r="3" spans="1:7" x14ac:dyDescent="0.25">
      <c r="E3">
        <v>1</v>
      </c>
      <c r="F3" t="s">
        <v>806</v>
      </c>
      <c r="G3" t="s">
        <v>2870</v>
      </c>
    </row>
    <row r="4" spans="1:7" x14ac:dyDescent="0.25">
      <c r="E4">
        <v>1</v>
      </c>
      <c r="F4" t="s">
        <v>2948</v>
      </c>
      <c r="G4" t="s">
        <v>2871</v>
      </c>
    </row>
    <row r="5" spans="1:7" x14ac:dyDescent="0.25">
      <c r="E5">
        <v>1</v>
      </c>
      <c r="F5" t="s">
        <v>805</v>
      </c>
      <c r="G5" t="s">
        <v>2873</v>
      </c>
    </row>
    <row r="6" spans="1:7" x14ac:dyDescent="0.25">
      <c r="E6">
        <v>1</v>
      </c>
      <c r="F6" t="s">
        <v>809</v>
      </c>
      <c r="G6" t="s">
        <v>2874</v>
      </c>
    </row>
    <row r="7" spans="1:7" x14ac:dyDescent="0.25">
      <c r="E7">
        <v>1</v>
      </c>
      <c r="F7" t="s">
        <v>2876</v>
      </c>
      <c r="G7" t="s">
        <v>2875</v>
      </c>
    </row>
    <row r="8" spans="1:7" x14ac:dyDescent="0.25">
      <c r="E8">
        <v>1</v>
      </c>
      <c r="F8" t="s">
        <v>2879</v>
      </c>
      <c r="G8" t="s">
        <v>2878</v>
      </c>
    </row>
    <row r="9" spans="1:7" x14ac:dyDescent="0.25">
      <c r="E9">
        <v>1</v>
      </c>
      <c r="F9" t="s">
        <v>2881</v>
      </c>
      <c r="G9" t="s">
        <v>2880</v>
      </c>
    </row>
    <row r="10" spans="1:7" x14ac:dyDescent="0.25">
      <c r="E10">
        <v>1</v>
      </c>
      <c r="F10" t="s">
        <v>2883</v>
      </c>
      <c r="G10" t="s">
        <v>2882</v>
      </c>
    </row>
    <row r="11" spans="1:7" x14ac:dyDescent="0.25">
      <c r="E11">
        <v>1</v>
      </c>
      <c r="F11" t="s">
        <v>2885</v>
      </c>
      <c r="G11" t="s">
        <v>2884</v>
      </c>
    </row>
    <row r="12" spans="1:7" x14ac:dyDescent="0.25">
      <c r="E12">
        <v>1</v>
      </c>
      <c r="F12" t="s">
        <v>814</v>
      </c>
      <c r="G12" t="s">
        <v>2886</v>
      </c>
    </row>
    <row r="13" spans="1:7" x14ac:dyDescent="0.25">
      <c r="E13">
        <v>1</v>
      </c>
      <c r="F13" t="s">
        <v>2888</v>
      </c>
      <c r="G13" t="s">
        <v>2887</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topLeftCell="A70" workbookViewId="0">
      <selection activeCell="F102" sqref="F102"/>
    </sheetView>
  </sheetViews>
  <sheetFormatPr defaultColWidth="10" defaultRowHeight="15" x14ac:dyDescent="0.25"/>
  <cols>
    <col min="6" max="6" width="13.5703125" bestFit="1" customWidth="1"/>
    <col min="7" max="7" width="11.85546875" bestFit="1" customWidth="1"/>
  </cols>
  <sheetData>
    <row r="1" spans="1:7" x14ac:dyDescent="0.25">
      <c r="A1" t="s">
        <v>115</v>
      </c>
      <c r="B1" s="48" t="s">
        <v>116</v>
      </c>
      <c r="C1" s="48" t="s">
        <v>117</v>
      </c>
      <c r="D1" s="48" t="s">
        <v>118</v>
      </c>
    </row>
    <row r="2" spans="1:7" s="48" customFormat="1" x14ac:dyDescent="0.25">
      <c r="A2" s="62" t="s">
        <v>119</v>
      </c>
      <c r="B2" s="124">
        <f>HLOOKUP(A2,Demographics_Total!$B$2:$CX$4,3,TRUE)</f>
        <v>1794565.7155999995</v>
      </c>
      <c r="C2" s="124">
        <f>HLOOKUP(A2,Demographics_Total!$B$2:$CX$4,2,TRUE)</f>
        <v>1739593.6404000001</v>
      </c>
      <c r="D2" s="124">
        <f>C2+B2</f>
        <v>3534159.3559999997</v>
      </c>
    </row>
    <row r="3" spans="1:7" x14ac:dyDescent="0.25">
      <c r="A3" s="62">
        <v>1</v>
      </c>
      <c r="B3" s="124">
        <f>HLOOKUP(A3,Demographics_Total!$B$2:$CX$4,3,TRUE)</f>
        <v>1729422.9510999999</v>
      </c>
      <c r="C3" s="124">
        <f>HLOOKUP(A3,Demographics_Total!$B$2:$CX$4,2,TRUE)</f>
        <v>1677633.4099000003</v>
      </c>
      <c r="D3" s="124">
        <f t="shared" ref="D3:D66" si="0">C3+B3</f>
        <v>3407056.3610000005</v>
      </c>
      <c r="F3" s="89"/>
    </row>
    <row r="4" spans="1:7" x14ac:dyDescent="0.25">
      <c r="A4" s="62">
        <v>2</v>
      </c>
      <c r="B4" s="124">
        <f>HLOOKUP(A4,Demographics_Total!$B$2:$CX$4,3,TRUE)</f>
        <v>1697431.0311</v>
      </c>
      <c r="C4" s="124">
        <f>HLOOKUP(A4,Demographics_Total!$B$2:$CX$4,2,TRUE)</f>
        <v>1647808.5299000002</v>
      </c>
      <c r="D4" s="124">
        <f t="shared" si="0"/>
        <v>3345239.5610000002</v>
      </c>
      <c r="F4" s="3"/>
    </row>
    <row r="5" spans="1:7" x14ac:dyDescent="0.25">
      <c r="A5" s="62">
        <v>3</v>
      </c>
      <c r="B5" s="124">
        <f>HLOOKUP(A5,Demographics_Total!$B$2:$CX$4,3,TRUE)</f>
        <v>1665439.1111000001</v>
      </c>
      <c r="C5" s="124">
        <f>HLOOKUP(A5,Demographics_Total!$B$2:$CX$4,2,TRUE)</f>
        <v>1617983.6499000001</v>
      </c>
      <c r="D5" s="124">
        <f t="shared" si="0"/>
        <v>3283422.7609999999</v>
      </c>
      <c r="F5" s="3"/>
    </row>
    <row r="6" spans="1:7" x14ac:dyDescent="0.25">
      <c r="A6" s="62">
        <v>4</v>
      </c>
      <c r="B6" s="124">
        <f>HLOOKUP(A6,Demographics_Total!$B$2:$CX$4,3,TRUE)</f>
        <v>1633447.1911000002</v>
      </c>
      <c r="C6" s="124">
        <f>HLOOKUP(A6,Demographics_Total!$B$2:$CX$4,2,TRUE)</f>
        <v>1588158.7699</v>
      </c>
      <c r="D6" s="124">
        <f t="shared" si="0"/>
        <v>3221605.9610000001</v>
      </c>
    </row>
    <row r="7" spans="1:7" x14ac:dyDescent="0.25">
      <c r="A7" s="62">
        <v>5</v>
      </c>
      <c r="B7" s="124">
        <f>HLOOKUP(A7,Demographics_Total!$B$2:$CX$4,3,TRUE)</f>
        <v>1608085.4400000002</v>
      </c>
      <c r="C7" s="124">
        <f>HLOOKUP(A7,Demographics_Total!$B$2:$CX$4,2,TRUE)</f>
        <v>1564760.9599999997</v>
      </c>
      <c r="D7" s="124">
        <f t="shared" si="0"/>
        <v>3172846.4</v>
      </c>
    </row>
    <row r="8" spans="1:7" x14ac:dyDescent="0.25">
      <c r="A8" s="62">
        <v>6</v>
      </c>
      <c r="B8" s="124">
        <f>HLOOKUP(A8,Demographics_Total!$B$2:$CX$4,3,TRUE)</f>
        <v>1576093.5200000003</v>
      </c>
      <c r="C8" s="124">
        <f>HLOOKUP(A8,Demographics_Total!$B$2:$CX$4,2,TRUE)</f>
        <v>1534936.0799999996</v>
      </c>
      <c r="D8" s="124">
        <f t="shared" si="0"/>
        <v>3111029.5999999996</v>
      </c>
    </row>
    <row r="9" spans="1:7" x14ac:dyDescent="0.25">
      <c r="A9" s="62">
        <v>7</v>
      </c>
      <c r="B9" s="124">
        <f>HLOOKUP(A9,Demographics_Total!$B$2:$CX$4,3,TRUE)</f>
        <v>1544101.6</v>
      </c>
      <c r="C9" s="124">
        <f>HLOOKUP(A9,Demographics_Total!$B$2:$CX$4,2,TRUE)</f>
        <v>1505111.2</v>
      </c>
      <c r="D9" s="124">
        <f t="shared" si="0"/>
        <v>3049212.8</v>
      </c>
    </row>
    <row r="10" spans="1:7" x14ac:dyDescent="0.25">
      <c r="A10" s="62">
        <v>8</v>
      </c>
      <c r="B10" s="124">
        <f>HLOOKUP(A10,Demographics_Total!$B$2:$CX$4,3,TRUE)</f>
        <v>1515244.2000000002</v>
      </c>
      <c r="C10" s="124">
        <f>HLOOKUP(A10,Demographics_Total!$B$2:$CX$4,2,TRUE)</f>
        <v>1478254</v>
      </c>
      <c r="D10" s="124">
        <f t="shared" si="0"/>
        <v>2993498.2</v>
      </c>
    </row>
    <row r="11" spans="1:7" x14ac:dyDescent="0.25">
      <c r="A11" s="62">
        <v>9</v>
      </c>
      <c r="B11" s="124">
        <f>HLOOKUP(A11,Demographics_Total!$B$2:$CX$4,3,TRUE)</f>
        <v>1486386.8000000003</v>
      </c>
      <c r="C11" s="124">
        <f>HLOOKUP(A11,Demographics_Total!$B$2:$CX$4,2,TRUE)</f>
        <v>1451396.8</v>
      </c>
      <c r="D11" s="124">
        <f t="shared" si="0"/>
        <v>2937783.6000000006</v>
      </c>
    </row>
    <row r="12" spans="1:7" x14ac:dyDescent="0.25">
      <c r="A12" s="62">
        <v>10</v>
      </c>
      <c r="B12" s="124">
        <f>HLOOKUP(A12,Demographics_Total!$B$2:$CX$4,3,TRUE)</f>
        <v>1457529.4000000004</v>
      </c>
      <c r="C12" s="124">
        <f>HLOOKUP(A12,Demographics_Total!$B$2:$CX$4,2,TRUE)</f>
        <v>1424539.6</v>
      </c>
      <c r="D12" s="124">
        <f t="shared" si="0"/>
        <v>2882069.0000000005</v>
      </c>
    </row>
    <row r="13" spans="1:7" x14ac:dyDescent="0.25">
      <c r="A13" s="62">
        <v>11</v>
      </c>
      <c r="B13" s="124">
        <f>HLOOKUP(A13,Demographics_Total!$B$2:$CX$4,3,TRUE)</f>
        <v>1428672.0000000005</v>
      </c>
      <c r="C13" s="124">
        <f>HLOOKUP(A13,Demographics_Total!$B$2:$CX$4,2,TRUE)</f>
        <v>1397682.4000000001</v>
      </c>
      <c r="D13" s="124">
        <f t="shared" si="0"/>
        <v>2826354.4000000004</v>
      </c>
      <c r="G13" s="124"/>
    </row>
    <row r="14" spans="1:7" x14ac:dyDescent="0.25">
      <c r="A14" s="62">
        <v>12</v>
      </c>
      <c r="B14" s="124">
        <f>HLOOKUP(A14,Demographics_Total!$B$2:$CX$4,3,TRUE)</f>
        <v>1399814.6</v>
      </c>
      <c r="C14" s="124">
        <f>HLOOKUP(A14,Demographics_Total!$B$2:$CX$4,2,TRUE)</f>
        <v>1370825.2</v>
      </c>
      <c r="D14" s="124">
        <f t="shared" si="0"/>
        <v>2770639.8</v>
      </c>
    </row>
    <row r="15" spans="1:7" x14ac:dyDescent="0.25">
      <c r="A15" s="62">
        <v>13</v>
      </c>
      <c r="B15" s="124">
        <f>HLOOKUP(A15,Demographics_Total!$B$2:$CX$4,3,TRUE)</f>
        <v>1381579.56</v>
      </c>
      <c r="C15" s="124">
        <f>HLOOKUP(A15,Demographics_Total!$B$2:$CX$4,2,TRUE)</f>
        <v>1353964.08</v>
      </c>
      <c r="D15" s="124">
        <f t="shared" si="0"/>
        <v>2735543.64</v>
      </c>
    </row>
    <row r="16" spans="1:7" x14ac:dyDescent="0.25">
      <c r="A16" s="62">
        <v>14</v>
      </c>
      <c r="B16" s="124">
        <f>HLOOKUP(A16,Demographics_Total!$B$2:$CX$4,3,TRUE)</f>
        <v>1363344.52</v>
      </c>
      <c r="C16" s="124">
        <f>HLOOKUP(A16,Demographics_Total!$B$2:$CX$4,2,TRUE)</f>
        <v>1337102.9600000002</v>
      </c>
      <c r="D16" s="124">
        <f t="shared" si="0"/>
        <v>2700447.4800000004</v>
      </c>
    </row>
    <row r="17" spans="1:4" x14ac:dyDescent="0.25">
      <c r="A17" s="62">
        <v>15</v>
      </c>
      <c r="B17" s="124">
        <f>HLOOKUP(A17,Demographics_Total!$B$2:$CX$4,3,TRUE)</f>
        <v>1345109.48</v>
      </c>
      <c r="C17" s="124">
        <f>HLOOKUP(A17,Demographics_Total!$B$2:$CX$4,2,TRUE)</f>
        <v>1320241.8400000003</v>
      </c>
      <c r="D17" s="124">
        <f t="shared" si="0"/>
        <v>2665351.3200000003</v>
      </c>
    </row>
    <row r="18" spans="1:4" x14ac:dyDescent="0.25">
      <c r="A18" s="62">
        <v>16</v>
      </c>
      <c r="B18" s="124">
        <f>HLOOKUP(A18,Demographics_Total!$B$2:$CX$4,3,TRUE)</f>
        <v>1326874.44</v>
      </c>
      <c r="C18" s="124">
        <f>HLOOKUP(A18,Demographics_Total!$B$2:$CX$4,2,TRUE)</f>
        <v>1303380.7200000004</v>
      </c>
      <c r="D18" s="124">
        <f t="shared" si="0"/>
        <v>2630255.16</v>
      </c>
    </row>
    <row r="19" spans="1:4" x14ac:dyDescent="0.25">
      <c r="A19" s="62">
        <v>17</v>
      </c>
      <c r="B19" s="124">
        <f>HLOOKUP(A19,Demographics_Total!$B$2:$CX$4,3,TRUE)</f>
        <v>1308639.3999999999</v>
      </c>
      <c r="C19" s="124">
        <f>HLOOKUP(A19,Demographics_Total!$B$2:$CX$4,2,TRUE)</f>
        <v>1286519.6000000001</v>
      </c>
      <c r="D19" s="124">
        <f t="shared" si="0"/>
        <v>2595159</v>
      </c>
    </row>
    <row r="20" spans="1:4" x14ac:dyDescent="0.25">
      <c r="A20" s="62">
        <v>18</v>
      </c>
      <c r="B20" s="124">
        <f>HLOOKUP(A20,Demographics_Total!$B$2:$CX$4,3,TRUE)</f>
        <v>1284138.8399999999</v>
      </c>
      <c r="C20" s="124">
        <f>HLOOKUP(A20,Demographics_Total!$B$2:$CX$4,2,TRUE)</f>
        <v>1261862.6000000001</v>
      </c>
      <c r="D20" s="124">
        <f t="shared" si="0"/>
        <v>2546001.44</v>
      </c>
    </row>
    <row r="21" spans="1:4" x14ac:dyDescent="0.25">
      <c r="A21" s="62">
        <v>19</v>
      </c>
      <c r="B21" s="124">
        <f>HLOOKUP(A21,Demographics_Total!$B$2:$CX$4,3,TRUE)</f>
        <v>1259638.2799999998</v>
      </c>
      <c r="C21" s="124">
        <f>HLOOKUP(A21,Demographics_Total!$B$2:$CX$4,2,TRUE)</f>
        <v>1237205.6000000001</v>
      </c>
      <c r="D21" s="124">
        <f t="shared" si="0"/>
        <v>2496843.88</v>
      </c>
    </row>
    <row r="22" spans="1:4" x14ac:dyDescent="0.25">
      <c r="A22" s="62">
        <v>20</v>
      </c>
      <c r="B22" s="124">
        <f>HLOOKUP(A22,Demographics_Total!$B$2:$CX$4,3,TRUE)</f>
        <v>1235137.7199999997</v>
      </c>
      <c r="C22" s="124">
        <f>HLOOKUP(A22,Demographics_Total!$B$2:$CX$4,2,TRUE)</f>
        <v>1212548.6000000001</v>
      </c>
      <c r="D22" s="124">
        <f t="shared" si="0"/>
        <v>2447686.3199999998</v>
      </c>
    </row>
    <row r="23" spans="1:4" x14ac:dyDescent="0.25">
      <c r="A23" s="62">
        <v>21</v>
      </c>
      <c r="B23" s="124">
        <f>HLOOKUP(A23,Demographics_Total!$B$2:$CX$4,3,TRUE)</f>
        <v>1210637.1599999997</v>
      </c>
      <c r="C23" s="124">
        <f>HLOOKUP(A23,Demographics_Total!$B$2:$CX$4,2,TRUE)</f>
        <v>1187891.6000000001</v>
      </c>
      <c r="D23" s="124">
        <f t="shared" si="0"/>
        <v>2398528.7599999998</v>
      </c>
    </row>
    <row r="24" spans="1:4" x14ac:dyDescent="0.25">
      <c r="A24" s="62">
        <v>22</v>
      </c>
      <c r="B24" s="124">
        <f>HLOOKUP(A24,Demographics_Total!$B$2:$CX$4,3,TRUE)</f>
        <v>1186136.6000000001</v>
      </c>
      <c r="C24" s="124">
        <f>HLOOKUP(A24,Demographics_Total!$B$2:$CX$4,2,TRUE)</f>
        <v>1163234.6000000001</v>
      </c>
      <c r="D24" s="124">
        <f t="shared" si="0"/>
        <v>2349371.2000000002</v>
      </c>
    </row>
    <row r="25" spans="1:4" x14ac:dyDescent="0.25">
      <c r="A25" s="62">
        <v>23</v>
      </c>
      <c r="B25" s="124">
        <f>HLOOKUP(A25,Demographics_Total!$B$2:$CX$4,3,TRUE)</f>
        <v>1144498.8400000001</v>
      </c>
      <c r="C25" s="124">
        <f>HLOOKUP(A25,Demographics_Total!$B$2:$CX$4,2,TRUE)</f>
        <v>1122685.6800000002</v>
      </c>
      <c r="D25" s="124">
        <f t="shared" si="0"/>
        <v>2267184.5200000005</v>
      </c>
    </row>
    <row r="26" spans="1:4" x14ac:dyDescent="0.25">
      <c r="A26" s="62">
        <v>24</v>
      </c>
      <c r="B26" s="124">
        <f>HLOOKUP(A26,Demographics_Total!$B$2:$CX$4,3,TRUE)</f>
        <v>1102861.08</v>
      </c>
      <c r="C26" s="124">
        <f>HLOOKUP(A26,Demographics_Total!$B$2:$CX$4,2,TRUE)</f>
        <v>1082136.7600000002</v>
      </c>
      <c r="D26" s="124">
        <f t="shared" si="0"/>
        <v>2184997.8400000003</v>
      </c>
    </row>
    <row r="27" spans="1:4" x14ac:dyDescent="0.25">
      <c r="A27" s="62">
        <v>25</v>
      </c>
      <c r="B27" s="124">
        <f>HLOOKUP(A27,Demographics_Total!$B$2:$CX$4,3,TRUE)</f>
        <v>1061223.32</v>
      </c>
      <c r="C27" s="124">
        <f>HLOOKUP(A27,Demographics_Total!$B$2:$CX$4,2,TRUE)</f>
        <v>1041587.8400000002</v>
      </c>
      <c r="D27" s="124">
        <f t="shared" si="0"/>
        <v>2102811.16</v>
      </c>
    </row>
    <row r="28" spans="1:4" x14ac:dyDescent="0.25">
      <c r="A28" s="62">
        <v>26</v>
      </c>
      <c r="B28" s="124">
        <f>HLOOKUP(A28,Demographics_Total!$B$2:$CX$4,3,TRUE)</f>
        <v>1019585.56</v>
      </c>
      <c r="C28" s="124">
        <f>HLOOKUP(A28,Demographics_Total!$B$2:$CX$4,2,TRUE)</f>
        <v>1001038.9200000002</v>
      </c>
      <c r="D28" s="124">
        <f t="shared" si="0"/>
        <v>2020624.4800000002</v>
      </c>
    </row>
    <row r="29" spans="1:4" x14ac:dyDescent="0.25">
      <c r="A29" s="62">
        <v>27</v>
      </c>
      <c r="B29" s="124">
        <f>HLOOKUP(A29,Demographics_Total!$B$2:$CX$4,3,TRUE)</f>
        <v>977947.8</v>
      </c>
      <c r="C29" s="124">
        <f>HLOOKUP(A29,Demographics_Total!$B$2:$CX$4,2,TRUE)</f>
        <v>960490</v>
      </c>
      <c r="D29" s="124">
        <f t="shared" si="0"/>
        <v>1938437.8</v>
      </c>
    </row>
    <row r="30" spans="1:4" x14ac:dyDescent="0.25">
      <c r="A30" s="62">
        <v>28</v>
      </c>
      <c r="B30" s="124">
        <f>HLOOKUP(A30,Demographics_Total!$B$2:$CX$4,3,TRUE)</f>
        <v>932812.20000000007</v>
      </c>
      <c r="C30" s="124">
        <f>HLOOKUP(A30,Demographics_Total!$B$2:$CX$4,2,TRUE)</f>
        <v>918693.76</v>
      </c>
      <c r="D30" s="124">
        <f t="shared" si="0"/>
        <v>1851505.96</v>
      </c>
    </row>
    <row r="31" spans="1:4" x14ac:dyDescent="0.25">
      <c r="A31" s="62">
        <v>29</v>
      </c>
      <c r="B31" s="124">
        <f>HLOOKUP(A31,Demographics_Total!$B$2:$CX$4,3,TRUE)</f>
        <v>887676.60000000009</v>
      </c>
      <c r="C31" s="124">
        <f>HLOOKUP(A31,Demographics_Total!$B$2:$CX$4,2,TRUE)</f>
        <v>876897.52</v>
      </c>
      <c r="D31" s="124">
        <f t="shared" si="0"/>
        <v>1764574.12</v>
      </c>
    </row>
    <row r="32" spans="1:4" x14ac:dyDescent="0.25">
      <c r="A32" s="62">
        <v>30</v>
      </c>
      <c r="B32" s="124">
        <f>HLOOKUP(A32,Demographics_Total!$B$2:$CX$4,3,TRUE)</f>
        <v>842541.00000000012</v>
      </c>
      <c r="C32" s="124">
        <f>HLOOKUP(A32,Demographics_Total!$B$2:$CX$4,2,TRUE)</f>
        <v>835101.28</v>
      </c>
      <c r="D32" s="124">
        <f t="shared" si="0"/>
        <v>1677642.2800000003</v>
      </c>
    </row>
    <row r="33" spans="1:4" x14ac:dyDescent="0.25">
      <c r="A33" s="62">
        <v>31</v>
      </c>
      <c r="B33" s="124">
        <f>HLOOKUP(A33,Demographics_Total!$B$2:$CX$4,3,TRUE)</f>
        <v>797405.40000000014</v>
      </c>
      <c r="C33" s="124">
        <f>HLOOKUP(A33,Demographics_Total!$B$2:$CX$4,2,TRUE)</f>
        <v>793305.04</v>
      </c>
      <c r="D33" s="124">
        <f t="shared" si="0"/>
        <v>1590710.4400000002</v>
      </c>
    </row>
    <row r="34" spans="1:4" x14ac:dyDescent="0.25">
      <c r="A34" s="62">
        <v>32</v>
      </c>
      <c r="B34" s="124">
        <f>HLOOKUP(A34,Demographics_Total!$B$2:$CX$4,3,TRUE)</f>
        <v>752269.8</v>
      </c>
      <c r="C34" s="124">
        <f>HLOOKUP(A34,Demographics_Total!$B$2:$CX$4,2,TRUE)</f>
        <v>751508.8</v>
      </c>
      <c r="D34" s="124">
        <f t="shared" si="0"/>
        <v>1503778.6</v>
      </c>
    </row>
    <row r="35" spans="1:4" x14ac:dyDescent="0.25">
      <c r="A35" s="62">
        <v>33</v>
      </c>
      <c r="B35" s="124">
        <f>HLOOKUP(A35,Demographics_Total!$B$2:$CX$4,3,TRUE)</f>
        <v>725461.76</v>
      </c>
      <c r="C35" s="124">
        <f>HLOOKUP(A35,Demographics_Total!$B$2:$CX$4,2,TRUE)</f>
        <v>728520.52</v>
      </c>
      <c r="D35" s="124">
        <f t="shared" si="0"/>
        <v>1453982.28</v>
      </c>
    </row>
    <row r="36" spans="1:4" x14ac:dyDescent="0.25">
      <c r="A36" s="62">
        <v>34</v>
      </c>
      <c r="B36" s="124">
        <f>HLOOKUP(A36,Demographics_Total!$B$2:$CX$4,3,TRUE)</f>
        <v>698653.72</v>
      </c>
      <c r="C36" s="124">
        <f>HLOOKUP(A36,Demographics_Total!$B$2:$CX$4,2,TRUE)</f>
        <v>705532.24</v>
      </c>
      <c r="D36" s="124">
        <f t="shared" si="0"/>
        <v>1404185.96</v>
      </c>
    </row>
    <row r="37" spans="1:4" x14ac:dyDescent="0.25">
      <c r="A37" s="62">
        <v>35</v>
      </c>
      <c r="B37" s="124">
        <f>HLOOKUP(A37,Demographics_Total!$B$2:$CX$4,3,TRUE)</f>
        <v>671845.67999999993</v>
      </c>
      <c r="C37" s="124">
        <f>HLOOKUP(A37,Demographics_Total!$B$2:$CX$4,2,TRUE)</f>
        <v>682543.96</v>
      </c>
      <c r="D37" s="124">
        <f t="shared" si="0"/>
        <v>1354389.64</v>
      </c>
    </row>
    <row r="38" spans="1:4" x14ac:dyDescent="0.25">
      <c r="A38" s="62">
        <v>36</v>
      </c>
      <c r="B38" s="124">
        <f>HLOOKUP(A38,Demographics_Total!$B$2:$CX$4,3,TRUE)</f>
        <v>645037.6399999999</v>
      </c>
      <c r="C38" s="124">
        <f>HLOOKUP(A38,Demographics_Total!$B$2:$CX$4,2,TRUE)</f>
        <v>659555.67999999993</v>
      </c>
      <c r="D38" s="124">
        <f t="shared" si="0"/>
        <v>1304593.3199999998</v>
      </c>
    </row>
    <row r="39" spans="1:4" x14ac:dyDescent="0.25">
      <c r="A39" s="62">
        <v>37</v>
      </c>
      <c r="B39" s="124">
        <f>HLOOKUP(A39,Demographics_Total!$B$2:$CX$4,3,TRUE)</f>
        <v>618229.6</v>
      </c>
      <c r="C39" s="124">
        <f>HLOOKUP(A39,Demographics_Total!$B$2:$CX$4,2,TRUE)</f>
        <v>636567.4</v>
      </c>
      <c r="D39" s="124">
        <f t="shared" si="0"/>
        <v>1254797</v>
      </c>
    </row>
    <row r="40" spans="1:4" x14ac:dyDescent="0.25">
      <c r="A40" s="62">
        <v>38</v>
      </c>
      <c r="B40" s="124">
        <f>HLOOKUP(A40,Demographics_Total!$B$2:$CX$4,3,TRUE)</f>
        <v>592404.6</v>
      </c>
      <c r="C40" s="124">
        <f>HLOOKUP(A40,Demographics_Total!$B$2:$CX$4,2,TRUE)</f>
        <v>608790.80000000005</v>
      </c>
      <c r="D40" s="124">
        <f t="shared" si="0"/>
        <v>1201195.3999999999</v>
      </c>
    </row>
    <row r="41" spans="1:4" x14ac:dyDescent="0.25">
      <c r="A41" s="62">
        <v>39</v>
      </c>
      <c r="B41" s="124">
        <f>HLOOKUP(A41,Demographics_Total!$B$2:$CX$4,3,TRUE)</f>
        <v>566579.6</v>
      </c>
      <c r="C41" s="124">
        <f>HLOOKUP(A41,Demographics_Total!$B$2:$CX$4,2,TRUE)</f>
        <v>581014.20000000007</v>
      </c>
      <c r="D41" s="124">
        <f t="shared" si="0"/>
        <v>1147593.8</v>
      </c>
    </row>
    <row r="42" spans="1:4" x14ac:dyDescent="0.25">
      <c r="A42" s="62">
        <v>40</v>
      </c>
      <c r="B42" s="124">
        <f>HLOOKUP(A42,Demographics_Total!$B$2:$CX$4,3,TRUE)</f>
        <v>540754.6</v>
      </c>
      <c r="C42" s="124">
        <f>HLOOKUP(A42,Demographics_Total!$B$2:$CX$4,2,TRUE)</f>
        <v>553237.60000000009</v>
      </c>
      <c r="D42" s="124">
        <f t="shared" si="0"/>
        <v>1093992.2000000002</v>
      </c>
    </row>
    <row r="43" spans="1:4" x14ac:dyDescent="0.25">
      <c r="A43" s="62">
        <v>41</v>
      </c>
      <c r="B43" s="124">
        <f>HLOOKUP(A43,Demographics_Total!$B$2:$CX$4,3,TRUE)</f>
        <v>514929.6</v>
      </c>
      <c r="C43" s="124">
        <f>HLOOKUP(A43,Demographics_Total!$B$2:$CX$4,2,TRUE)</f>
        <v>525461.00000000012</v>
      </c>
      <c r="D43" s="124">
        <f t="shared" si="0"/>
        <v>1040390.6000000001</v>
      </c>
    </row>
    <row r="44" spans="1:4" x14ac:dyDescent="0.25">
      <c r="A44" s="62">
        <v>42</v>
      </c>
      <c r="B44" s="124">
        <f>HLOOKUP(A44,Demographics_Total!$B$2:$CX$4,3,TRUE)</f>
        <v>489104.6</v>
      </c>
      <c r="C44" s="124">
        <f>HLOOKUP(A44,Demographics_Total!$B$2:$CX$4,2,TRUE)</f>
        <v>497684.4</v>
      </c>
      <c r="D44" s="124">
        <f t="shared" si="0"/>
        <v>986789</v>
      </c>
    </row>
    <row r="45" spans="1:4" x14ac:dyDescent="0.25">
      <c r="A45" s="62">
        <v>43</v>
      </c>
      <c r="B45" s="124">
        <f>HLOOKUP(A45,Demographics_Total!$B$2:$CX$4,3,TRUE)</f>
        <v>474142.88</v>
      </c>
      <c r="C45" s="124">
        <f>HLOOKUP(A45,Demographics_Total!$B$2:$CX$4,2,TRUE)</f>
        <v>479476.64</v>
      </c>
      <c r="D45" s="124">
        <f t="shared" si="0"/>
        <v>953619.52</v>
      </c>
    </row>
    <row r="46" spans="1:4" x14ac:dyDescent="0.25">
      <c r="A46" s="62">
        <v>44</v>
      </c>
      <c r="B46" s="124">
        <f>HLOOKUP(A46,Demographics_Total!$B$2:$CX$4,3,TRUE)</f>
        <v>459181.16000000003</v>
      </c>
      <c r="C46" s="124">
        <f>HLOOKUP(A46,Demographics_Total!$B$2:$CX$4,2,TRUE)</f>
        <v>461268.88</v>
      </c>
      <c r="D46" s="124">
        <f t="shared" si="0"/>
        <v>920450.04</v>
      </c>
    </row>
    <row r="47" spans="1:4" x14ac:dyDescent="0.25">
      <c r="A47" s="62">
        <v>45</v>
      </c>
      <c r="B47" s="124">
        <f>HLOOKUP(A47,Demographics_Total!$B$2:$CX$4,3,TRUE)</f>
        <v>444219.44000000006</v>
      </c>
      <c r="C47" s="124">
        <f>HLOOKUP(A47,Demographics_Total!$B$2:$CX$4,2,TRUE)</f>
        <v>443061.12</v>
      </c>
      <c r="D47" s="124">
        <f t="shared" si="0"/>
        <v>887280.56</v>
      </c>
    </row>
    <row r="48" spans="1:4" x14ac:dyDescent="0.25">
      <c r="A48" s="62">
        <v>46</v>
      </c>
      <c r="B48" s="124">
        <f>HLOOKUP(A48,Demographics_Total!$B$2:$CX$4,3,TRUE)</f>
        <v>429257.72000000009</v>
      </c>
      <c r="C48" s="124">
        <f>HLOOKUP(A48,Demographics_Total!$B$2:$CX$4,2,TRUE)</f>
        <v>424853.36</v>
      </c>
      <c r="D48" s="124">
        <f t="shared" si="0"/>
        <v>854111.08000000007</v>
      </c>
    </row>
    <row r="49" spans="1:4" x14ac:dyDescent="0.25">
      <c r="A49" s="62">
        <v>47</v>
      </c>
      <c r="B49" s="124">
        <f>HLOOKUP(A49,Demographics_Total!$B$2:$CX$4,3,TRUE)</f>
        <v>414296</v>
      </c>
      <c r="C49" s="124">
        <f>HLOOKUP(A49,Demographics_Total!$B$2:$CX$4,2,TRUE)</f>
        <v>406645.6</v>
      </c>
      <c r="D49" s="124">
        <f t="shared" si="0"/>
        <v>820941.6</v>
      </c>
    </row>
    <row r="50" spans="1:4" x14ac:dyDescent="0.25">
      <c r="A50" s="62">
        <v>48</v>
      </c>
      <c r="B50" s="124">
        <f>HLOOKUP(A50,Demographics_Total!$B$2:$CX$4,3,TRUE)</f>
        <v>394148.36</v>
      </c>
      <c r="C50" s="124">
        <f>HLOOKUP(A50,Demographics_Total!$B$2:$CX$4,2,TRUE)</f>
        <v>391754.76</v>
      </c>
      <c r="D50" s="124">
        <f t="shared" si="0"/>
        <v>785903.12</v>
      </c>
    </row>
    <row r="51" spans="1:4" x14ac:dyDescent="0.25">
      <c r="A51" s="62">
        <v>49</v>
      </c>
      <c r="B51" s="124">
        <f>HLOOKUP(A51,Demographics_Total!$B$2:$CX$4,3,TRUE)</f>
        <v>374000.72</v>
      </c>
      <c r="C51" s="124">
        <f>HLOOKUP(A51,Demographics_Total!$B$2:$CX$4,2,TRUE)</f>
        <v>376863.92000000004</v>
      </c>
      <c r="D51" s="124">
        <f t="shared" si="0"/>
        <v>750864.64</v>
      </c>
    </row>
    <row r="52" spans="1:4" x14ac:dyDescent="0.25">
      <c r="A52" s="62">
        <v>50</v>
      </c>
      <c r="B52" s="124">
        <f>HLOOKUP(A52,Demographics_Total!$B$2:$CX$4,3,TRUE)</f>
        <v>353853.07999999996</v>
      </c>
      <c r="C52" s="124">
        <f>HLOOKUP(A52,Demographics_Total!$B$2:$CX$4,2,TRUE)</f>
        <v>361973.08000000007</v>
      </c>
      <c r="D52" s="124">
        <f t="shared" si="0"/>
        <v>715826.16</v>
      </c>
    </row>
    <row r="53" spans="1:4" x14ac:dyDescent="0.25">
      <c r="A53" s="62">
        <v>51</v>
      </c>
      <c r="B53" s="124">
        <f>HLOOKUP(A53,Demographics_Total!$B$2:$CX$4,3,TRUE)</f>
        <v>333705.43999999994</v>
      </c>
      <c r="C53" s="124">
        <f>HLOOKUP(A53,Demographics_Total!$B$2:$CX$4,2,TRUE)</f>
        <v>347082.24000000011</v>
      </c>
      <c r="D53" s="124">
        <f t="shared" si="0"/>
        <v>680787.68</v>
      </c>
    </row>
    <row r="54" spans="1:4" x14ac:dyDescent="0.25">
      <c r="A54" s="62">
        <v>52</v>
      </c>
      <c r="B54" s="124">
        <f>HLOOKUP(A54,Demographics_Total!$B$2:$CX$4,3,TRUE)</f>
        <v>313557.8</v>
      </c>
      <c r="C54" s="124">
        <f>HLOOKUP(A54,Demographics_Total!$B$2:$CX$4,2,TRUE)</f>
        <v>332191.40000000002</v>
      </c>
      <c r="D54" s="124">
        <f t="shared" si="0"/>
        <v>645749.19999999995</v>
      </c>
    </row>
    <row r="55" spans="1:4" x14ac:dyDescent="0.25">
      <c r="A55" s="62">
        <v>53</v>
      </c>
      <c r="B55" s="124">
        <f>HLOOKUP(A55,Demographics_Total!$B$2:$CX$4,3,TRUE)</f>
        <v>297206.32</v>
      </c>
      <c r="C55" s="124">
        <f>HLOOKUP(A55,Demographics_Total!$B$2:$CX$4,2,TRUE)</f>
        <v>318405.84000000003</v>
      </c>
      <c r="D55" s="124">
        <f t="shared" si="0"/>
        <v>615612.16000000003</v>
      </c>
    </row>
    <row r="56" spans="1:4" x14ac:dyDescent="0.25">
      <c r="A56" s="62">
        <v>54</v>
      </c>
      <c r="B56" s="124">
        <f>HLOOKUP(A56,Demographics_Total!$B$2:$CX$4,3,TRUE)</f>
        <v>280854.84000000003</v>
      </c>
      <c r="C56" s="124">
        <f>HLOOKUP(A56,Demographics_Total!$B$2:$CX$4,2,TRUE)</f>
        <v>304620.28000000003</v>
      </c>
      <c r="D56" s="124">
        <f t="shared" si="0"/>
        <v>585475.12000000011</v>
      </c>
    </row>
    <row r="57" spans="1:4" x14ac:dyDescent="0.25">
      <c r="A57" s="62">
        <v>55</v>
      </c>
      <c r="B57" s="124">
        <f>HLOOKUP(A57,Demographics_Total!$B$2:$CX$4,3,TRUE)</f>
        <v>264503.36000000004</v>
      </c>
      <c r="C57" s="124">
        <f>HLOOKUP(A57,Demographics_Total!$B$2:$CX$4,2,TRUE)</f>
        <v>290834.72000000003</v>
      </c>
      <c r="D57" s="124">
        <f t="shared" si="0"/>
        <v>555338.08000000007</v>
      </c>
    </row>
    <row r="58" spans="1:4" x14ac:dyDescent="0.25">
      <c r="A58" s="62">
        <v>56</v>
      </c>
      <c r="B58" s="124">
        <f>HLOOKUP(A58,Demographics_Total!$B$2:$CX$4,3,TRUE)</f>
        <v>248151.88000000003</v>
      </c>
      <c r="C58" s="124">
        <f>HLOOKUP(A58,Demographics_Total!$B$2:$CX$4,2,TRUE)</f>
        <v>277049.16000000003</v>
      </c>
      <c r="D58" s="124">
        <f t="shared" si="0"/>
        <v>525201.04</v>
      </c>
    </row>
    <row r="59" spans="1:4" x14ac:dyDescent="0.25">
      <c r="A59" s="62">
        <v>57</v>
      </c>
      <c r="B59" s="124">
        <f>HLOOKUP(A59,Demographics_Total!$B$2:$CX$4,3,TRUE)</f>
        <v>231800.4</v>
      </c>
      <c r="C59" s="124">
        <f>HLOOKUP(A59,Demographics_Total!$B$2:$CX$4,2,TRUE)</f>
        <v>263263.59999999998</v>
      </c>
      <c r="D59" s="124">
        <f t="shared" si="0"/>
        <v>495064</v>
      </c>
    </row>
    <row r="60" spans="1:4" x14ac:dyDescent="0.25">
      <c r="A60" s="62">
        <v>58</v>
      </c>
      <c r="B60" s="124">
        <f>HLOOKUP(A60,Demographics_Total!$B$2:$CX$4,3,TRUE)</f>
        <v>223304.08</v>
      </c>
      <c r="C60" s="124">
        <f>HLOOKUP(A60,Demographics_Total!$B$2:$CX$4,2,TRUE)</f>
        <v>254997.68</v>
      </c>
      <c r="D60" s="124">
        <f t="shared" si="0"/>
        <v>478301.76</v>
      </c>
    </row>
    <row r="61" spans="1:4" x14ac:dyDescent="0.25">
      <c r="A61" s="62">
        <v>59</v>
      </c>
      <c r="B61" s="124">
        <f>HLOOKUP(A61,Demographics_Total!$B$2:$CX$4,3,TRUE)</f>
        <v>214807.75999999998</v>
      </c>
      <c r="C61" s="124">
        <f>HLOOKUP(A61,Demographics_Total!$B$2:$CX$4,2,TRUE)</f>
        <v>246731.76</v>
      </c>
      <c r="D61" s="124">
        <f t="shared" si="0"/>
        <v>461539.52</v>
      </c>
    </row>
    <row r="62" spans="1:4" x14ac:dyDescent="0.25">
      <c r="A62" s="62">
        <v>60</v>
      </c>
      <c r="B62" s="124">
        <f>HLOOKUP(A62,Demographics_Total!$B$2:$CX$4,3,TRUE)</f>
        <v>206311.43999999997</v>
      </c>
      <c r="C62" s="124">
        <f>HLOOKUP(A62,Demographics_Total!$B$2:$CX$4,2,TRUE)</f>
        <v>238465.84000000003</v>
      </c>
      <c r="D62" s="124">
        <f t="shared" si="0"/>
        <v>444777.28</v>
      </c>
    </row>
    <row r="63" spans="1:4" x14ac:dyDescent="0.25">
      <c r="A63" s="62">
        <v>61</v>
      </c>
      <c r="B63" s="124">
        <f>HLOOKUP(A63,Demographics_Total!$B$2:$CX$4,3,TRUE)</f>
        <v>197815.11999999997</v>
      </c>
      <c r="C63" s="124">
        <f>HLOOKUP(A63,Demographics_Total!$B$2:$CX$4,2,TRUE)</f>
        <v>230199.92000000004</v>
      </c>
      <c r="D63" s="124">
        <f t="shared" si="0"/>
        <v>428015.04000000004</v>
      </c>
    </row>
    <row r="64" spans="1:4" x14ac:dyDescent="0.25">
      <c r="A64" s="62">
        <v>62</v>
      </c>
      <c r="B64" s="124">
        <f>HLOOKUP(A64,Demographics_Total!$B$2:$CX$4,3,TRUE)</f>
        <v>189318.8</v>
      </c>
      <c r="C64" s="124">
        <f>HLOOKUP(A64,Demographics_Total!$B$2:$CX$4,2,TRUE)</f>
        <v>221934</v>
      </c>
      <c r="D64" s="124">
        <f t="shared" si="0"/>
        <v>411252.8</v>
      </c>
    </row>
    <row r="65" spans="1:4" x14ac:dyDescent="0.25">
      <c r="A65" s="62">
        <v>63</v>
      </c>
      <c r="B65" s="124">
        <f>HLOOKUP(A65,Demographics_Total!$B$2:$CX$4,3,TRUE)</f>
        <v>180884.91999999998</v>
      </c>
      <c r="C65" s="124">
        <f>HLOOKUP(A65,Demographics_Total!$B$2:$CX$4,2,TRUE)</f>
        <v>210848.92</v>
      </c>
      <c r="D65" s="124">
        <f t="shared" si="0"/>
        <v>391733.83999999997</v>
      </c>
    </row>
    <row r="66" spans="1:4" x14ac:dyDescent="0.25">
      <c r="A66" s="62">
        <v>64</v>
      </c>
      <c r="B66" s="124">
        <f>HLOOKUP(A66,Demographics_Total!$B$2:$CX$4,3,TRUE)</f>
        <v>172451.03999999998</v>
      </c>
      <c r="C66" s="124">
        <f>HLOOKUP(A66,Demographics_Total!$B$2:$CX$4,2,TRUE)</f>
        <v>199763.84000000003</v>
      </c>
      <c r="D66" s="124">
        <f t="shared" si="0"/>
        <v>372214.88</v>
      </c>
    </row>
    <row r="67" spans="1:4" x14ac:dyDescent="0.25">
      <c r="A67" s="62">
        <v>65</v>
      </c>
      <c r="B67" s="124">
        <f>HLOOKUP(A67,Demographics_Total!$B$2:$CX$4,3,TRUE)</f>
        <v>164017.15999999997</v>
      </c>
      <c r="C67" s="124">
        <f>HLOOKUP(A67,Demographics_Total!$B$2:$CX$4,2,TRUE)</f>
        <v>188678.76000000004</v>
      </c>
      <c r="D67" s="124">
        <f t="shared" ref="D67:D102" si="1">C67+B67</f>
        <v>352695.92000000004</v>
      </c>
    </row>
    <row r="68" spans="1:4" x14ac:dyDescent="0.25">
      <c r="A68" s="62">
        <v>66</v>
      </c>
      <c r="B68" s="124">
        <f>HLOOKUP(A68,Demographics_Total!$B$2:$CX$4,3,TRUE)</f>
        <v>155583.27999999997</v>
      </c>
      <c r="C68" s="124">
        <f>HLOOKUP(A68,Demographics_Total!$B$2:$CX$4,2,TRUE)</f>
        <v>177593.68000000005</v>
      </c>
      <c r="D68" s="124">
        <f t="shared" si="1"/>
        <v>333176.96000000002</v>
      </c>
    </row>
    <row r="69" spans="1:4" x14ac:dyDescent="0.25">
      <c r="A69" s="62">
        <v>67</v>
      </c>
      <c r="B69" s="124">
        <f>HLOOKUP(A69,Demographics_Total!$B$2:$CX$4,3,TRUE)</f>
        <v>147149.4</v>
      </c>
      <c r="C69" s="124">
        <f>HLOOKUP(A69,Demographics_Total!$B$2:$CX$4,2,TRUE)</f>
        <v>166508.6</v>
      </c>
      <c r="D69" s="124">
        <f t="shared" si="1"/>
        <v>313658</v>
      </c>
    </row>
    <row r="70" spans="1:4" x14ac:dyDescent="0.25">
      <c r="A70" s="62">
        <v>68</v>
      </c>
      <c r="B70" s="124">
        <f>HLOOKUP(A70,Demographics_Total!$B$2:$CX$4,3,TRUE)</f>
        <v>139314.47999999998</v>
      </c>
      <c r="C70" s="124">
        <f>HLOOKUP(A70,Demographics_Total!$B$2:$CX$4,2,TRUE)</f>
        <v>159149.32</v>
      </c>
      <c r="D70" s="124">
        <f t="shared" si="1"/>
        <v>298463.8</v>
      </c>
    </row>
    <row r="71" spans="1:4" x14ac:dyDescent="0.25">
      <c r="A71" s="62">
        <v>69</v>
      </c>
      <c r="B71" s="124">
        <f>HLOOKUP(A71,Demographics_Total!$B$2:$CX$4,3,TRUE)</f>
        <v>131479.56</v>
      </c>
      <c r="C71" s="124">
        <f>HLOOKUP(A71,Demographics_Total!$B$2:$CX$4,2,TRUE)</f>
        <v>151790.04</v>
      </c>
      <c r="D71" s="124">
        <f t="shared" si="1"/>
        <v>283269.59999999998</v>
      </c>
    </row>
    <row r="72" spans="1:4" x14ac:dyDescent="0.25">
      <c r="A72" s="62">
        <v>70</v>
      </c>
      <c r="B72" s="124">
        <f>HLOOKUP(A72,Demographics_Total!$B$2:$CX$4,3,TRUE)</f>
        <v>123644.64</v>
      </c>
      <c r="C72" s="124">
        <f>HLOOKUP(A72,Demographics_Total!$B$2:$CX$4,2,TRUE)</f>
        <v>144430.76</v>
      </c>
      <c r="D72" s="124">
        <f t="shared" si="1"/>
        <v>268075.40000000002</v>
      </c>
    </row>
    <row r="73" spans="1:4" x14ac:dyDescent="0.25">
      <c r="A73" s="62">
        <v>71</v>
      </c>
      <c r="B73" s="124">
        <f>HLOOKUP(A73,Demographics_Total!$B$2:$CX$4,3,TRUE)</f>
        <v>115809.72</v>
      </c>
      <c r="C73" s="124">
        <f>HLOOKUP(A73,Demographics_Total!$B$2:$CX$4,2,TRUE)</f>
        <v>137071.48000000001</v>
      </c>
      <c r="D73" s="124">
        <f t="shared" si="1"/>
        <v>252881.2</v>
      </c>
    </row>
    <row r="74" spans="1:4" x14ac:dyDescent="0.25">
      <c r="A74" s="62">
        <v>72</v>
      </c>
      <c r="B74" s="124">
        <f>HLOOKUP(A74,Demographics_Total!$B$2:$CX$4,3,TRUE)</f>
        <v>107974.8</v>
      </c>
      <c r="C74" s="124">
        <f>HLOOKUP(A74,Demographics_Total!$B$2:$CX$4,2,TRUE)</f>
        <v>129712.2</v>
      </c>
      <c r="D74" s="124">
        <f t="shared" si="1"/>
        <v>237687</v>
      </c>
    </row>
    <row r="75" spans="1:4" x14ac:dyDescent="0.25">
      <c r="A75" s="62">
        <v>73</v>
      </c>
      <c r="B75" s="124">
        <f>HLOOKUP(A75,Demographics_Total!$B$2:$CX$4,3,TRUE)</f>
        <v>99988.12</v>
      </c>
      <c r="C75" s="124">
        <f>HLOOKUP(A75,Demographics_Total!$B$2:$CX$4,2,TRUE)</f>
        <v>119798.8</v>
      </c>
      <c r="D75" s="124">
        <f t="shared" si="1"/>
        <v>219786.91999999998</v>
      </c>
    </row>
    <row r="76" spans="1:4" x14ac:dyDescent="0.25">
      <c r="A76" s="62">
        <v>74</v>
      </c>
      <c r="B76" s="124">
        <f>HLOOKUP(A76,Demographics_Total!$B$2:$CX$4,3,TRUE)</f>
        <v>92001.439999999988</v>
      </c>
      <c r="C76" s="124">
        <f>HLOOKUP(A76,Demographics_Total!$B$2:$CX$4,2,TRUE)</f>
        <v>109885.40000000001</v>
      </c>
      <c r="D76" s="124">
        <f t="shared" si="1"/>
        <v>201886.84</v>
      </c>
    </row>
    <row r="77" spans="1:4" x14ac:dyDescent="0.25">
      <c r="A77" s="62">
        <v>75</v>
      </c>
      <c r="B77" s="124">
        <f>HLOOKUP(A77,Demographics_Total!$B$2:$CX$4,3,TRUE)</f>
        <v>84014.75999999998</v>
      </c>
      <c r="C77" s="124">
        <f>HLOOKUP(A77,Demographics_Total!$B$2:$CX$4,2,TRUE)</f>
        <v>99972.000000000015</v>
      </c>
      <c r="D77" s="124">
        <f t="shared" si="1"/>
        <v>183986.76</v>
      </c>
    </row>
    <row r="78" spans="1:4" x14ac:dyDescent="0.25">
      <c r="A78" s="62">
        <v>76</v>
      </c>
      <c r="B78" s="124">
        <f>HLOOKUP(A78,Demographics_Total!$B$2:$CX$4,3,TRUE)</f>
        <v>76028.079999999973</v>
      </c>
      <c r="C78" s="124">
        <f>HLOOKUP(A78,Demographics_Total!$B$2:$CX$4,2,TRUE)</f>
        <v>90058.60000000002</v>
      </c>
      <c r="D78" s="124">
        <f t="shared" si="1"/>
        <v>166086.68</v>
      </c>
    </row>
    <row r="79" spans="1:4" x14ac:dyDescent="0.25">
      <c r="A79" s="62">
        <v>77</v>
      </c>
      <c r="B79" s="124">
        <f>HLOOKUP(A79,Demographics_Total!$B$2:$CX$4,3,TRUE)</f>
        <v>68041.399999999994</v>
      </c>
      <c r="C79" s="124">
        <f>HLOOKUP(A79,Demographics_Total!$B$2:$CX$4,2,TRUE)</f>
        <v>80145.2</v>
      </c>
      <c r="D79" s="124">
        <f t="shared" si="1"/>
        <v>148186.59999999998</v>
      </c>
    </row>
    <row r="80" spans="1:4" x14ac:dyDescent="0.25">
      <c r="A80" s="62">
        <v>78</v>
      </c>
      <c r="B80" s="124">
        <f>HLOOKUP(A80,Demographics_Total!$B$2:$CX$4,3,TRUE)</f>
        <v>60781.165599999993</v>
      </c>
      <c r="C80" s="124">
        <f>HLOOKUP(A80,Demographics_Total!$B$2:$CX$4,2,TRUE)</f>
        <v>71829.171999999991</v>
      </c>
      <c r="D80" s="124">
        <f t="shared" si="1"/>
        <v>132610.33759999997</v>
      </c>
    </row>
    <row r="81" spans="1:4" x14ac:dyDescent="0.25">
      <c r="A81" s="62">
        <v>79</v>
      </c>
      <c r="B81" s="124">
        <f>HLOOKUP(A81,Demographics_Total!$B$2:$CX$4,3,TRUE)</f>
        <v>53520.931199999992</v>
      </c>
      <c r="C81" s="124">
        <f>HLOOKUP(A81,Demographics_Total!$B$2:$CX$4,2,TRUE)</f>
        <v>63513.143999999993</v>
      </c>
      <c r="D81" s="124">
        <f t="shared" si="1"/>
        <v>117034.07519999999</v>
      </c>
    </row>
    <row r="82" spans="1:4" x14ac:dyDescent="0.25">
      <c r="A82" s="62">
        <v>80</v>
      </c>
      <c r="B82" s="124">
        <f>HLOOKUP(A82,Demographics_Total!$B$2:$CX$4,3,TRUE)</f>
        <v>46260.696799999991</v>
      </c>
      <c r="C82" s="124">
        <f>HLOOKUP(A82,Demographics_Total!$B$2:$CX$4,2,TRUE)</f>
        <v>55197.115999999995</v>
      </c>
      <c r="D82" s="124">
        <f t="shared" si="1"/>
        <v>101457.81279999999</v>
      </c>
    </row>
    <row r="83" spans="1:4" x14ac:dyDescent="0.25">
      <c r="A83" s="62">
        <v>81</v>
      </c>
      <c r="B83" s="124">
        <f>HLOOKUP(A83,Demographics_Total!$B$2:$CX$4,3,TRUE)</f>
        <v>39000.462399999989</v>
      </c>
      <c r="C83" s="124">
        <f>HLOOKUP(A83,Demographics_Total!$B$2:$CX$4,2,TRUE)</f>
        <v>46881.087999999996</v>
      </c>
      <c r="D83" s="124">
        <f t="shared" si="1"/>
        <v>85881.550399999978</v>
      </c>
    </row>
    <row r="84" spans="1:4" x14ac:dyDescent="0.25">
      <c r="A84" s="62">
        <v>82</v>
      </c>
      <c r="B84" s="124">
        <f>HLOOKUP(A84,Demographics_Total!$B$2:$CX$4,3,TRUE)</f>
        <v>31740.227999999996</v>
      </c>
      <c r="C84" s="124">
        <f>HLOOKUP(A84,Demographics_Total!$B$2:$CX$4,2,TRUE)</f>
        <v>38565.06</v>
      </c>
      <c r="D84" s="124">
        <f t="shared" si="1"/>
        <v>70305.288</v>
      </c>
    </row>
    <row r="85" spans="1:4" x14ac:dyDescent="0.25">
      <c r="A85" s="62">
        <v>83</v>
      </c>
      <c r="B85" s="124">
        <f>HLOOKUP(A85,Demographics_Total!$B$2:$CX$4,3,TRUE)</f>
        <v>27871.876799999998</v>
      </c>
      <c r="C85" s="124">
        <f>HLOOKUP(A85,Demographics_Total!$B$2:$CX$4,2,TRUE)</f>
        <v>33970.112000000001</v>
      </c>
      <c r="D85" s="124">
        <f t="shared" si="1"/>
        <v>61841.988799999999</v>
      </c>
    </row>
    <row r="86" spans="1:4" x14ac:dyDescent="0.25">
      <c r="A86" s="62">
        <v>84</v>
      </c>
      <c r="B86" s="124">
        <f>HLOOKUP(A86,Demographics_Total!$B$2:$CX$4,3,TRUE)</f>
        <v>24003.525600000001</v>
      </c>
      <c r="C86" s="124">
        <f>HLOOKUP(A86,Demographics_Total!$B$2:$CX$4,2,TRUE)</f>
        <v>29375.164000000001</v>
      </c>
      <c r="D86" s="124">
        <f t="shared" si="1"/>
        <v>53378.689599999998</v>
      </c>
    </row>
    <row r="87" spans="1:4" x14ac:dyDescent="0.25">
      <c r="A87" s="62">
        <v>85</v>
      </c>
      <c r="B87" s="124">
        <f>HLOOKUP(A87,Demographics_Total!$B$2:$CX$4,3,TRUE)</f>
        <v>20135.174400000004</v>
      </c>
      <c r="C87" s="124">
        <f>HLOOKUP(A87,Demographics_Total!$B$2:$CX$4,2,TRUE)</f>
        <v>24780.216</v>
      </c>
      <c r="D87" s="124">
        <f t="shared" si="1"/>
        <v>44915.390400000004</v>
      </c>
    </row>
    <row r="88" spans="1:4" x14ac:dyDescent="0.25">
      <c r="A88" s="62">
        <v>86</v>
      </c>
      <c r="B88" s="124">
        <f>HLOOKUP(A88,Demographics_Total!$B$2:$CX$4,3,TRUE)</f>
        <v>16266.823200000004</v>
      </c>
      <c r="C88" s="124">
        <f>HLOOKUP(A88,Demographics_Total!$B$2:$CX$4,2,TRUE)</f>
        <v>20185.268</v>
      </c>
      <c r="D88" s="124">
        <f t="shared" si="1"/>
        <v>36452.091200000003</v>
      </c>
    </row>
    <row r="89" spans="1:4" x14ac:dyDescent="0.25">
      <c r="A89" s="62">
        <v>87</v>
      </c>
      <c r="B89" s="124">
        <f>HLOOKUP(A89,Demographics_Total!$B$2:$CX$4,3,TRUE)</f>
        <v>12398.472000000002</v>
      </c>
      <c r="C89" s="124">
        <f>HLOOKUP(A89,Demographics_Total!$B$2:$CX$4,2,TRUE)</f>
        <v>15590.320000000002</v>
      </c>
      <c r="D89" s="124">
        <f t="shared" si="1"/>
        <v>27988.792000000001</v>
      </c>
    </row>
    <row r="90" spans="1:4" x14ac:dyDescent="0.25">
      <c r="A90" s="62">
        <v>88</v>
      </c>
      <c r="B90" s="124">
        <f>HLOOKUP(A90,Demographics_Total!$B$2:$CX$4,3,TRUE)</f>
        <v>10380.9876</v>
      </c>
      <c r="C90" s="124">
        <f>HLOOKUP(A90,Demographics_Total!$B$2:$CX$4,2,TRUE)</f>
        <v>13146.116000000002</v>
      </c>
      <c r="D90" s="124">
        <f t="shared" si="1"/>
        <v>23527.103600000002</v>
      </c>
    </row>
    <row r="91" spans="1:4" x14ac:dyDescent="0.25">
      <c r="A91" s="62">
        <v>89</v>
      </c>
      <c r="B91" s="124">
        <f>HLOOKUP(A91,Demographics_Total!$B$2:$CX$4,3,TRUE)</f>
        <v>8363.5031999999992</v>
      </c>
      <c r="C91" s="124">
        <f>HLOOKUP(A91,Demographics_Total!$B$2:$CX$4,2,TRUE)</f>
        <v>10701.912</v>
      </c>
      <c r="D91" s="124">
        <f t="shared" si="1"/>
        <v>19065.415199999999</v>
      </c>
    </row>
    <row r="92" spans="1:4" x14ac:dyDescent="0.25">
      <c r="A92" s="62">
        <v>90</v>
      </c>
      <c r="B92" s="124">
        <f>HLOOKUP(A92,Demographics_Total!$B$2:$CX$4,3,TRUE)</f>
        <v>6346.0187999999989</v>
      </c>
      <c r="C92" s="124">
        <f>HLOOKUP(A92,Demographics_Total!$B$2:$CX$4,2,TRUE)</f>
        <v>8257.7079999999987</v>
      </c>
      <c r="D92" s="124">
        <f t="shared" si="1"/>
        <v>14603.726799999997</v>
      </c>
    </row>
    <row r="93" spans="1:4" x14ac:dyDescent="0.25">
      <c r="A93" s="62">
        <v>91</v>
      </c>
      <c r="B93" s="124">
        <f>HLOOKUP(A93,Demographics_Total!$B$2:$CX$4,3,TRUE)</f>
        <v>4328.5343999999986</v>
      </c>
      <c r="C93" s="124">
        <f>HLOOKUP(A93,Demographics_Total!$B$2:$CX$4,2,TRUE)</f>
        <v>5813.5039999999981</v>
      </c>
      <c r="D93" s="124">
        <f t="shared" si="1"/>
        <v>10142.038399999998</v>
      </c>
    </row>
    <row r="94" spans="1:4" x14ac:dyDescent="0.25">
      <c r="A94" s="62">
        <v>92</v>
      </c>
      <c r="B94" s="124">
        <f>HLOOKUP(A94,Demographics_Total!$B$2:$CX$4,3,TRUE)</f>
        <v>2311.0499999999997</v>
      </c>
      <c r="C94" s="124">
        <f>HLOOKUP(A94,Demographics_Total!$B$2:$CX$4,2,TRUE)</f>
        <v>3369.2999999999997</v>
      </c>
      <c r="D94" s="124">
        <f t="shared" si="1"/>
        <v>5680.3499999999995</v>
      </c>
    </row>
    <row r="95" spans="1:4" x14ac:dyDescent="0.25">
      <c r="A95" s="62">
        <v>93</v>
      </c>
      <c r="B95" s="124">
        <f>HLOOKUP(A95,Demographics_Total!$B$2:$CX$4,3,TRUE)</f>
        <v>1879.9759999999997</v>
      </c>
      <c r="C95" s="124">
        <f>HLOOKUP(A95,Demographics_Total!$B$2:$CX$4,2,TRUE)</f>
        <v>2775.0623999999998</v>
      </c>
      <c r="D95" s="124">
        <f t="shared" si="1"/>
        <v>4655.0383999999995</v>
      </c>
    </row>
    <row r="96" spans="1:4" x14ac:dyDescent="0.25">
      <c r="A96" s="62">
        <v>94</v>
      </c>
      <c r="B96" s="124">
        <f>HLOOKUP(A96,Demographics_Total!$B$2:$CX$4,3,TRUE)</f>
        <v>1448.9019999999996</v>
      </c>
      <c r="C96" s="124">
        <f>HLOOKUP(A96,Demographics_Total!$B$2:$CX$4,2,TRUE)</f>
        <v>2180.8247999999999</v>
      </c>
      <c r="D96" s="124">
        <f t="shared" si="1"/>
        <v>3629.7267999999995</v>
      </c>
    </row>
    <row r="97" spans="1:4" x14ac:dyDescent="0.25">
      <c r="A97" s="62">
        <v>95</v>
      </c>
      <c r="B97" s="124">
        <f>HLOOKUP(A97,Demographics_Total!$B$2:$CX$4,3,TRUE)</f>
        <v>1017.8279999999996</v>
      </c>
      <c r="C97" s="124">
        <f>HLOOKUP(A97,Demographics_Total!$B$2:$CX$4,2,TRUE)</f>
        <v>1586.5871999999999</v>
      </c>
      <c r="D97" s="124">
        <f t="shared" si="1"/>
        <v>2604.4151999999995</v>
      </c>
    </row>
    <row r="98" spans="1:4" x14ac:dyDescent="0.25">
      <c r="A98" s="62">
        <v>96</v>
      </c>
      <c r="B98" s="124">
        <f>HLOOKUP(A98,Demographics_Total!$B$2:$CX$4,3,TRUE)</f>
        <v>586.75399999999968</v>
      </c>
      <c r="C98" s="124">
        <f>HLOOKUP(A98,Demographics_Total!$B$2:$CX$4,2,TRUE)</f>
        <v>992.34960000000001</v>
      </c>
      <c r="D98" s="124">
        <f t="shared" si="1"/>
        <v>1579.1035999999997</v>
      </c>
    </row>
    <row r="99" spans="1:4" x14ac:dyDescent="0.25">
      <c r="A99" s="62">
        <v>97</v>
      </c>
      <c r="B99" s="124">
        <f>HLOOKUP(A99,Demographics_Total!$B$2:$CX$4,3,TRUE)</f>
        <v>155.68</v>
      </c>
      <c r="C99" s="124">
        <f>HLOOKUP(A99,Demographics_Total!$B$2:$CX$4,2,TRUE)</f>
        <v>398.11199999999997</v>
      </c>
      <c r="D99" s="124">
        <f t="shared" si="1"/>
        <v>553.79199999999992</v>
      </c>
    </row>
    <row r="100" spans="1:4" x14ac:dyDescent="0.25">
      <c r="A100" s="62">
        <v>98</v>
      </c>
      <c r="B100" s="124">
        <f>HLOOKUP(A100,Demographics_Total!$B$2:$CX$4,3,TRUE)</f>
        <v>164.12</v>
      </c>
      <c r="C100" s="124">
        <f>HLOOKUP(A100,Demographics_Total!$B$2:$CX$4,2,TRUE)</f>
        <v>353.07466666666664</v>
      </c>
      <c r="D100" s="124">
        <f t="shared" si="1"/>
        <v>517.19466666666665</v>
      </c>
    </row>
    <row r="101" spans="1:4" x14ac:dyDescent="0.25">
      <c r="A101" s="62">
        <v>99</v>
      </c>
      <c r="B101" s="124">
        <f>HLOOKUP(A101,Demographics_Total!$B$2:$CX$4,3,TRUE)</f>
        <v>172.56</v>
      </c>
      <c r="C101" s="124">
        <f>HLOOKUP(A101,Demographics_Total!$B$2:$CX$4,2,TRUE)</f>
        <v>308.03733333333332</v>
      </c>
      <c r="D101" s="124">
        <f t="shared" si="1"/>
        <v>480.59733333333332</v>
      </c>
    </row>
    <row r="102" spans="1:4" x14ac:dyDescent="0.2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H19" sqref="H19"/>
    </sheetView>
  </sheetViews>
  <sheetFormatPr defaultRowHeight="15" x14ac:dyDescent="0.25"/>
  <cols>
    <col min="1" max="1" width="27.5703125" customWidth="1"/>
  </cols>
  <sheetData>
    <row r="1" spans="1:3" x14ac:dyDescent="0.25">
      <c r="A1" t="s">
        <v>1965</v>
      </c>
      <c r="B1" t="s">
        <v>1061</v>
      </c>
      <c r="C1" t="s">
        <v>1966</v>
      </c>
    </row>
    <row r="2" spans="1:3" x14ac:dyDescent="0.25">
      <c r="A2" t="s">
        <v>1967</v>
      </c>
      <c r="B2" s="293">
        <v>0.12</v>
      </c>
    </row>
    <row r="3" spans="1:3" x14ac:dyDescent="0.25">
      <c r="A3" t="s">
        <v>1968</v>
      </c>
      <c r="B3" s="293">
        <v>0.12</v>
      </c>
    </row>
    <row r="4" spans="1:3" x14ac:dyDescent="0.25">
      <c r="A4" t="s">
        <v>1969</v>
      </c>
      <c r="B4" s="59">
        <v>0.1</v>
      </c>
    </row>
    <row r="5" spans="1:3" x14ac:dyDescent="0.25">
      <c r="A5" t="s">
        <v>1970</v>
      </c>
      <c r="B5" s="293">
        <v>0.13500000000000001</v>
      </c>
      <c r="C5" s="293">
        <v>1.35</v>
      </c>
    </row>
    <row r="6" spans="1:3" x14ac:dyDescent="0.25">
      <c r="A6" t="s">
        <v>1971</v>
      </c>
      <c r="B6" s="293">
        <v>0.22</v>
      </c>
      <c r="C6" s="293">
        <v>1.6</v>
      </c>
    </row>
    <row r="7" spans="1:3" x14ac:dyDescent="0.25">
      <c r="A7" t="s">
        <v>1972</v>
      </c>
      <c r="B7" s="59">
        <v>0.1</v>
      </c>
      <c r="C7" s="59">
        <v>2</v>
      </c>
    </row>
    <row r="8" spans="1:3" x14ac:dyDescent="0.25">
      <c r="A8" t="s">
        <v>1973</v>
      </c>
      <c r="B8" s="59">
        <v>0.25</v>
      </c>
    </row>
    <row r="9" spans="1:3" x14ac:dyDescent="0.25">
      <c r="A9" t="s">
        <v>1974</v>
      </c>
      <c r="B9" s="59">
        <v>0.1</v>
      </c>
    </row>
    <row r="10" spans="1:3" x14ac:dyDescent="0.25">
      <c r="A10" t="s">
        <v>1975</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tabSelected="1" workbookViewId="0">
      <selection activeCell="K18" sqref="K18"/>
    </sheetView>
  </sheetViews>
  <sheetFormatPr defaultRowHeight="15" x14ac:dyDescent="0.25"/>
  <cols>
    <col min="1" max="1" width="30.140625" bestFit="1" customWidth="1"/>
    <col min="2" max="2" width="20.85546875" bestFit="1" customWidth="1"/>
    <col min="3" max="3" width="9.140625" bestFit="1" customWidth="1"/>
    <col min="4" max="4" width="4.140625" bestFit="1" customWidth="1"/>
    <col min="5" max="5" width="9.5703125" bestFit="1" customWidth="1"/>
    <col min="6" max="6" width="8.7109375" bestFit="1" customWidth="1"/>
    <col min="8" max="8" width="11.5703125" bestFit="1" customWidth="1"/>
    <col min="9" max="9" width="10.7109375" bestFit="1" customWidth="1"/>
  </cols>
  <sheetData>
    <row r="1" spans="1:9" x14ac:dyDescent="0.25">
      <c r="A1" s="404" t="s">
        <v>101</v>
      </c>
      <c r="B1" s="404" t="s">
        <v>3252</v>
      </c>
      <c r="C1" s="404" t="s">
        <v>1012</v>
      </c>
      <c r="D1" s="404" t="s">
        <v>3253</v>
      </c>
      <c r="E1" s="404" t="s">
        <v>3265</v>
      </c>
      <c r="F1" s="404" t="s">
        <v>3266</v>
      </c>
      <c r="G1" s="404" t="s">
        <v>3267</v>
      </c>
      <c r="H1" s="404" t="s">
        <v>3268</v>
      </c>
      <c r="I1" s="404" t="s">
        <v>2835</v>
      </c>
    </row>
    <row r="2" spans="1:9" x14ac:dyDescent="0.25">
      <c r="A2" t="s">
        <v>3254</v>
      </c>
      <c r="B2" s="404"/>
      <c r="C2" t="s">
        <v>3255</v>
      </c>
      <c r="D2" t="s">
        <v>576</v>
      </c>
      <c r="E2" s="404"/>
      <c r="F2" s="404"/>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3269</v>
      </c>
    </row>
    <row r="3" spans="1:9" x14ac:dyDescent="0.25">
      <c r="A3" t="s">
        <v>3256</v>
      </c>
      <c r="B3" s="404"/>
      <c r="C3" t="s">
        <v>3255</v>
      </c>
      <c r="D3" t="s">
        <v>577</v>
      </c>
      <c r="E3" s="404"/>
      <c r="F3">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3270</v>
      </c>
    </row>
    <row r="4" spans="1:9" x14ac:dyDescent="0.25">
      <c r="A4" t="s">
        <v>1779</v>
      </c>
      <c r="B4" t="s">
        <v>3257</v>
      </c>
      <c r="C4" t="s">
        <v>3255</v>
      </c>
      <c r="D4" t="s">
        <v>577</v>
      </c>
      <c r="E4">
        <v>15</v>
      </c>
      <c r="F4">
        <v>19</v>
      </c>
      <c r="G4">
        <f>IFERROR(VLOOKUP(_xlfn.CONCAT($I4,RegionSelect!$C$2),'Fertility Mortality Rates'!$I:$L,3,FALSE),VLOOKUP(_xlfn.CONCAT($I4,"ET"),'Fertility Mortality Rates'!$I:$L,3,FALSE))</f>
        <v>7.1999999999999995E-2</v>
      </c>
      <c r="H4">
        <f>IFERROR(VLOOKUP(_xlfn.CONCAT($I4,RegionSelect!$C$2),'Fertility Mortality Rates'!$I:$L,4,FALSE),VLOOKUP(_xlfn.CONCAT($I4,"ET"),'Fertility Mortality Rates'!$I:$L,4,FALSE))</f>
        <v>0.98846927759109204</v>
      </c>
      <c r="I4" t="s">
        <v>3271</v>
      </c>
    </row>
    <row r="5" spans="1:9" x14ac:dyDescent="0.25">
      <c r="A5" t="s">
        <v>1777</v>
      </c>
      <c r="B5" t="s">
        <v>3258</v>
      </c>
      <c r="C5" t="s">
        <v>3255</v>
      </c>
      <c r="D5" t="s">
        <v>577</v>
      </c>
      <c r="E5">
        <v>20</v>
      </c>
      <c r="F5">
        <v>24</v>
      </c>
      <c r="G5">
        <f>IFERROR(VLOOKUP(_xlfn.CONCAT($I5,RegionSelect!$C$2),'Fertility Mortality Rates'!$I:$L,3,FALSE),VLOOKUP(_xlfn.CONCAT($I5,"ET"),'Fertility Mortality Rates'!$I:$L,3,FALSE))</f>
        <v>0.19500000000000001</v>
      </c>
      <c r="H5">
        <f>IFERROR(VLOOKUP(_xlfn.CONCAT($I5,RegionSelect!$C$2),'Fertility Mortality Rates'!$I:$L,4,FALSE),VLOOKUP(_xlfn.CONCAT($I5,"ET"),'Fertility Mortality Rates'!$I:$L,4,FALSE))</f>
        <v>0.99316389691241536</v>
      </c>
      <c r="I5" t="s">
        <v>3272</v>
      </c>
    </row>
    <row r="6" spans="1:9" x14ac:dyDescent="0.25">
      <c r="A6" t="s">
        <v>1775</v>
      </c>
      <c r="B6" t="s">
        <v>3259</v>
      </c>
      <c r="C6" t="s">
        <v>3255</v>
      </c>
      <c r="D6" t="s">
        <v>577</v>
      </c>
      <c r="E6">
        <v>25</v>
      </c>
      <c r="F6">
        <v>29</v>
      </c>
      <c r="G6">
        <f>IFERROR(VLOOKUP(_xlfn.CONCAT($I6,RegionSelect!$C$2),'Fertility Mortality Rates'!$I:$L,3,FALSE),VLOOKUP(_xlfn.CONCAT($I6,"ET"),'Fertility Mortality Rates'!$I:$L,3,FALSE))</f>
        <v>0.20200000000000001</v>
      </c>
      <c r="H6">
        <f>IFERROR(VLOOKUP(_xlfn.CONCAT($I6,RegionSelect!$C$2),'Fertility Mortality Rates'!$I:$L,4,FALSE),VLOOKUP(_xlfn.CONCAT($I6,"ET"),'Fertility Mortality Rates'!$I:$L,4,FALSE))</f>
        <v>0.98022410443373342</v>
      </c>
      <c r="I6" t="s">
        <v>3273</v>
      </c>
    </row>
    <row r="7" spans="1:9" x14ac:dyDescent="0.25">
      <c r="A7" t="s">
        <v>1773</v>
      </c>
      <c r="B7" t="s">
        <v>3260</v>
      </c>
      <c r="C7" t="s">
        <v>3255</v>
      </c>
      <c r="D7" t="s">
        <v>577</v>
      </c>
      <c r="E7">
        <v>30</v>
      </c>
      <c r="F7">
        <v>34</v>
      </c>
      <c r="G7">
        <f>IFERROR(VLOOKUP(_xlfn.CONCAT($I7,RegionSelect!$C$2),'Fertility Mortality Rates'!$I:$L,3,FALSE),VLOOKUP(_xlfn.CONCAT($I7,"ET"),'Fertility Mortality Rates'!$I:$L,3,FALSE))</f>
        <v>0.16200000000000001</v>
      </c>
      <c r="H7">
        <f>IFERROR(VLOOKUP(_xlfn.CONCAT($I7,RegionSelect!$C$2),'Fertility Mortality Rates'!$I:$L,4,FALSE),VLOOKUP(_xlfn.CONCAT($I7,"ET"),'Fertility Mortality Rates'!$I:$L,4,FALSE))</f>
        <v>0.97771923789514636</v>
      </c>
      <c r="I7" t="s">
        <v>3274</v>
      </c>
    </row>
    <row r="8" spans="1:9" x14ac:dyDescent="0.25">
      <c r="A8" t="s">
        <v>1771</v>
      </c>
      <c r="B8" t="s">
        <v>3261</v>
      </c>
      <c r="C8" t="s">
        <v>3255</v>
      </c>
      <c r="D8" t="s">
        <v>577</v>
      </c>
      <c r="E8">
        <v>35</v>
      </c>
      <c r="F8">
        <v>39</v>
      </c>
      <c r="G8">
        <f>IFERROR(VLOOKUP(_xlfn.CONCAT($I8,RegionSelect!$C$2),'Fertility Mortality Rates'!$I:$L,3,FALSE),VLOOKUP(_xlfn.CONCAT($I8,"ET"),'Fertility Mortality Rates'!$I:$L,3,FALSE))</f>
        <v>0.11899999999999999</v>
      </c>
      <c r="H8">
        <f>IFERROR(VLOOKUP(_xlfn.CONCAT($I8,RegionSelect!$C$2),'Fertility Mortality Rates'!$I:$L,4,FALSE),VLOOKUP(_xlfn.CONCAT($I8,"ET"),'Fertility Mortality Rates'!$I:$L,4,FALSE))</f>
        <v>0.97393215219000295</v>
      </c>
      <c r="I8" t="s">
        <v>3275</v>
      </c>
    </row>
    <row r="9" spans="1:9" x14ac:dyDescent="0.25">
      <c r="A9" t="s">
        <v>1769</v>
      </c>
      <c r="B9" t="s">
        <v>3262</v>
      </c>
      <c r="C9" t="s">
        <v>3255</v>
      </c>
      <c r="D9" t="s">
        <v>577</v>
      </c>
      <c r="E9">
        <v>40</v>
      </c>
      <c r="F9">
        <v>44</v>
      </c>
      <c r="G9">
        <f>IFERROR(VLOOKUP(_xlfn.CONCAT($I9,RegionSelect!$C$2),'Fertility Mortality Rates'!$I:$L,3,FALSE),VLOOKUP(_xlfn.CONCAT($I9,"ET"),'Fertility Mortality Rates'!$I:$L,3,FALSE))</f>
        <v>4.9000000000000002E-2</v>
      </c>
      <c r="H9">
        <f>IFERROR(VLOOKUP(_xlfn.CONCAT($I9,RegionSelect!$C$2),'Fertility Mortality Rates'!$I:$L,4,FALSE),VLOOKUP(_xlfn.CONCAT($I9,"ET"),'Fertility Mortality Rates'!$I:$L,4,FALSE))</f>
        <v>0.95811661983967134</v>
      </c>
      <c r="I9" t="s">
        <v>3276</v>
      </c>
    </row>
    <row r="10" spans="1:9" x14ac:dyDescent="0.25">
      <c r="A10" t="s">
        <v>1767</v>
      </c>
      <c r="B10" t="s">
        <v>3263</v>
      </c>
      <c r="C10" t="s">
        <v>3255</v>
      </c>
      <c r="D10" t="s">
        <v>577</v>
      </c>
      <c r="E10">
        <v>45</v>
      </c>
      <c r="F10">
        <v>49</v>
      </c>
      <c r="G10">
        <f>IFERROR(VLOOKUP(_xlfn.CONCAT($I10,RegionSelect!$C$2),'Fertility Mortality Rates'!$I:$L,3,FALSE),VLOOKUP(_xlfn.CONCAT($I10,"ET"),'Fertility Mortality Rates'!$I:$L,3,FALSE))</f>
        <v>1.4E-2</v>
      </c>
      <c r="H10">
        <f>IFERROR(VLOOKUP(_xlfn.CONCAT($I10,RegionSelect!$C$2),'Fertility Mortality Rates'!$I:$L,4,FALSE),VLOOKUP(_xlfn.CONCAT($I10,"ET"),'Fertility Mortality Rates'!$I:$L,4,FALSE))</f>
        <v>0.91700404320467122</v>
      </c>
      <c r="I10" t="s">
        <v>3277</v>
      </c>
    </row>
    <row r="11" spans="1:9" x14ac:dyDescent="0.25">
      <c r="A11" t="s">
        <v>3264</v>
      </c>
      <c r="B11" s="404"/>
      <c r="C11" t="s">
        <v>3255</v>
      </c>
      <c r="D11" t="s">
        <v>577</v>
      </c>
      <c r="E11">
        <v>50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3278</v>
      </c>
    </row>
    <row r="12" spans="1:9" x14ac:dyDescent="0.25">
      <c r="A12" t="s">
        <v>3297</v>
      </c>
      <c r="B12" t="s">
        <v>3309</v>
      </c>
      <c r="C12" t="s">
        <v>686</v>
      </c>
      <c r="D12" t="s">
        <v>577</v>
      </c>
      <c r="F12">
        <v>0</v>
      </c>
      <c r="G12" s="431">
        <f>IFERROR(VLOOKUP(_xlfn.CONCAT($I12,RegionSelect!$C$2),'Fertility Mortality Rates'!$I:$L,3,FALSE),VLOOKUP(_xlfn.CONCAT($I12,"ET"),'Fertility Mortality Rates'!$I:$L,3,FALSE))</f>
        <v>4.4870649522800003E-2</v>
      </c>
      <c r="H12" s="431">
        <f>IFERROR(VLOOKUP(_xlfn.CONCAT($I12,RegionSelect!$C$2),'Fertility Mortality Rates'!$I:$L,4,FALSE),VLOOKUP(_xlfn.CONCAT($I12,"ET"),'Fertility Mortality Rates'!$I:$L,4,FALSE))</f>
        <v>0.96306068601583117</v>
      </c>
      <c r="I12" t="s">
        <v>3330</v>
      </c>
    </row>
    <row r="13" spans="1:9" x14ac:dyDescent="0.25">
      <c r="A13" t="s">
        <v>3298</v>
      </c>
      <c r="B13" t="s">
        <v>3310</v>
      </c>
      <c r="C13" t="s">
        <v>686</v>
      </c>
      <c r="D13" t="s">
        <v>577</v>
      </c>
      <c r="E13">
        <v>1</v>
      </c>
      <c r="F13">
        <v>4</v>
      </c>
      <c r="G13">
        <f>IFERROR(VLOOKUP(_xlfn.CONCAT($I13,RegionSelect!$C$2),'Fertility Mortality Rates'!$I:$L,3,FALSE),VLOOKUP(_xlfn.CONCAT($I13,"ET"),'Fertility Mortality Rates'!$I:$L,3,FALSE))</f>
        <v>3.5500000000000006E-3</v>
      </c>
      <c r="H13">
        <f>IFERROR(VLOOKUP(_xlfn.CONCAT($I13,RegionSelect!$C$2),'Fertility Mortality Rates'!$I:$L,4,FALSE),VLOOKUP(_xlfn.CONCAT($I13,"ET"),'Fertility Mortality Rates'!$I:$L,4,FALSE))</f>
        <v>0.95480225988700573</v>
      </c>
      <c r="I13" t="s">
        <v>3279</v>
      </c>
    </row>
    <row r="14" spans="1:9" x14ac:dyDescent="0.25">
      <c r="A14" t="s">
        <v>3299</v>
      </c>
      <c r="B14" t="s">
        <v>3311</v>
      </c>
      <c r="C14" t="s">
        <v>686</v>
      </c>
      <c r="D14" t="s">
        <v>577</v>
      </c>
      <c r="E14">
        <v>5</v>
      </c>
      <c r="F14">
        <v>9</v>
      </c>
      <c r="G14" s="431">
        <f>IFERROR(VLOOKUP(_xlfn.CONCAT($I14,RegionSelect!$C$2),'Fertility Mortality Rates'!$I:$L,3,FALSE),VLOOKUP(_xlfn.CONCAT($I14,"ET"),'Fertility Mortality Rates'!$I:$L,3,FALSE))</f>
        <v>1.1800000000000001E-3</v>
      </c>
      <c r="H14" s="431">
        <f>IFERROR(VLOOKUP(_xlfn.CONCAT($I14,RegionSelect!$C$2),'Fertility Mortality Rates'!$I:$L,4,FALSE),VLOOKUP(_xlfn.CONCAT($I14,"ET"),'Fertility Mortality Rates'!$I:$L,4,FALSE))</f>
        <v>0.95161290322580649</v>
      </c>
      <c r="I14" t="s">
        <v>3280</v>
      </c>
    </row>
    <row r="15" spans="1:9" x14ac:dyDescent="0.25">
      <c r="A15" t="s">
        <v>3300</v>
      </c>
      <c r="B15" t="s">
        <v>3312</v>
      </c>
      <c r="C15" t="s">
        <v>686</v>
      </c>
      <c r="D15" t="s">
        <v>577</v>
      </c>
      <c r="E15">
        <v>10</v>
      </c>
      <c r="F15">
        <v>14</v>
      </c>
      <c r="G15" s="431">
        <f>IFERROR(VLOOKUP(_xlfn.CONCAT($I15,RegionSelect!$C$2),'Fertility Mortality Rates'!$I:$L,3,FALSE),VLOOKUP(_xlfn.CONCAT($I15,"ET"),'Fertility Mortality Rates'!$I:$L,3,FALSE))</f>
        <v>9.5999999999999992E-4</v>
      </c>
      <c r="H15" s="431">
        <f>IFERROR(VLOOKUP(_xlfn.CONCAT($I15,RegionSelect!$C$2),'Fertility Mortality Rates'!$I:$L,4,FALSE),VLOOKUP(_xlfn.CONCAT($I15,"ET"),'Fertility Mortality Rates'!$I:$L,4,FALSE))</f>
        <v>0.96150047483380818</v>
      </c>
      <c r="I15" t="s">
        <v>3281</v>
      </c>
    </row>
    <row r="16" spans="1:9" x14ac:dyDescent="0.25">
      <c r="A16" t="s">
        <v>3301</v>
      </c>
      <c r="B16" t="s">
        <v>3313</v>
      </c>
      <c r="C16" t="s">
        <v>686</v>
      </c>
      <c r="D16" t="s">
        <v>577</v>
      </c>
      <c r="E16">
        <v>15</v>
      </c>
      <c r="F16">
        <v>19</v>
      </c>
      <c r="G16" s="431">
        <f>IFERROR(VLOOKUP(_xlfn.CONCAT($I16,RegionSelect!$C$2),'Fertility Mortality Rates'!$I:$L,3,FALSE),VLOOKUP(_xlfn.CONCAT($I16,"ET"),'Fertility Mortality Rates'!$I:$L,3,FALSE))</f>
        <v>1.6000000000000001E-3</v>
      </c>
      <c r="H16" s="431">
        <f>IFERROR(VLOOKUP(_xlfn.CONCAT($I16,RegionSelect!$C$2),'Fertility Mortality Rates'!$I:$L,4,FALSE),VLOOKUP(_xlfn.CONCAT($I16,"ET"),'Fertility Mortality Rates'!$I:$L,4,FALSE))</f>
        <v>0.96508794519599173</v>
      </c>
      <c r="I16" t="s">
        <v>3282</v>
      </c>
    </row>
    <row r="17" spans="1:9" x14ac:dyDescent="0.25">
      <c r="A17" t="s">
        <v>3302</v>
      </c>
      <c r="B17" t="s">
        <v>3314</v>
      </c>
      <c r="C17" t="s">
        <v>686</v>
      </c>
      <c r="D17" t="s">
        <v>577</v>
      </c>
      <c r="E17">
        <v>20</v>
      </c>
      <c r="F17">
        <v>34</v>
      </c>
      <c r="G17" s="431">
        <f>IFERROR(VLOOKUP(_xlfn.CONCAT($I17,RegionSelect!$C$2),'Fertility Mortality Rates'!$I:$L,3,FALSE),VLOOKUP(_xlfn.CONCAT($I17,"ET"),'Fertility Mortality Rates'!$I:$L,3,FALSE))</f>
        <v>1.72E-3</v>
      </c>
      <c r="H17" s="431">
        <f>IFERROR(VLOOKUP(_xlfn.CONCAT($I17,RegionSelect!$C$2),'Fertility Mortality Rates'!$I:$L,4,FALSE),VLOOKUP(_xlfn.CONCAT($I17,"ET"),'Fertility Mortality Rates'!$I:$L,4,FALSE))</f>
        <v>0.9885057471264368</v>
      </c>
      <c r="I17" t="s">
        <v>3283</v>
      </c>
    </row>
    <row r="18" spans="1:9" x14ac:dyDescent="0.25">
      <c r="A18" t="s">
        <v>2093</v>
      </c>
      <c r="B18" t="s">
        <v>3315</v>
      </c>
      <c r="C18" t="s">
        <v>686</v>
      </c>
      <c r="D18" t="s">
        <v>577</v>
      </c>
      <c r="E18">
        <v>35</v>
      </c>
      <c r="F18">
        <v>49</v>
      </c>
      <c r="G18" s="431">
        <f>IFERROR(VLOOKUP(_xlfn.CONCAT($I18,RegionSelect!$C$2),'Fertility Mortality Rates'!$I:$L,3,FALSE),VLOOKUP(_xlfn.CONCAT($I18,"ET"),'Fertility Mortality Rates'!$I:$L,3,FALSE))</f>
        <v>4.6410387643786967E-3</v>
      </c>
      <c r="H18" s="431">
        <f>IFERROR(VLOOKUP(_xlfn.CONCAT($I18,RegionSelect!$C$2),'Fertility Mortality Rates'!$I:$L,4,FALSE),VLOOKUP(_xlfn.CONCAT($I18,"ET"),'Fertility Mortality Rates'!$I:$L,4,FALSE))</f>
        <v>0.98007627674588871</v>
      </c>
      <c r="I18" t="s">
        <v>3284</v>
      </c>
    </row>
    <row r="19" spans="1:9" x14ac:dyDescent="0.25">
      <c r="A19" t="s">
        <v>2105</v>
      </c>
      <c r="B19" t="s">
        <v>3316</v>
      </c>
      <c r="C19" t="s">
        <v>686</v>
      </c>
      <c r="D19" t="s">
        <v>577</v>
      </c>
      <c r="E19">
        <v>50</v>
      </c>
      <c r="F19">
        <v>59</v>
      </c>
      <c r="G19" s="431">
        <f>IFERROR(VLOOKUP(_xlfn.CONCAT($I19,RegionSelect!$C$2),'Fertility Mortality Rates'!$I:$L,3,FALSE),VLOOKUP(_xlfn.CONCAT($I19,"ET"),'Fertility Mortality Rates'!$I:$L,3,FALSE))</f>
        <v>7.8897658994437833E-3</v>
      </c>
      <c r="H19" s="431">
        <f>IFERROR(VLOOKUP(_xlfn.CONCAT($I19,RegionSelect!$C$2),'Fertility Mortality Rates'!$I:$L,4,FALSE),VLOOKUP(_xlfn.CONCAT($I19,"ET"),'Fertility Mortality Rates'!$I:$L,4,FALSE))</f>
        <v>0.98007627674588871</v>
      </c>
      <c r="I19" t="s">
        <v>3285</v>
      </c>
    </row>
    <row r="20" spans="1:9" x14ac:dyDescent="0.25">
      <c r="A20" t="s">
        <v>2089</v>
      </c>
      <c r="B20" t="s">
        <v>3317</v>
      </c>
      <c r="C20" t="s">
        <v>686</v>
      </c>
      <c r="D20" t="s">
        <v>577</v>
      </c>
      <c r="E20">
        <v>60</v>
      </c>
      <c r="F20">
        <v>74</v>
      </c>
      <c r="G20" s="431">
        <f>IFERROR(VLOOKUP(_xlfn.CONCAT($I20,RegionSelect!$C$2),'Fertility Mortality Rates'!$I:$L,3,FALSE),VLOOKUP(_xlfn.CONCAT($I20,"ET"),'Fertility Mortality Rates'!$I:$L,3,FALSE))</f>
        <v>2.2091344518442593E-2</v>
      </c>
      <c r="H20" s="431">
        <f>IFERROR(VLOOKUP(_xlfn.CONCAT($I20,RegionSelect!$C$2),'Fertility Mortality Rates'!$I:$L,4,FALSE),VLOOKUP(_xlfn.CONCAT($I20,"ET"),'Fertility Mortality Rates'!$I:$L,4,FALSE))</f>
        <v>0.98007627674588871</v>
      </c>
      <c r="I20" t="s">
        <v>3286</v>
      </c>
    </row>
    <row r="21" spans="1:9" x14ac:dyDescent="0.25">
      <c r="A21" t="s">
        <v>2090</v>
      </c>
      <c r="B21" t="s">
        <v>3318</v>
      </c>
      <c r="C21" t="s">
        <v>686</v>
      </c>
      <c r="D21" t="s">
        <v>577</v>
      </c>
      <c r="E21">
        <v>75</v>
      </c>
      <c r="G21" s="431">
        <f>IFERROR(VLOOKUP(_xlfn.CONCAT($I21,RegionSelect!$C$2),'Fertility Mortality Rates'!$I:$L,3,FALSE),VLOOKUP(_xlfn.CONCAT($I21,"ET"),'Fertility Mortality Rates'!$I:$L,3,FALSE))</f>
        <v>8.6787424893881623E-2</v>
      </c>
      <c r="H21" s="431">
        <f>IFERROR(VLOOKUP(_xlfn.CONCAT($I21,RegionSelect!$C$2),'Fertility Mortality Rates'!$I:$L,4,FALSE),VLOOKUP(_xlfn.CONCAT($I21,"ET"),'Fertility Mortality Rates'!$I:$L,4,FALSE))</f>
        <v>0.98007627674588871</v>
      </c>
      <c r="I21" t="s">
        <v>3287</v>
      </c>
    </row>
    <row r="22" spans="1:9" x14ac:dyDescent="0.25">
      <c r="A22" t="s">
        <v>3303</v>
      </c>
      <c r="B22" t="s">
        <v>3319</v>
      </c>
      <c r="C22" t="s">
        <v>686</v>
      </c>
      <c r="D22" t="s">
        <v>576</v>
      </c>
      <c r="F22">
        <v>0</v>
      </c>
      <c r="G22" s="431">
        <f>IFERROR(VLOOKUP(_xlfn.CONCAT($I22,RegionSelect!$C$2),'Fertility Mortality Rates'!$I:$L,3,FALSE),VLOOKUP(_xlfn.CONCAT($I22,"ET"),'Fertility Mortality Rates'!$I:$L,3,FALSE))</f>
        <v>4.4870649522800003E-2</v>
      </c>
      <c r="H22" s="431">
        <f>IFERROR(VLOOKUP(_xlfn.CONCAT($I22,RegionSelect!$C$2),'Fertility Mortality Rates'!$I:$L,4,FALSE),VLOOKUP(_xlfn.CONCAT($I22,"ET"),'Fertility Mortality Rates'!$I:$L,4,FALSE))</f>
        <v>0.96306068601583117</v>
      </c>
      <c r="I22" t="s">
        <v>3329</v>
      </c>
    </row>
    <row r="23" spans="1:9" x14ac:dyDescent="0.25">
      <c r="A23" t="s">
        <v>3304</v>
      </c>
      <c r="B23" t="s">
        <v>3320</v>
      </c>
      <c r="C23" t="s">
        <v>686</v>
      </c>
      <c r="D23" t="s">
        <v>576</v>
      </c>
      <c r="E23">
        <v>1</v>
      </c>
      <c r="F23">
        <v>4</v>
      </c>
      <c r="G23">
        <f>IFERROR(VLOOKUP(_xlfn.CONCAT($I23,RegionSelect!$C$2),'Fertility Mortality Rates'!$I:$L,3,FALSE),VLOOKUP(_xlfn.CONCAT($I23,"ET"),'Fertility Mortality Rates'!$I:$L,3,FALSE))</f>
        <v>3.5500000000000006E-3</v>
      </c>
      <c r="H23">
        <f>IFERROR(VLOOKUP(_xlfn.CONCAT($I23,RegionSelect!$C$2),'Fertility Mortality Rates'!$I:$L,4,FALSE),VLOOKUP(_xlfn.CONCAT($I23,"ET"),'Fertility Mortality Rates'!$I:$L,4,FALSE))</f>
        <v>0.95480225988700573</v>
      </c>
      <c r="I23" t="s">
        <v>3288</v>
      </c>
    </row>
    <row r="24" spans="1:9" x14ac:dyDescent="0.25">
      <c r="A24" t="s">
        <v>3305</v>
      </c>
      <c r="B24" t="s">
        <v>3321</v>
      </c>
      <c r="C24" t="s">
        <v>686</v>
      </c>
      <c r="D24" t="s">
        <v>576</v>
      </c>
      <c r="E24">
        <v>5</v>
      </c>
      <c r="F24">
        <v>9</v>
      </c>
      <c r="G24" s="431">
        <f>IFERROR(VLOOKUP(_xlfn.CONCAT($I24,RegionSelect!$C$2),'Fertility Mortality Rates'!$I:$L,3,FALSE),VLOOKUP(_xlfn.CONCAT($I24,"ET"),'Fertility Mortality Rates'!$I:$L,3,FALSE))</f>
        <v>1.1800000000000001E-3</v>
      </c>
      <c r="H24" s="431">
        <f>IFERROR(VLOOKUP(_xlfn.CONCAT($I24,RegionSelect!$C$2),'Fertility Mortality Rates'!$I:$L,4,FALSE),VLOOKUP(_xlfn.CONCAT($I24,"ET"),'Fertility Mortality Rates'!$I:$L,4,FALSE))</f>
        <v>0.95161290322580649</v>
      </c>
      <c r="I24" t="s">
        <v>3289</v>
      </c>
    </row>
    <row r="25" spans="1:9" x14ac:dyDescent="0.25">
      <c r="A25" t="s">
        <v>3306</v>
      </c>
      <c r="B25" t="s">
        <v>3322</v>
      </c>
      <c r="C25" t="s">
        <v>686</v>
      </c>
      <c r="D25" t="s">
        <v>576</v>
      </c>
      <c r="E25">
        <v>10</v>
      </c>
      <c r="F25">
        <v>14</v>
      </c>
      <c r="G25" s="431">
        <f>IFERROR(VLOOKUP(_xlfn.CONCAT($I25,RegionSelect!$C$2),'Fertility Mortality Rates'!$I:$L,3,FALSE),VLOOKUP(_xlfn.CONCAT($I25,"ET"),'Fertility Mortality Rates'!$I:$L,3,FALSE))</f>
        <v>9.5999999999999992E-4</v>
      </c>
      <c r="H25" s="431">
        <f>IFERROR(VLOOKUP(_xlfn.CONCAT($I25,RegionSelect!$C$2),'Fertility Mortality Rates'!$I:$L,4,FALSE),VLOOKUP(_xlfn.CONCAT($I25,"ET"),'Fertility Mortality Rates'!$I:$L,4,FALSE))</f>
        <v>0.96150047483380818</v>
      </c>
      <c r="I25" t="s">
        <v>3290</v>
      </c>
    </row>
    <row r="26" spans="1:9" x14ac:dyDescent="0.25">
      <c r="A26" t="s">
        <v>3307</v>
      </c>
      <c r="B26" t="s">
        <v>3323</v>
      </c>
      <c r="C26" t="s">
        <v>686</v>
      </c>
      <c r="D26" t="s">
        <v>576</v>
      </c>
      <c r="E26">
        <v>15</v>
      </c>
      <c r="F26">
        <v>19</v>
      </c>
      <c r="G26" s="431">
        <f>IFERROR(VLOOKUP(_xlfn.CONCAT($I26,RegionSelect!$C$2),'Fertility Mortality Rates'!$I:$L,3,FALSE),VLOOKUP(_xlfn.CONCAT($I26,"ET"),'Fertility Mortality Rates'!$I:$L,3,FALSE))</f>
        <v>1.6000000000000001E-3</v>
      </c>
      <c r="H26" s="431">
        <f>IFERROR(VLOOKUP(_xlfn.CONCAT($I26,RegionSelect!$C$2),'Fertility Mortality Rates'!$I:$L,4,FALSE),VLOOKUP(_xlfn.CONCAT($I26,"ET"),'Fertility Mortality Rates'!$I:$L,4,FALSE))</f>
        <v>0.96508794519599173</v>
      </c>
      <c r="I26" t="s">
        <v>3291</v>
      </c>
    </row>
    <row r="27" spans="1:9" x14ac:dyDescent="0.25">
      <c r="A27" t="s">
        <v>3308</v>
      </c>
      <c r="B27" t="s">
        <v>3324</v>
      </c>
      <c r="C27" t="s">
        <v>686</v>
      </c>
      <c r="D27" t="s">
        <v>576</v>
      </c>
      <c r="E27">
        <v>20</v>
      </c>
      <c r="F27">
        <v>34</v>
      </c>
      <c r="G27" s="431">
        <f>IFERROR(VLOOKUP(_xlfn.CONCAT($I27,RegionSelect!$C$2),'Fertility Mortality Rates'!$I:$L,3,FALSE),VLOOKUP(_xlfn.CONCAT($I27,"ET"),'Fertility Mortality Rates'!$I:$L,3,FALSE))</f>
        <v>1.72E-3</v>
      </c>
      <c r="H27" s="431">
        <f>IFERROR(VLOOKUP(_xlfn.CONCAT($I27,RegionSelect!$C$2),'Fertility Mortality Rates'!$I:$L,4,FALSE),VLOOKUP(_xlfn.CONCAT($I27,"ET"),'Fertility Mortality Rates'!$I:$L,4,FALSE))</f>
        <v>0.9885057471264368</v>
      </c>
      <c r="I27" t="s">
        <v>3292</v>
      </c>
    </row>
    <row r="28" spans="1:9" x14ac:dyDescent="0.25">
      <c r="A28" t="s">
        <v>2111</v>
      </c>
      <c r="B28" t="s">
        <v>3325</v>
      </c>
      <c r="C28" t="s">
        <v>686</v>
      </c>
      <c r="D28" t="s">
        <v>576</v>
      </c>
      <c r="E28">
        <v>35</v>
      </c>
      <c r="F28">
        <v>49</v>
      </c>
      <c r="G28" s="431">
        <f>IFERROR(VLOOKUP(_xlfn.CONCAT($I28,RegionSelect!$C$2),'Fertility Mortality Rates'!$I:$L,3,FALSE),VLOOKUP(_xlfn.CONCAT($I28,"ET"),'Fertility Mortality Rates'!$I:$L,3,FALSE))</f>
        <v>6.3527026636382199E-3</v>
      </c>
      <c r="H28" s="431">
        <f>IFERROR(VLOOKUP(_xlfn.CONCAT($I28,RegionSelect!$C$2),'Fertility Mortality Rates'!$I:$L,4,FALSE),VLOOKUP(_xlfn.CONCAT($I28,"ET"),'Fertility Mortality Rates'!$I:$L,4,FALSE))</f>
        <v>0.98481071022469158</v>
      </c>
      <c r="I28" t="s">
        <v>3293</v>
      </c>
    </row>
    <row r="29" spans="1:9" x14ac:dyDescent="0.25">
      <c r="A29" t="s">
        <v>2112</v>
      </c>
      <c r="B29" t="s">
        <v>3326</v>
      </c>
      <c r="C29" t="s">
        <v>686</v>
      </c>
      <c r="D29" t="s">
        <v>576</v>
      </c>
      <c r="E29">
        <v>50</v>
      </c>
      <c r="F29">
        <v>59</v>
      </c>
      <c r="G29" s="431">
        <f>IFERROR(VLOOKUP(_xlfn.CONCAT($I29,RegionSelect!$C$2),'Fertility Mortality Rates'!$I:$L,3,FALSE),VLOOKUP(_xlfn.CONCAT($I29,"ET"),'Fertility Mortality Rates'!$I:$L,3,FALSE))</f>
        <v>1.2070135060912618E-2</v>
      </c>
      <c r="H29" s="431">
        <f>IFERROR(VLOOKUP(_xlfn.CONCAT($I29,RegionSelect!$C$2),'Fertility Mortality Rates'!$I:$L,4,FALSE),VLOOKUP(_xlfn.CONCAT($I29,"ET"),'Fertility Mortality Rates'!$I:$L,4,FALSE))</f>
        <v>0.98481071022469158</v>
      </c>
      <c r="I29" t="s">
        <v>3294</v>
      </c>
    </row>
    <row r="30" spans="1:9" x14ac:dyDescent="0.25">
      <c r="A30" t="s">
        <v>2087</v>
      </c>
      <c r="B30" t="s">
        <v>3327</v>
      </c>
      <c r="C30" t="s">
        <v>686</v>
      </c>
      <c r="D30" t="s">
        <v>576</v>
      </c>
      <c r="E30">
        <v>60</v>
      </c>
      <c r="F30">
        <v>74</v>
      </c>
      <c r="G30" s="431">
        <f>IFERROR(VLOOKUP(_xlfn.CONCAT($I30,RegionSelect!$C$2),'Fertility Mortality Rates'!$I:$L,3,FALSE),VLOOKUP(_xlfn.CONCAT($I30,"ET"),'Fertility Mortality Rates'!$I:$L,3,FALSE))</f>
        <v>3.1382351158372804E-2</v>
      </c>
      <c r="H30" s="431">
        <f>IFERROR(VLOOKUP(_xlfn.CONCAT($I30,RegionSelect!$C$2),'Fertility Mortality Rates'!$I:$L,4,FALSE),VLOOKUP(_xlfn.CONCAT($I30,"ET"),'Fertility Mortality Rates'!$I:$L,4,FALSE))</f>
        <v>0.98481071022469158</v>
      </c>
      <c r="I30" t="s">
        <v>3295</v>
      </c>
    </row>
    <row r="31" spans="1:9" x14ac:dyDescent="0.25">
      <c r="A31" t="s">
        <v>2088</v>
      </c>
      <c r="B31" t="s">
        <v>3328</v>
      </c>
      <c r="C31" t="s">
        <v>686</v>
      </c>
      <c r="D31" t="s">
        <v>576</v>
      </c>
      <c r="E31">
        <v>75</v>
      </c>
      <c r="G31" s="431">
        <f>IFERROR(VLOOKUP(_xlfn.CONCAT($I31,RegionSelect!$C$2),'Fertility Mortality Rates'!$I:$L,3,FALSE),VLOOKUP(_xlfn.CONCAT($I31,"ET"),'Fertility Mortality Rates'!$I:$L,3,FALSE))</f>
        <v>0.10501017502993976</v>
      </c>
      <c r="H31" s="431">
        <f>IFERROR(VLOOKUP(_xlfn.CONCAT($I31,RegionSelect!$C$2),'Fertility Mortality Rates'!$I:$L,4,FALSE),VLOOKUP(_xlfn.CONCAT($I31,"ET"),'Fertility Mortality Rates'!$I:$L,4,FALSE))</f>
        <v>0.98481071022469158</v>
      </c>
      <c r="I31" t="s">
        <v>3296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1"/>
  <sheetViews>
    <sheetView topLeftCell="A10" workbookViewId="0">
      <selection activeCell="B9" sqref="B9"/>
    </sheetView>
  </sheetViews>
  <sheetFormatPr defaultRowHeight="15" x14ac:dyDescent="0.25"/>
  <cols>
    <col min="1" max="1" width="35.7109375" bestFit="1" customWidth="1"/>
    <col min="2" max="3" width="16.140625" customWidth="1"/>
    <col min="4" max="4" width="19.5703125" style="176" customWidth="1"/>
    <col min="5" max="5" width="19.5703125" style="273" customWidth="1"/>
    <col min="6" max="6" width="19.5703125" style="176" customWidth="1"/>
    <col min="7" max="8" width="19.5703125" style="273" customWidth="1"/>
    <col min="9" max="9" width="19.5703125" style="311" customWidth="1"/>
    <col min="10" max="10" width="15.42578125" bestFit="1" customWidth="1"/>
    <col min="11" max="11" width="15.42578125" customWidth="1"/>
    <col min="12" max="12" width="26" bestFit="1" customWidth="1"/>
    <col min="13" max="13" width="28.140625" bestFit="1" customWidth="1"/>
    <col min="14" max="28" width="6.140625" customWidth="1"/>
  </cols>
  <sheetData>
    <row r="1" spans="1:14" x14ac:dyDescent="0.25">
      <c r="A1" t="s">
        <v>120</v>
      </c>
      <c r="B1" t="s">
        <v>121</v>
      </c>
      <c r="C1" t="s">
        <v>122</v>
      </c>
      <c r="D1" s="176" t="s">
        <v>1998</v>
      </c>
      <c r="E1" s="273" t="s">
        <v>2000</v>
      </c>
      <c r="F1" s="176" t="s">
        <v>1999</v>
      </c>
      <c r="G1" s="273" t="s">
        <v>2001</v>
      </c>
      <c r="H1" s="273" t="s">
        <v>2132</v>
      </c>
      <c r="I1" s="311" t="s">
        <v>2133</v>
      </c>
      <c r="J1" t="s">
        <v>2121</v>
      </c>
      <c r="K1" t="s">
        <v>2122</v>
      </c>
      <c r="L1" t="s">
        <v>2126</v>
      </c>
      <c r="M1" t="s">
        <v>2125</v>
      </c>
      <c r="N1" t="s">
        <v>81</v>
      </c>
    </row>
    <row r="2" spans="1:14" x14ac:dyDescent="0.25">
      <c r="A2" s="199" t="s">
        <v>123</v>
      </c>
      <c r="B2" s="278"/>
      <c r="C2" s="199"/>
    </row>
    <row r="3" spans="1:14" x14ac:dyDescent="0.25">
      <c r="A3" s="199" t="s">
        <v>124</v>
      </c>
      <c r="B3" s="199">
        <v>30</v>
      </c>
      <c r="C3" s="199">
        <f>B3</f>
        <v>30</v>
      </c>
    </row>
    <row r="4" spans="1:14" x14ac:dyDescent="0.25">
      <c r="A4" s="199" t="s">
        <v>125</v>
      </c>
      <c r="B4" s="307">
        <f>(B2-B5*5)/30</f>
        <v>-1.3833333333333335E-2</v>
      </c>
      <c r="C4" s="308">
        <v>1</v>
      </c>
    </row>
    <row r="5" spans="1:14" x14ac:dyDescent="0.2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2062</v>
      </c>
    </row>
    <row r="6" spans="1:14" x14ac:dyDescent="0.25">
      <c r="A6" s="199" t="s">
        <v>2066</v>
      </c>
      <c r="B6" s="307">
        <f>AVERAGE('AgeSpecific Fertility'!E3:F3)/1000</f>
        <v>0.19850000000000001</v>
      </c>
      <c r="C6" s="307">
        <f>AVERAGE('AgeSpecific Fertility'!E9:F9)</f>
        <v>0.98627198435950747</v>
      </c>
    </row>
    <row r="7" spans="1:14" x14ac:dyDescent="0.25">
      <c r="A7" s="199" t="s">
        <v>2067</v>
      </c>
      <c r="B7" s="307">
        <f>AVERAGE('AgeSpecific Fertility'!G3:H3)/1000</f>
        <v>0.14050000000000001</v>
      </c>
      <c r="C7" s="307">
        <f>AVERAGE('AgeSpecific Fertility'!G9:H9)</f>
        <v>0.95003364224192177</v>
      </c>
    </row>
    <row r="8" spans="1:14" x14ac:dyDescent="0.25">
      <c r="A8" s="199" t="s">
        <v>2068</v>
      </c>
      <c r="B8" s="307">
        <f>AVERAGE('AgeSpecific Fertility'!I3:J3)/1000</f>
        <v>3.15E-2</v>
      </c>
      <c r="C8" s="307">
        <f>AVERAGE('AgeSpecific Fertility'!H9:I9)</f>
        <v>0.92199765900894537</v>
      </c>
    </row>
    <row r="9" spans="1:14" x14ac:dyDescent="0.2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2062</v>
      </c>
      <c r="K9" t="s">
        <v>2123</v>
      </c>
      <c r="L9" t="s">
        <v>2127</v>
      </c>
      <c r="M9" t="s">
        <v>2124</v>
      </c>
      <c r="N9" t="s">
        <v>2134</v>
      </c>
    </row>
    <row r="10" spans="1:14" x14ac:dyDescent="0.2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2062</v>
      </c>
      <c r="K10" t="s">
        <v>2123</v>
      </c>
      <c r="L10" t="s">
        <v>2128</v>
      </c>
      <c r="M10" t="s">
        <v>2129</v>
      </c>
      <c r="N10" t="s">
        <v>2134</v>
      </c>
    </row>
    <row r="11" spans="1:14" x14ac:dyDescent="0.25">
      <c r="A11" t="s">
        <v>129</v>
      </c>
      <c r="B11" s="125">
        <f t="shared" si="0"/>
        <v>1.1800000000000002</v>
      </c>
      <c r="C11">
        <f>'mort 5-9'!BM272</f>
        <v>0.95161290322580649</v>
      </c>
      <c r="D11" s="276"/>
      <c r="E11" s="277"/>
      <c r="F11" s="276"/>
      <c r="G11" s="277"/>
      <c r="H11" s="125">
        <f>'mort 5-9'!I275/5</f>
        <v>1.1229032258064517</v>
      </c>
      <c r="I11" s="311">
        <f>'mort 5-9'!BL77/5</f>
        <v>1.1800000000000002</v>
      </c>
      <c r="K11" t="s">
        <v>2123</v>
      </c>
      <c r="L11" t="s">
        <v>2128</v>
      </c>
      <c r="M11" t="s">
        <v>2131</v>
      </c>
      <c r="N11" t="s">
        <v>2134</v>
      </c>
    </row>
    <row r="12" spans="1:14" x14ac:dyDescent="0.25">
      <c r="A12" t="s">
        <v>130</v>
      </c>
      <c r="B12" s="125">
        <f t="shared" si="0"/>
        <v>0.96</v>
      </c>
      <c r="C12">
        <f>'mort 10-14'!BM272</f>
        <v>0.96150047483380818</v>
      </c>
      <c r="D12" s="276"/>
      <c r="E12" s="277"/>
      <c r="F12" s="276"/>
      <c r="G12" s="277"/>
      <c r="H12" s="125">
        <f>'mort 10-14'!I275/5</f>
        <v>0.9230404558404558</v>
      </c>
      <c r="I12" s="311">
        <f>'mort 10-14'!BL77/5</f>
        <v>0.96</v>
      </c>
      <c r="K12" t="s">
        <v>2123</v>
      </c>
      <c r="L12" t="s">
        <v>2128</v>
      </c>
      <c r="M12" t="s">
        <v>2131</v>
      </c>
      <c r="N12" t="s">
        <v>2134</v>
      </c>
    </row>
    <row r="13" spans="1:14" x14ac:dyDescent="0.2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2062</v>
      </c>
      <c r="K13" t="s">
        <v>2123</v>
      </c>
      <c r="L13" t="s">
        <v>2128</v>
      </c>
      <c r="M13" t="s">
        <v>2131</v>
      </c>
      <c r="N13" t="s">
        <v>2134</v>
      </c>
    </row>
    <row r="14" spans="1:14" x14ac:dyDescent="0.25">
      <c r="A14" s="234" t="s">
        <v>2091</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2062</v>
      </c>
      <c r="K14" t="s">
        <v>2123</v>
      </c>
      <c r="L14" t="s">
        <v>2128</v>
      </c>
      <c r="M14" t="s">
        <v>2131</v>
      </c>
      <c r="N14" t="s">
        <v>2134</v>
      </c>
    </row>
    <row r="15" spans="1:14" x14ac:dyDescent="0.25">
      <c r="A15" s="310" t="s">
        <v>133</v>
      </c>
      <c r="B15" s="307">
        <f>'mort adult f'!I275/(60-15)</f>
        <v>3.9443060860274208</v>
      </c>
      <c r="C15" s="310">
        <f>'mort adult f'!BM272</f>
        <v>0.98007627674588871</v>
      </c>
      <c r="D15" s="276"/>
      <c r="E15" s="277"/>
      <c r="F15" s="276"/>
      <c r="G15" s="277"/>
      <c r="H15" s="277"/>
      <c r="J15" s="86" t="s">
        <v>2092</v>
      </c>
      <c r="K15" s="86"/>
    </row>
    <row r="16" spans="1:14" x14ac:dyDescent="0.25">
      <c r="A16" s="310" t="s">
        <v>134</v>
      </c>
      <c r="B16" s="307">
        <f>'mort adult m'!I275/(60-15)</f>
        <v>5.1027857526880149</v>
      </c>
      <c r="C16" s="310">
        <f>'mort adult m'!BM272</f>
        <v>0.98481071022469158</v>
      </c>
      <c r="D16" s="276"/>
      <c r="E16" s="277"/>
      <c r="F16" s="276"/>
      <c r="G16" s="277"/>
      <c r="H16" s="277"/>
      <c r="J16" s="86" t="s">
        <v>2092</v>
      </c>
      <c r="K16" s="86"/>
    </row>
    <row r="17" spans="1:14" x14ac:dyDescent="0.25">
      <c r="A17" s="234" t="s">
        <v>1796</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2062</v>
      </c>
    </row>
    <row r="18" spans="1:14" x14ac:dyDescent="0.25">
      <c r="A18" s="234" t="s">
        <v>1795</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2062</v>
      </c>
      <c r="N18" s="86"/>
    </row>
    <row r="19" spans="1:14" x14ac:dyDescent="0.25">
      <c r="A19" s="234" t="s">
        <v>1797</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2062</v>
      </c>
    </row>
    <row r="20" spans="1:14" x14ac:dyDescent="0.25">
      <c r="A20" s="234" t="s">
        <v>1798</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2062</v>
      </c>
    </row>
    <row r="21" spans="1:14" x14ac:dyDescent="0.25">
      <c r="A21" s="234" t="s">
        <v>1799</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2062</v>
      </c>
    </row>
    <row r="22" spans="1:14" x14ac:dyDescent="0.25">
      <c r="A22" s="234" t="s">
        <v>1800</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2062</v>
      </c>
    </row>
    <row r="23" spans="1:14" x14ac:dyDescent="0.25">
      <c r="A23" s="234" t="s">
        <v>2093</v>
      </c>
      <c r="B23" s="294">
        <f>'Age band mort calcs'!B15</f>
        <v>4.6410387643786963</v>
      </c>
      <c r="C23" s="234">
        <f>C15</f>
        <v>0.98007627674588871</v>
      </c>
      <c r="K23" t="s">
        <v>2130</v>
      </c>
    </row>
    <row r="24" spans="1:14" x14ac:dyDescent="0.25">
      <c r="A24" s="234" t="s">
        <v>2105</v>
      </c>
      <c r="B24" s="294">
        <f>'Age band mort calcs'!B16</f>
        <v>7.8897658994437831</v>
      </c>
      <c r="C24" s="234">
        <f>C23</f>
        <v>0.98007627674588871</v>
      </c>
      <c r="K24" t="s">
        <v>2130</v>
      </c>
    </row>
    <row r="25" spans="1:14" x14ac:dyDescent="0.25">
      <c r="A25" s="234" t="s">
        <v>2089</v>
      </c>
      <c r="B25" s="294">
        <f>'Age band mort calcs'!B17</f>
        <v>22.091344518442593</v>
      </c>
      <c r="C25" s="234">
        <f>C24</f>
        <v>0.98007627674588871</v>
      </c>
      <c r="K25" t="s">
        <v>2130</v>
      </c>
    </row>
    <row r="26" spans="1:14" x14ac:dyDescent="0.25">
      <c r="A26" s="234" t="s">
        <v>2090</v>
      </c>
      <c r="B26" s="294">
        <f>'Age band mort calcs'!B18</f>
        <v>86.787424893881621</v>
      </c>
      <c r="C26" s="234">
        <f>C25</f>
        <v>0.98007627674588871</v>
      </c>
      <c r="K26" t="s">
        <v>2130</v>
      </c>
    </row>
    <row r="27" spans="1:14" x14ac:dyDescent="0.25">
      <c r="A27" s="234" t="s">
        <v>2111</v>
      </c>
      <c r="B27" s="234">
        <f>'Age band mort calcs'!B21</f>
        <v>6.3527026636382198</v>
      </c>
      <c r="C27" s="234">
        <f>C16</f>
        <v>0.98481071022469158</v>
      </c>
      <c r="K27" t="s">
        <v>2130</v>
      </c>
    </row>
    <row r="28" spans="1:14" x14ac:dyDescent="0.25">
      <c r="A28" s="234" t="s">
        <v>2112</v>
      </c>
      <c r="B28" s="234">
        <f>'Age band mort calcs'!B22</f>
        <v>12.070135060912618</v>
      </c>
      <c r="C28" s="234">
        <f>C27</f>
        <v>0.98481071022469158</v>
      </c>
      <c r="K28" t="s">
        <v>2130</v>
      </c>
    </row>
    <row r="29" spans="1:14" x14ac:dyDescent="0.25">
      <c r="A29" s="234" t="s">
        <v>2087</v>
      </c>
      <c r="B29" s="234">
        <f>'Age band mort calcs'!B23</f>
        <v>31.382351158372806</v>
      </c>
      <c r="C29" s="234">
        <f>C28</f>
        <v>0.98481071022469158</v>
      </c>
      <c r="K29" t="s">
        <v>2130</v>
      </c>
    </row>
    <row r="30" spans="1:14" x14ac:dyDescent="0.25">
      <c r="A30" s="234" t="s">
        <v>2088</v>
      </c>
      <c r="B30" s="234">
        <f>'Age band mort calcs'!B24</f>
        <v>105.01017502993976</v>
      </c>
      <c r="C30" s="234">
        <f>C29</f>
        <v>0.98481071022469158</v>
      </c>
      <c r="K30" t="s">
        <v>2130</v>
      </c>
    </row>
    <row r="31" spans="1:14" x14ac:dyDescent="0.25">
      <c r="A31" s="234"/>
      <c r="B31" s="234"/>
      <c r="C31" s="23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H14" sqref="H14"/>
    </sheetView>
  </sheetViews>
  <sheetFormatPr defaultRowHeight="15" x14ac:dyDescent="0.25"/>
  <cols>
    <col min="1" max="1" width="6.85546875" bestFit="1" customWidth="1"/>
    <col min="2" max="2" width="12.140625" bestFit="1" customWidth="1"/>
    <col min="3" max="3" width="7.7109375" bestFit="1" customWidth="1"/>
    <col min="4" max="4" width="6.7109375" bestFit="1" customWidth="1"/>
    <col min="5" max="5" width="7.7109375" bestFit="1" customWidth="1"/>
    <col min="6" max="6" width="8.5703125" bestFit="1" customWidth="1"/>
  </cols>
  <sheetData>
    <row r="1" spans="1:6" x14ac:dyDescent="0.25">
      <c r="A1" t="s">
        <v>267</v>
      </c>
      <c r="B1" s="432" t="s">
        <v>191</v>
      </c>
      <c r="C1" s="432" t="s">
        <v>268</v>
      </c>
      <c r="D1" s="432" t="s">
        <v>288</v>
      </c>
      <c r="E1" s="432" t="s">
        <v>69</v>
      </c>
      <c r="F1" s="432" t="s">
        <v>171</v>
      </c>
    </row>
    <row r="2" spans="1:6" x14ac:dyDescent="0.25">
      <c r="A2" t="s">
        <v>269</v>
      </c>
      <c r="B2" s="412">
        <f>IFERROR(VLOOKUP(_xlfn.CONCAT(A2,RegionSelect!$C$2),'Ssn Nutr'!$AC:$AG,2,FALSE),VLOOKUP(_xlfn.CONCAT(A2,"ET"),'Ssn Nutr'!$AC:$AG,2,FALSE))</f>
        <v>0.16488222698072805</v>
      </c>
      <c r="C2" s="431">
        <f>IFERROR(VLOOKUP(_xlfn.CONCAT(A2,RegionSelect!$C$2),'Ssn TB'!$AY:$BD,2,FALSE),VLOOKUP(_xlfn.CONCAT(A2,"ET"),'Ssn TB'!$AY:$BD,2,FALSE))</f>
        <v>8.2535106481912021E-2</v>
      </c>
      <c r="D2" s="412">
        <f>IFERROR(VLOOKUP(_xlfn.CONCAT(A2,RegionSelect!$C$2),'Ssn Births'!$B:$F,2,FALSE), VLOOKUP(_xlfn.CONCAT(A2,"ET"),'Ssn Births'!$B:$F,2,FALSE))</f>
        <v>9.3468292987793397E-2</v>
      </c>
      <c r="E2" s="431">
        <f>IFERROR(VLOOKUP(_xlfn.CONCAT(A2,RegionSelect!$C$2),'Ssn Malaria'!$AR:$AV,2,FALSE), VLOOKUP(_xlfn.CONCAT(A2,"ETR"),'Ssn Malaria'!$AR:$AV,2,FALSE))</f>
        <v>6.6936482067843195E-2</v>
      </c>
      <c r="F2" s="431">
        <f>IFERROR(VLOOKUP(_xlfn.CONCAT(A2,RegionSelect!C2),'Ssn Diarrhea'!B:G,2,FALSE),VLOOKUP(_xlfn.CONCAT(A2,"ET07"),'Ssn Diarrhea'!B:G,2,FALSE))</f>
        <v>9.7892720259538907E-2</v>
      </c>
    </row>
    <row r="3" spans="1:6" x14ac:dyDescent="0.25">
      <c r="A3" t="s">
        <v>270</v>
      </c>
      <c r="B3" s="412">
        <f>IFERROR(VLOOKUP(_xlfn.CONCAT(A3,RegionSelect!$C$2),'Ssn Nutr'!$AC:$AG,2,FALSE),VLOOKUP(_xlfn.CONCAT(A3,"ET"),'Ssn Nutr'!$AC:$AG,2,FALSE))</f>
        <v>6.852248394004283E-2</v>
      </c>
      <c r="C3" s="431">
        <f>IFERROR(VLOOKUP(_xlfn.CONCAT(A3,RegionSelect!$C$2),'Ssn TB'!$AY:$BD,2,FALSE),VLOOKUP(_xlfn.CONCAT(A3,"ET"),'Ssn TB'!$AY:$BD,2,FALSE))</f>
        <v>8.6208499953501355E-2</v>
      </c>
      <c r="D3" s="412">
        <f>IFERROR(VLOOKUP(_xlfn.CONCAT(A3,RegionSelect!$C$2),'Ssn Births'!$B:$F,2,FALSE), VLOOKUP(_xlfn.CONCAT(A3,"ET"),'Ssn Births'!$B:$F,2,FALSE))</f>
        <v>8.70935409593733E-2</v>
      </c>
      <c r="E3" s="431">
        <f>IFERROR(VLOOKUP(_xlfn.CONCAT(A3,RegionSelect!$C$2),'Ssn Malaria'!$AR:$AV,2,FALSE), VLOOKUP(_xlfn.CONCAT(A3,"ETR"),'Ssn Malaria'!$AR:$AV,2,FALSE))</f>
        <v>6.4084654318813022E-2</v>
      </c>
      <c r="F3" s="431">
        <f>IFERROR(VLOOKUP(_xlfn.CONCAT(A3,RegionSelect!C3),'Ssn Diarrhea'!B:G,2,FALSE),VLOOKUP(_xlfn.CONCAT(A3,"ET07"),'Ssn Diarrhea'!B:G,2,FALSE))</f>
        <v>0.11145199066061744</v>
      </c>
    </row>
    <row r="4" spans="1:6" x14ac:dyDescent="0.25">
      <c r="A4" t="s">
        <v>271</v>
      </c>
      <c r="B4" s="412">
        <f>IFERROR(VLOOKUP(_xlfn.CONCAT(A4,RegionSelect!$C$2),'Ssn Nutr'!$AC:$AG,2,FALSE),VLOOKUP(_xlfn.CONCAT(A4,"ET"),'Ssn Nutr'!$AC:$AG,2,FALSE))</f>
        <v>1.9271948608137045E-2</v>
      </c>
      <c r="C4" s="431">
        <f>IFERROR(VLOOKUP(_xlfn.CONCAT(A4,RegionSelect!$C$2),'Ssn TB'!$AY:$BD,2,FALSE),VLOOKUP(_xlfn.CONCAT(A4,"ET"),'Ssn TB'!$AY:$BD,2,FALSE))</f>
        <v>8.74639635450572E-2</v>
      </c>
      <c r="D4" s="412">
        <f>IFERROR(VLOOKUP(_xlfn.CONCAT(A4,RegionSelect!$C$2),'Ssn Births'!$B:$F,2,FALSE), VLOOKUP(_xlfn.CONCAT(A4,"ET"),'Ssn Births'!$B:$F,2,FALSE))</f>
        <v>8.8412160129692496E-2</v>
      </c>
      <c r="E4" s="431">
        <f>IFERROR(VLOOKUP(_xlfn.CONCAT(A4,RegionSelect!$C$2),'Ssn Malaria'!$AR:$AV,2,FALSE), VLOOKUP(_xlfn.CONCAT(A4,"ETR"),'Ssn Malaria'!$AR:$AV,2,FALSE))</f>
        <v>6.0600247743600254E-2</v>
      </c>
      <c r="F4" s="431">
        <f>IFERROR(VLOOKUP(_xlfn.CONCAT(A4,RegionSelect!C4),'Ssn Diarrhea'!B:G,2,FALSE),VLOOKUP(_xlfn.CONCAT(A4,"ET07"),'Ssn Diarrhea'!B:G,2,FALSE))</f>
        <v>0.12678985220161312</v>
      </c>
    </row>
    <row r="5" spans="1:6" x14ac:dyDescent="0.25">
      <c r="A5" t="s">
        <v>272</v>
      </c>
      <c r="B5" s="412">
        <f>IFERROR(VLOOKUP(_xlfn.CONCAT(A5,RegionSelect!$C$2),'Ssn Nutr'!$AC:$AG,2,FALSE),VLOOKUP(_xlfn.CONCAT(A5,"ET"),'Ssn Nutr'!$AC:$AG,2,FALSE))</f>
        <v>1.9271948608137045E-2</v>
      </c>
      <c r="C5" s="431">
        <f>IFERROR(VLOOKUP(_xlfn.CONCAT(A5,RegionSelect!$C$2),'Ssn TB'!$AY:$BD,2,FALSE),VLOOKUP(_xlfn.CONCAT(A5,"ET"),'Ssn TB'!$AY:$BD,2,FALSE))</f>
        <v>8.871942713661303E-2</v>
      </c>
      <c r="D5" s="412">
        <f>IFERROR(VLOOKUP(_xlfn.CONCAT(A5,RegionSelect!$C$2),'Ssn Births'!$B:$F,2,FALSE), VLOOKUP(_xlfn.CONCAT(A5,"ET"),'Ssn Births'!$B:$F,2,FALSE))</f>
        <v>8.4403739867652303E-2</v>
      </c>
      <c r="E5" s="431">
        <f>IFERROR(VLOOKUP(_xlfn.CONCAT(A5,RegionSelect!$C$2),'Ssn Malaria'!$AR:$AV,2,FALSE), VLOOKUP(_xlfn.CONCAT(A5,"ETR"),'Ssn Malaria'!$AR:$AV,2,FALSE))</f>
        <v>6.0703878213611638E-2</v>
      </c>
      <c r="F5" s="431">
        <f>IFERROR(VLOOKUP(_xlfn.CONCAT(A5,RegionSelect!C5),'Ssn Diarrhea'!B:G,2,FALSE),VLOOKUP(_xlfn.CONCAT(A5,"ET07"),'Ssn Diarrhea'!B:G,2,FALSE))</f>
        <v>0.11608174608550521</v>
      </c>
    </row>
    <row r="6" spans="1:6" x14ac:dyDescent="0.25">
      <c r="A6" t="s">
        <v>273</v>
      </c>
      <c r="B6" s="412">
        <f>IFERROR(VLOOKUP(_xlfn.CONCAT(A6,RegionSelect!$C$2),'Ssn Nutr'!$AC:$AG,2,FALSE),VLOOKUP(_xlfn.CONCAT(A6,"ET"),'Ssn Nutr'!$AC:$AG,2,FALSE))</f>
        <v>2.9978586723768741E-2</v>
      </c>
      <c r="C6" s="431">
        <f>IFERROR(VLOOKUP(_xlfn.CONCAT(A6,RegionSelect!$C$2),'Ssn TB'!$AY:$BD,2,FALSE),VLOOKUP(_xlfn.CONCAT(A6,"ET"),'Ssn TB'!$AY:$BD,2,FALSE))</f>
        <v>8.9974890728168888E-2</v>
      </c>
      <c r="D6" s="412">
        <f>IFERROR(VLOOKUP(_xlfn.CONCAT(A6,RegionSelect!$C$2),'Ssn Births'!$B:$F,2,FALSE), VLOOKUP(_xlfn.CONCAT(A6,"ET"),'Ssn Births'!$B:$F,2,FALSE))</f>
        <v>8.8117442317258002E-2</v>
      </c>
      <c r="E6" s="431">
        <f>IFERROR(VLOOKUP(_xlfn.CONCAT(A6,RegionSelect!$C$2),'Ssn Malaria'!$AR:$AV,2,FALSE), VLOOKUP(_xlfn.CONCAT(A6,"ETR"),'Ssn Malaria'!$AR:$AV,2,FALSE))</f>
        <v>6.4051402944234115E-2</v>
      </c>
      <c r="F6" s="431">
        <f>IFERROR(VLOOKUP(_xlfn.CONCAT(A6,RegionSelect!C6),'Ssn Diarrhea'!B:G,2,FALSE),VLOOKUP(_xlfn.CONCAT(A6,"ET07"),'Ssn Diarrhea'!B:G,2,FALSE))</f>
        <v>9.710943265680623E-2</v>
      </c>
    </row>
    <row r="7" spans="1:6" x14ac:dyDescent="0.25">
      <c r="A7" t="s">
        <v>274</v>
      </c>
      <c r="B7" s="412">
        <f>IFERROR(VLOOKUP(_xlfn.CONCAT(A7,RegionSelect!$C$2),'Ssn Nutr'!$AC:$AG,2,FALSE),VLOOKUP(_xlfn.CONCAT(A7,"ET"),'Ssn Nutr'!$AC:$AG,2,FALSE))</f>
        <v>2.9978586723768744E-2</v>
      </c>
      <c r="C7" s="431">
        <f>IFERROR(VLOOKUP(_xlfn.CONCAT(A7,RegionSelect!$C$2),'Ssn TB'!$AY:$BD,2,FALSE),VLOOKUP(_xlfn.CONCAT(A7,"ET"),'Ssn TB'!$AY:$BD,2,FALSE))</f>
        <v>8.6766483771970618E-2</v>
      </c>
      <c r="D7" s="412">
        <f>IFERROR(VLOOKUP(_xlfn.CONCAT(A7,RegionSelect!$C$2),'Ssn Births'!$B:$F,2,FALSE), VLOOKUP(_xlfn.CONCAT(A7,"ET"),'Ssn Births'!$B:$F,2,FALSE))</f>
        <v>8.6393880468918605E-2</v>
      </c>
      <c r="E7" s="431">
        <f>IFERROR(VLOOKUP(_xlfn.CONCAT(A7,RegionSelect!$C$2),'Ssn Malaria'!$AR:$AV,2,FALSE), VLOOKUP(_xlfn.CONCAT(A7,"ETR"),'Ssn Malaria'!$AR:$AV,2,FALSE))</f>
        <v>7.8032799832215824E-2</v>
      </c>
      <c r="F7" s="431">
        <f>IFERROR(VLOOKUP(_xlfn.CONCAT(A7,RegionSelect!C7),'Ssn Diarrhea'!B:G,2,FALSE),VLOOKUP(_xlfn.CONCAT(A7,"ET07"),'Ssn Diarrhea'!B:G,2,FALSE))</f>
        <v>7.3740198772910687E-2</v>
      </c>
    </row>
    <row r="8" spans="1:6" x14ac:dyDescent="0.25">
      <c r="A8" t="s">
        <v>275</v>
      </c>
      <c r="B8" s="412">
        <f>IFERROR(VLOOKUP(_xlfn.CONCAT(A8,RegionSelect!$C$2),'Ssn Nutr'!$AC:$AG,2,FALSE),VLOOKUP(_xlfn.CONCAT(A8,"ET"),'Ssn Nutr'!$AC:$AG,2,FALSE))</f>
        <v>3.8543897216274096E-2</v>
      </c>
      <c r="C8" s="431">
        <f>IFERROR(VLOOKUP(_xlfn.CONCAT(A8,RegionSelect!$C$2),'Ssn TB'!$AY:$BD,2,FALSE),VLOOKUP(_xlfn.CONCAT(A8,"ET"),'Ssn TB'!$AY:$BD,2,FALSE))</f>
        <v>8.3558076815772347E-2</v>
      </c>
      <c r="D8" s="412">
        <f>IFERROR(VLOOKUP(_xlfn.CONCAT(A8,RegionSelect!$C$2),'Ssn Births'!$B:$F,2,FALSE), VLOOKUP(_xlfn.CONCAT(A8,"ET"),'Ssn Births'!$B:$F,2,FALSE))</f>
        <v>8.5205006727096494E-2</v>
      </c>
      <c r="E8" s="431">
        <f>IFERROR(VLOOKUP(_xlfn.CONCAT(A8,RegionSelect!$C$2),'Ssn Malaria'!$AR:$AV,2,FALSE), VLOOKUP(_xlfn.CONCAT(A8,"ETR"),'Ssn Malaria'!$AR:$AV,2,FALSE))</f>
        <v>9.129394265165322E-2</v>
      </c>
      <c r="F8" s="431">
        <f>IFERROR(VLOOKUP(_xlfn.CONCAT(A8,RegionSelect!C8),'Ssn Diarrhea'!B:G,2,FALSE),VLOOKUP(_xlfn.CONCAT(A8,"ET07"),'Ssn Diarrhea'!B:G,2,FALSE))</f>
        <v>5.6152135281385754E-2</v>
      </c>
    </row>
    <row r="9" spans="1:6" x14ac:dyDescent="0.25">
      <c r="A9" t="s">
        <v>276</v>
      </c>
      <c r="B9" s="412">
        <f>IFERROR(VLOOKUP(_xlfn.CONCAT(A9,RegionSelect!$C$2),'Ssn Nutr'!$AC:$AG,2,FALSE),VLOOKUP(_xlfn.CONCAT(A9,"ET"),'Ssn Nutr'!$AC:$AG,2,FALSE))</f>
        <v>6.852248394004283E-2</v>
      </c>
      <c r="C9" s="431">
        <f>IFERROR(VLOOKUP(_xlfn.CONCAT(A9,RegionSelect!$C$2),'Ssn TB'!$AY:$BD,2,FALSE),VLOOKUP(_xlfn.CONCAT(A9,"ET"),'Ssn TB'!$AY:$BD,2,FALSE))</f>
        <v>8.0349669859574077E-2</v>
      </c>
      <c r="D9" s="412">
        <f>IFERROR(VLOOKUP(_xlfn.CONCAT(A9,RegionSelect!$C$2),'Ssn Births'!$B:$F,2,FALSE), VLOOKUP(_xlfn.CONCAT(A9,"ET"),'Ssn Births'!$B:$F,2,FALSE))</f>
        <v>9.1867766222212294E-2</v>
      </c>
      <c r="E9" s="431">
        <f>IFERROR(VLOOKUP(_xlfn.CONCAT(A9,RegionSelect!$C$2),'Ssn Malaria'!$AR:$AV,2,FALSE), VLOOKUP(_xlfn.CONCAT(A9,"ETR"),'Ssn Malaria'!$AR:$AV,2,FALSE))</f>
        <v>7.2674867820140321E-2</v>
      </c>
      <c r="F9" s="431">
        <f>IFERROR(VLOOKUP(_xlfn.CONCAT(A9,RegionSelect!C9),'Ssn Diarrhea'!B:G,2,FALSE),VLOOKUP(_xlfn.CONCAT(A9,"ET07"),'Ssn Diarrhea'!B:G,2,FALSE))</f>
        <v>5.7572990687490763E-2</v>
      </c>
    </row>
    <row r="10" spans="1:6" x14ac:dyDescent="0.25">
      <c r="A10" t="s">
        <v>277</v>
      </c>
      <c r="B10" s="412">
        <f>IFERROR(VLOOKUP(_xlfn.CONCAT(A10,RegionSelect!$C$2),'Ssn Nutr'!$AC:$AG,2,FALSE),VLOOKUP(_xlfn.CONCAT(A10,"ET"),'Ssn Nutr'!$AC:$AG,2,FALSE))</f>
        <v>0.10706638115631693</v>
      </c>
      <c r="C10" s="431">
        <f>IFERROR(VLOOKUP(_xlfn.CONCAT(A10,RegionSelect!$C$2),'Ssn TB'!$AY:$BD,2,FALSE),VLOOKUP(_xlfn.CONCAT(A10,"ET"),'Ssn TB'!$AY:$BD,2,FALSE))</f>
        <v>7.9233702222635552E-2</v>
      </c>
      <c r="D10" s="412">
        <f>IFERROR(VLOOKUP(_xlfn.CONCAT(A10,RegionSelect!$C$2),'Ssn Births'!$B:$F,2,FALSE), VLOOKUP(_xlfn.CONCAT(A10,"ET"),'Ssn Births'!$B:$F,2,FALSE))</f>
        <v>8.3208753466405896E-2</v>
      </c>
      <c r="E10" s="431">
        <f>IFERROR(VLOOKUP(_xlfn.CONCAT(A10,RegionSelect!$C$2),'Ssn Malaria'!$AR:$AV,2,FALSE), VLOOKUP(_xlfn.CONCAT(A10,"ETR"),'Ssn Malaria'!$AR:$AV,2,FALSE))</f>
        <v>9.393164701025386E-2</v>
      </c>
      <c r="F10" s="431">
        <f>IFERROR(VLOOKUP(_xlfn.CONCAT(A10,RegionSelect!C10),'Ssn Diarrhea'!B:G,2,FALSE),VLOOKUP(_xlfn.CONCAT(A10,"ET07"),'Ssn Diarrhea'!B:G,2,FALSE))</f>
        <v>5.5517049192932967E-2</v>
      </c>
    </row>
    <row r="11" spans="1:6" x14ac:dyDescent="0.25">
      <c r="A11" t="s">
        <v>278</v>
      </c>
      <c r="B11" s="412">
        <f>IFERROR(VLOOKUP(_xlfn.CONCAT(A11,RegionSelect!$C$2),'Ssn Nutr'!$AC:$AG,2,FALSE),VLOOKUP(_xlfn.CONCAT(A11,"ET"),'Ssn Nutr'!$AC:$AG,2,FALSE))</f>
        <v>0.15417558886509636</v>
      </c>
      <c r="C11" s="431">
        <f>IFERROR(VLOOKUP(_xlfn.CONCAT(A11,RegionSelect!$C$2),'Ssn TB'!$AY:$BD,2,FALSE),VLOOKUP(_xlfn.CONCAT(A11,"ET"),'Ssn TB'!$AY:$BD,2,FALSE))</f>
        <v>7.8117734585697027E-2</v>
      </c>
      <c r="D11" s="412">
        <f>IFERROR(VLOOKUP(_xlfn.CONCAT(A11,RegionSelect!$C$2),'Ssn Births'!$B:$F,2,FALSE), VLOOKUP(_xlfn.CONCAT(A11,"ET"),'Ssn Births'!$B:$F,2,FALSE))</f>
        <v>7.3805667224914301E-2</v>
      </c>
      <c r="E11" s="431">
        <f>IFERROR(VLOOKUP(_xlfn.CONCAT(A11,RegionSelect!$C$2),'Ssn Malaria'!$AR:$AV,2,FALSE), VLOOKUP(_xlfn.CONCAT(A11,"ETR"),'Ssn Malaria'!$AR:$AV,2,FALSE))</f>
        <v>0.1277403545528342</v>
      </c>
      <c r="F11" s="431">
        <f>IFERROR(VLOOKUP(_xlfn.CONCAT(A11,RegionSelect!C11),'Ssn Diarrhea'!B:G,2,FALSE),VLOOKUP(_xlfn.CONCAT(A11,"ET07"),'Ssn Diarrhea'!B:G,2,FALSE))</f>
        <v>5.6351548258912781E-2</v>
      </c>
    </row>
    <row r="12" spans="1:6" x14ac:dyDescent="0.25">
      <c r="A12" t="s">
        <v>279</v>
      </c>
      <c r="B12" s="412">
        <f>IFERROR(VLOOKUP(_xlfn.CONCAT(A12,RegionSelect!$C$2),'Ssn Nutr'!$AC:$AG,2,FALSE),VLOOKUP(_xlfn.CONCAT(A12,"ET"),'Ssn Nutr'!$AC:$AG,2,FALSE))</f>
        <v>0.14561027837259102</v>
      </c>
      <c r="C12" s="431">
        <f>IFERROR(VLOOKUP(_xlfn.CONCAT(A12,RegionSelect!$C$2),'Ssn TB'!$AY:$BD,2,FALSE),VLOOKUP(_xlfn.CONCAT(A12,"ET"),'Ssn TB'!$AY:$BD,2,FALSE))</f>
        <v>7.7001766948758502E-2</v>
      </c>
      <c r="D12" s="412">
        <f>IFERROR(VLOOKUP(_xlfn.CONCAT(A12,RegionSelect!$C$2),'Ssn Births'!$B:$F,2,FALSE), VLOOKUP(_xlfn.CONCAT(A12,"ET"),'Ssn Births'!$B:$F,2,FALSE))</f>
        <v>7.5192895334018697E-2</v>
      </c>
      <c r="E12" s="431">
        <f>IFERROR(VLOOKUP(_xlfn.CONCAT(A12,RegionSelect!$C$2),'Ssn Malaria'!$AR:$AV,2,FALSE), VLOOKUP(_xlfn.CONCAT(A12,"ETR"),'Ssn Malaria'!$AR:$AV,2,FALSE))</f>
        <v>0.13255239757366111</v>
      </c>
      <c r="F12" s="431">
        <f>IFERROR(VLOOKUP(_xlfn.CONCAT(A12,RegionSelect!C12),'Ssn Diarrhea'!B:G,2,FALSE),VLOOKUP(_xlfn.CONCAT(A12,"ET07"),'Ssn Diarrhea'!B:G,2,FALSE))</f>
        <v>6.8327289554465973E-2</v>
      </c>
    </row>
    <row r="13" spans="1:6" x14ac:dyDescent="0.25">
      <c r="A13" t="s">
        <v>280</v>
      </c>
      <c r="B13" s="412">
        <f>IFERROR(VLOOKUP(_xlfn.CONCAT(A13,RegionSelect!$C$2),'Ssn Nutr'!$AC:$AG,2,FALSE),VLOOKUP(_xlfn.CONCAT(A13,"ET"),'Ssn Nutr'!$AC:$AG,2,FALSE))</f>
        <v>0.15417558886509636</v>
      </c>
      <c r="C13" s="431">
        <f>IFERROR(VLOOKUP(_xlfn.CONCAT(A13,RegionSelect!$C$2),'Ssn TB'!$AY:$BD,2,FALSE),VLOOKUP(_xlfn.CONCAT(A13,"ET"),'Ssn TB'!$AY:$BD,2,FALSE))</f>
        <v>8.0070677950339453E-2</v>
      </c>
      <c r="D13" s="412">
        <f>IFERROR(VLOOKUP(_xlfn.CONCAT(A13,RegionSelect!$C$2),'Ssn Births'!$B:$F,2,FALSE), VLOOKUP(_xlfn.CONCAT(A13,"ET"),'Ssn Births'!$B:$F,2,FALSE))</f>
        <v>6.2830854294664104E-2</v>
      </c>
      <c r="E13" s="431">
        <f>IFERROR(VLOOKUP(_xlfn.CONCAT(A13,RegionSelect!$C$2),'Ssn Malaria'!$AR:$AV,2,FALSE), VLOOKUP(_xlfn.CONCAT(A13,"ETR"),'Ssn Malaria'!$AR:$AV,2,FALSE))</f>
        <v>8.7397325271139303E-2</v>
      </c>
      <c r="F13" s="431">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5" x14ac:dyDescent="0.25"/>
  <cols>
    <col min="1" max="1" width="13.5703125" customWidth="1"/>
    <col min="2" max="2" width="31.42578125" bestFit="1" customWidth="1"/>
    <col min="3" max="3" width="11.28515625" bestFit="1" customWidth="1"/>
    <col min="10" max="10" width="7.42578125" customWidth="1"/>
  </cols>
  <sheetData>
    <row r="1" spans="1:9" x14ac:dyDescent="0.25">
      <c r="A1" t="s">
        <v>281</v>
      </c>
      <c r="B1" t="s">
        <v>101</v>
      </c>
      <c r="C1" t="s">
        <v>282</v>
      </c>
      <c r="D1" t="s">
        <v>283</v>
      </c>
      <c r="E1" t="s">
        <v>284</v>
      </c>
      <c r="F1" t="s">
        <v>285</v>
      </c>
      <c r="G1" t="s">
        <v>286</v>
      </c>
      <c r="H1" t="s">
        <v>2063</v>
      </c>
      <c r="I1" t="s">
        <v>2064</v>
      </c>
    </row>
    <row r="2" spans="1:9" x14ac:dyDescent="0.25">
      <c r="A2" t="s">
        <v>2166</v>
      </c>
      <c r="B2" t="s">
        <v>2168</v>
      </c>
      <c r="C2" t="s">
        <v>288</v>
      </c>
      <c r="D2">
        <v>-7</v>
      </c>
      <c r="E2">
        <v>-5</v>
      </c>
      <c r="F2">
        <v>-3</v>
      </c>
      <c r="G2">
        <v>-1</v>
      </c>
    </row>
    <row r="3" spans="1:9" x14ac:dyDescent="0.25">
      <c r="A3" t="s">
        <v>2199</v>
      </c>
      <c r="B3" t="s">
        <v>2174</v>
      </c>
      <c r="C3" t="s">
        <v>288</v>
      </c>
      <c r="D3">
        <v>-4</v>
      </c>
    </row>
    <row r="4" spans="1:9" x14ac:dyDescent="0.25">
      <c r="A4" t="s">
        <v>2180</v>
      </c>
      <c r="B4" t="s">
        <v>2177</v>
      </c>
      <c r="C4" t="s">
        <v>288</v>
      </c>
      <c r="D4">
        <v>0</v>
      </c>
    </row>
    <row r="5" spans="1:9" x14ac:dyDescent="0.25">
      <c r="A5" t="s">
        <v>2182</v>
      </c>
      <c r="B5" t="s">
        <v>2178</v>
      </c>
      <c r="C5" t="s">
        <v>288</v>
      </c>
      <c r="D5">
        <v>0</v>
      </c>
    </row>
    <row r="6" spans="1:9" x14ac:dyDescent="0.25">
      <c r="A6" t="s">
        <v>2181</v>
      </c>
      <c r="B6" t="s">
        <v>2176</v>
      </c>
      <c r="C6" t="s">
        <v>288</v>
      </c>
      <c r="D6">
        <v>0</v>
      </c>
    </row>
    <row r="7" spans="1:9" x14ac:dyDescent="0.25">
      <c r="A7" t="s">
        <v>2632</v>
      </c>
      <c r="B7" t="s">
        <v>290</v>
      </c>
      <c r="C7" t="s">
        <v>288</v>
      </c>
      <c r="D7">
        <v>0</v>
      </c>
      <c r="E7">
        <v>1</v>
      </c>
    </row>
    <row r="8" spans="1:9" x14ac:dyDescent="0.25">
      <c r="A8" t="s">
        <v>2192</v>
      </c>
      <c r="B8" t="s">
        <v>292</v>
      </c>
      <c r="C8" t="s">
        <v>288</v>
      </c>
      <c r="D8">
        <v>1</v>
      </c>
      <c r="E8">
        <v>2</v>
      </c>
    </row>
    <row r="9" spans="1:9" x14ac:dyDescent="0.25">
      <c r="A9" t="s">
        <v>2193</v>
      </c>
      <c r="B9" t="s">
        <v>2188</v>
      </c>
      <c r="C9" t="s">
        <v>288</v>
      </c>
      <c r="D9">
        <v>1</v>
      </c>
    </row>
    <row r="10" spans="1:9" x14ac:dyDescent="0.25">
      <c r="A10" t="s">
        <v>2261</v>
      </c>
      <c r="B10" t="s">
        <v>178</v>
      </c>
      <c r="C10" t="s">
        <v>288</v>
      </c>
      <c r="D10" s="5">
        <v>4</v>
      </c>
      <c r="E10" s="5">
        <v>6</v>
      </c>
      <c r="F10" s="5">
        <v>9</v>
      </c>
      <c r="G10" s="5">
        <v>12</v>
      </c>
    </row>
    <row r="11" spans="1:9" x14ac:dyDescent="0.25">
      <c r="A11" t="s">
        <v>2262</v>
      </c>
      <c r="B11" t="s">
        <v>181</v>
      </c>
      <c r="C11" t="s">
        <v>288</v>
      </c>
      <c r="D11">
        <v>15</v>
      </c>
    </row>
    <row r="12" spans="1:9" x14ac:dyDescent="0.25">
      <c r="A12" t="s">
        <v>2227</v>
      </c>
      <c r="B12" t="s">
        <v>2225</v>
      </c>
      <c r="C12" t="s">
        <v>288</v>
      </c>
      <c r="D12" s="5">
        <v>6</v>
      </c>
      <c r="E12" s="5">
        <v>8</v>
      </c>
      <c r="F12" s="5">
        <v>10</v>
      </c>
      <c r="I12" s="234"/>
    </row>
    <row r="13" spans="1:9" x14ac:dyDescent="0.25">
      <c r="A13" t="s">
        <v>2673</v>
      </c>
      <c r="B13" t="s">
        <v>2308</v>
      </c>
      <c r="C13" t="s">
        <v>191</v>
      </c>
      <c r="D13">
        <v>0</v>
      </c>
      <c r="E13" s="5">
        <v>3</v>
      </c>
    </row>
    <row r="14" spans="1:9" x14ac:dyDescent="0.25">
      <c r="A14" t="s">
        <v>2637</v>
      </c>
      <c r="B14" t="s">
        <v>2221</v>
      </c>
      <c r="C14" t="s">
        <v>191</v>
      </c>
      <c r="D14">
        <v>0</v>
      </c>
      <c r="E14" s="5">
        <v>1</v>
      </c>
      <c r="F14" s="5">
        <v>2</v>
      </c>
      <c r="G14" s="5">
        <v>3</v>
      </c>
    </row>
    <row r="15" spans="1:9" x14ac:dyDescent="0.25">
      <c r="A15" t="s">
        <v>2638</v>
      </c>
      <c r="B15" t="s">
        <v>2220</v>
      </c>
      <c r="C15" t="s">
        <v>191</v>
      </c>
      <c r="D15">
        <v>0</v>
      </c>
      <c r="E15" s="5">
        <v>1</v>
      </c>
    </row>
    <row r="16" spans="1:9" x14ac:dyDescent="0.25">
      <c r="A16" t="s">
        <v>2356</v>
      </c>
      <c r="B16" t="s">
        <v>2361</v>
      </c>
      <c r="C16" t="s">
        <v>69</v>
      </c>
      <c r="D16">
        <v>0</v>
      </c>
    </row>
    <row r="17" spans="1:4" x14ac:dyDescent="0.25">
      <c r="A17" t="s">
        <v>2357</v>
      </c>
      <c r="B17" t="s">
        <v>2362</v>
      </c>
      <c r="C17" t="s">
        <v>69</v>
      </c>
      <c r="D17">
        <v>0</v>
      </c>
    </row>
    <row r="18" spans="1:4" x14ac:dyDescent="0.25">
      <c r="A18" t="s">
        <v>2360</v>
      </c>
      <c r="B18" t="s">
        <v>2363</v>
      </c>
      <c r="C18" t="s">
        <v>69</v>
      </c>
      <c r="D18">
        <v>0</v>
      </c>
    </row>
    <row r="19" spans="1:4" x14ac:dyDescent="0.25">
      <c r="A19" t="s">
        <v>2358</v>
      </c>
      <c r="B19" t="s">
        <v>2364</v>
      </c>
      <c r="C19" t="s">
        <v>69</v>
      </c>
      <c r="D19">
        <v>0</v>
      </c>
    </row>
    <row r="20" spans="1:4" x14ac:dyDescent="0.25">
      <c r="A20" t="s">
        <v>2359</v>
      </c>
      <c r="B20" t="s">
        <v>2365</v>
      </c>
      <c r="C20" t="s">
        <v>69</v>
      </c>
      <c r="D20">
        <v>0</v>
      </c>
    </row>
    <row r="21" spans="1:4" x14ac:dyDescent="0.25">
      <c r="A21" t="s">
        <v>2375</v>
      </c>
      <c r="B21" t="s">
        <v>2377</v>
      </c>
      <c r="C21" t="s">
        <v>268</v>
      </c>
      <c r="D21">
        <v>0</v>
      </c>
    </row>
    <row r="22" spans="1:4" x14ac:dyDescent="0.25">
      <c r="A22" t="s">
        <v>2376</v>
      </c>
      <c r="B22" t="s">
        <v>2378</v>
      </c>
      <c r="C22" t="s">
        <v>268</v>
      </c>
      <c r="D22">
        <v>0</v>
      </c>
    </row>
    <row r="23" spans="1:4" x14ac:dyDescent="0.25">
      <c r="A23" s="64" t="s">
        <v>2228</v>
      </c>
      <c r="B23" s="58" t="s">
        <v>171</v>
      </c>
      <c r="C23" t="s">
        <v>171</v>
      </c>
      <c r="D2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85"/>
  <sheetViews>
    <sheetView zoomScale="70" zoomScaleNormal="70" workbookViewId="0">
      <pane ySplit="1" topLeftCell="A2" activePane="bottomLeft" state="frozen"/>
      <selection activeCell="O195" sqref="O195"/>
      <selection pane="bottomLeft" activeCell="A2" sqref="A2"/>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2778</v>
      </c>
      <c r="B1" s="325" t="s">
        <v>2779</v>
      </c>
      <c r="C1" s="325" t="s">
        <v>1012</v>
      </c>
      <c r="D1" s="325" t="s">
        <v>2780</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2164</v>
      </c>
      <c r="B2" s="355" t="s">
        <v>2165</v>
      </c>
      <c r="C2" s="356" t="s">
        <v>153</v>
      </c>
      <c r="D2" s="353">
        <v>1</v>
      </c>
      <c r="E2" s="64" t="s">
        <v>2166</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Ethiopia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2164</v>
      </c>
      <c r="B3" s="355" t="s">
        <v>2165</v>
      </c>
      <c r="C3" s="356" t="s">
        <v>153</v>
      </c>
      <c r="D3" s="353">
        <v>2</v>
      </c>
      <c r="E3" s="64" t="s">
        <v>2199</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Ethiopia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5" t="s">
        <v>2164</v>
      </c>
      <c r="B4" s="355" t="s">
        <v>2165</v>
      </c>
      <c r="C4" s="356" t="s">
        <v>2175</v>
      </c>
      <c r="D4" s="353">
        <v>3</v>
      </c>
      <c r="E4" s="64" t="s">
        <v>2180</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Ethiopia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25">
      <c r="A5" s="355" t="s">
        <v>2164</v>
      </c>
      <c r="B5" s="355" t="s">
        <v>2165</v>
      </c>
      <c r="C5" s="356" t="s">
        <v>2175</v>
      </c>
      <c r="D5" s="353">
        <v>4</v>
      </c>
      <c r="E5" s="64" t="s">
        <v>2181</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Ethiopia</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25">
      <c r="A6" s="355" t="s">
        <v>2164</v>
      </c>
      <c r="B6" s="355" t="s">
        <v>2165</v>
      </c>
      <c r="C6" s="356" t="s">
        <v>2175</v>
      </c>
      <c r="D6" s="353">
        <v>5</v>
      </c>
      <c r="E6" s="64" t="s">
        <v>2182</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Ethiopia</v>
      </c>
      <c r="L6" s="195">
        <f>IF(VLOOKUP($E6,TaskValues_ref!$E:$Z,11,FALSE)=0,"",VLOOKUP($E6,TaskValues_ref!$E:$Z,11,FALSE))</f>
        <v>0.1902111301461854</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25">
      <c r="A7" s="355" t="s">
        <v>2164</v>
      </c>
      <c r="B7" s="355" t="s">
        <v>2165</v>
      </c>
      <c r="C7" s="356" t="s">
        <v>2175</v>
      </c>
      <c r="D7" s="353">
        <v>6</v>
      </c>
      <c r="E7" s="64" t="s">
        <v>2183</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Ethiopia</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5" t="s">
        <v>2164</v>
      </c>
      <c r="B8" s="355" t="s">
        <v>2165</v>
      </c>
      <c r="C8" s="356" t="s">
        <v>2186</v>
      </c>
      <c r="D8" s="353">
        <v>7</v>
      </c>
      <c r="E8" s="64" t="s">
        <v>2192</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Ethiopia</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25">
      <c r="A9" s="355" t="s">
        <v>2164</v>
      </c>
      <c r="B9" s="355" t="s">
        <v>2165</v>
      </c>
      <c r="C9" s="356" t="s">
        <v>2186</v>
      </c>
      <c r="D9" s="353">
        <v>8</v>
      </c>
      <c r="E9" s="64" t="s">
        <v>2193</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Ethiopia</v>
      </c>
      <c r="L9" s="195">
        <f>IF(VLOOKUP($E9,TaskValues_ref!$E:$Z,11,FALSE)=0,"",VLOOKUP($E9,TaskValues_ref!$E:$Z,11,FALSE))</f>
        <v>0.14810000000000001</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25">
      <c r="A10" s="355" t="s">
        <v>2164</v>
      </c>
      <c r="B10" s="355" t="s">
        <v>2165</v>
      </c>
      <c r="C10" s="356" t="s">
        <v>2186</v>
      </c>
      <c r="D10" s="353">
        <v>9</v>
      </c>
      <c r="E10" s="64" t="s">
        <v>2194</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Ethiopia</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25">
      <c r="A11" s="355" t="s">
        <v>2164</v>
      </c>
      <c r="B11" s="355" t="s">
        <v>2165</v>
      </c>
      <c r="C11" s="356" t="s">
        <v>2186</v>
      </c>
      <c r="D11" s="353">
        <v>10</v>
      </c>
      <c r="E11" s="64" t="s">
        <v>2195</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Ethiopia</v>
      </c>
      <c r="L11" s="195">
        <f>IF(VLOOKUP($E11,TaskValues_ref!$E:$Z,11,FALSE)=0,"",VLOOKUP($E11,TaskValues_ref!$E:$Z,11,FALSE))</f>
        <v>8.2400000000000001E-2</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25">
      <c r="A12" s="355" t="s">
        <v>2164</v>
      </c>
      <c r="B12" s="355" t="s">
        <v>2165</v>
      </c>
      <c r="C12" s="356" t="s">
        <v>2186</v>
      </c>
      <c r="D12" s="353">
        <v>11</v>
      </c>
      <c r="E12" s="64" t="s">
        <v>2203</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Ethiopia</v>
      </c>
      <c r="L12" s="195">
        <f>IF(VLOOKUP($E12,TaskValues_ref!$E:$Z,11,FALSE)=0,"",VLOOKUP($E12,TaskValues_ref!$E:$Z,11,FALSE))</f>
        <v>8.2400000000000001E-2</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25">
      <c r="A13" s="355" t="s">
        <v>2164</v>
      </c>
      <c r="B13" s="355" t="s">
        <v>2165</v>
      </c>
      <c r="C13" s="356" t="s">
        <v>2207</v>
      </c>
      <c r="D13" s="353">
        <v>12</v>
      </c>
      <c r="E13" s="64" t="s">
        <v>2208</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Ethiopia</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5" t="s">
        <v>2164</v>
      </c>
      <c r="B14" s="355" t="s">
        <v>2165</v>
      </c>
      <c r="C14" s="356" t="s">
        <v>2207</v>
      </c>
      <c r="D14" s="353">
        <v>13</v>
      </c>
      <c r="E14" s="64" t="s">
        <v>2770</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Ethiopia</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25">
      <c r="A15" s="355" t="s">
        <v>2164</v>
      </c>
      <c r="B15" s="355" t="s">
        <v>2165</v>
      </c>
      <c r="C15" s="356" t="s">
        <v>2207</v>
      </c>
      <c r="D15" s="353">
        <v>14</v>
      </c>
      <c r="E15" s="64" t="s">
        <v>2771</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Ethiopia</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25">
      <c r="A16" s="355" t="s">
        <v>2164</v>
      </c>
      <c r="B16" s="356" t="s">
        <v>2214</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Ethiopia</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25">
      <c r="A17" s="355" t="s">
        <v>2164</v>
      </c>
      <c r="B17" s="356" t="s">
        <v>2214</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Ethiopia</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25">
      <c r="A18" s="355" t="s">
        <v>2164</v>
      </c>
      <c r="B18" s="356" t="s">
        <v>2214</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Ethiopia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5" t="s">
        <v>2164</v>
      </c>
      <c r="B19" s="356" t="s">
        <v>2214</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Ethiopia</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5" t="s">
        <v>2164</v>
      </c>
      <c r="B20" s="356" t="s">
        <v>2214</v>
      </c>
      <c r="C20" s="356"/>
      <c r="D20" s="353">
        <v>19</v>
      </c>
      <c r="E20" s="64" t="s">
        <v>2226</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Ethiopia</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2164</v>
      </c>
      <c r="B21" s="356" t="s">
        <v>2214</v>
      </c>
      <c r="C21" s="356"/>
      <c r="D21" s="353">
        <v>19</v>
      </c>
      <c r="E21" s="64" t="s">
        <v>2228</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Ethiopia</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2164</v>
      </c>
      <c r="B22" s="356" t="s">
        <v>2214</v>
      </c>
      <c r="C22" s="356"/>
      <c r="D22" s="353">
        <v>19</v>
      </c>
      <c r="E22" s="64" t="s">
        <v>2229</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Ethiopia</v>
      </c>
      <c r="L22" s="195">
        <f>IF(VLOOKUP($E22,TaskValues_ref!$E:$Z,11,FALSE)=0,"",VLOOKUP($E22,TaskValues_ref!$E:$Z,11,FALSE))</f>
        <v>0.46090000000000003</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25">
      <c r="A23" s="355" t="s">
        <v>2164</v>
      </c>
      <c r="B23" s="356" t="s">
        <v>2214</v>
      </c>
      <c r="C23" s="356"/>
      <c r="D23" s="353">
        <v>19</v>
      </c>
      <c r="E23" s="64" t="s">
        <v>2831</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Ethiopia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25">
      <c r="A24" s="355" t="s">
        <v>2164</v>
      </c>
      <c r="B24" s="356" t="s">
        <v>2214</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t="str">
        <f>VLOOKUP($E24,TaskValues_ref!$E:$Z,6,FALSE)</f>
        <v>-</v>
      </c>
      <c r="K24" s="321" t="str">
        <f>VLOOKUP($E24,TaskValues_ref!$E:$Z,10,FALSE)</f>
        <v>Ethiopia</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25">
      <c r="A25" s="355" t="s">
        <v>2164</v>
      </c>
      <c r="B25" s="356" t="s">
        <v>2214</v>
      </c>
      <c r="C25" s="356"/>
      <c r="D25" s="353">
        <v>21</v>
      </c>
      <c r="E25" s="64" t="s">
        <v>2227</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Ethiopia</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25">
      <c r="A26" s="355" t="s">
        <v>2164</v>
      </c>
      <c r="B26" s="356" t="s">
        <v>2214</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Ethiopia</v>
      </c>
      <c r="L26" s="195">
        <f>IF(VLOOKUP($E26,TaskValues_ref!$E:$Z,11,FALSE)=0,"",VLOOKUP($E26,TaskValues_ref!$E:$Z,11,FALSE))</f>
        <v>0.124</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25">
      <c r="A27" s="355" t="s">
        <v>2164</v>
      </c>
      <c r="B27" s="356" t="s">
        <v>2214</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Ethiopia</v>
      </c>
      <c r="L27" s="195">
        <f>IF(VLOOKUP($E27,TaskValues_ref!$E:$Z,11,FALSE)=0,"",VLOOKUP($E27,TaskValues_ref!$E:$Z,11,FALSE))</f>
        <v>0.36799999999999999</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25">
      <c r="A28" s="355" t="s">
        <v>2164</v>
      </c>
      <c r="B28" s="356" t="s">
        <v>2214</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Ethiopia</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25">
      <c r="A29" s="355" t="s">
        <v>2164</v>
      </c>
      <c r="B29" s="356" t="s">
        <v>2214</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Ethiopia</v>
      </c>
      <c r="L29" s="195">
        <f>IF(VLOOKUP($E29,TaskValues_ref!$E:$Z,11,FALSE)=0,"",VLOOKUP($E29,TaskValues_ref!$E:$Z,11,FALSE))</f>
        <v>3.5000000000000001E-3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5" t="s">
        <v>2164</v>
      </c>
      <c r="B30" s="356" t="s">
        <v>2214</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Ethiopia</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25">
      <c r="A31" s="355" t="s">
        <v>2164</v>
      </c>
      <c r="B31" s="356" t="s">
        <v>2214</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Ethiopia</v>
      </c>
      <c r="L31" s="195">
        <f>IF(VLOOKUP($E31,TaskValues_ref!$E:$Z,11,FALSE)=0,"",VLOOKUP($E31,TaskValues_ref!$E:$Z,11,FALSE))</f>
        <v>3.3599999999999998E-2</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5" t="s">
        <v>2164</v>
      </c>
      <c r="B32" s="356" t="s">
        <v>2214</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Ethiopia</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25">
      <c r="A33" s="355" t="s">
        <v>2164</v>
      </c>
      <c r="B33" s="356" t="s">
        <v>2214</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Ethiopia</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25">
      <c r="A34" s="355" t="s">
        <v>2164</v>
      </c>
      <c r="B34" s="356" t="s">
        <v>2236</v>
      </c>
      <c r="C34" s="356"/>
      <c r="D34" s="353">
        <v>31</v>
      </c>
      <c r="E34" s="64" t="s">
        <v>2254</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Ethiopia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2164</v>
      </c>
      <c r="B35" s="356" t="s">
        <v>2236</v>
      </c>
      <c r="C35" s="356"/>
      <c r="D35" s="353">
        <v>32</v>
      </c>
      <c r="E35" s="64" t="s">
        <v>2260</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Ethiopia</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2164</v>
      </c>
      <c r="B36" s="356" t="s">
        <v>2236</v>
      </c>
      <c r="C36" s="356"/>
      <c r="D36" s="353">
        <v>32</v>
      </c>
      <c r="E36" s="64" t="s">
        <v>2261</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Ethiopia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25">
      <c r="A37" s="355" t="s">
        <v>2164</v>
      </c>
      <c r="B37" s="356" t="s">
        <v>2236</v>
      </c>
      <c r="C37" s="356"/>
      <c r="D37" s="353">
        <v>32</v>
      </c>
      <c r="E37" s="64" t="s">
        <v>2262</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Ethiopia</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25">
      <c r="A38" s="355" t="s">
        <v>2164</v>
      </c>
      <c r="B38" s="356" t="s">
        <v>2236</v>
      </c>
      <c r="C38" s="356"/>
      <c r="D38" s="353">
        <v>32</v>
      </c>
      <c r="E38" s="64" t="s">
        <v>2263</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Ethiopia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5" t="s">
        <v>2164</v>
      </c>
      <c r="B39" s="356" t="s">
        <v>2236</v>
      </c>
      <c r="C39" s="356"/>
      <c r="D39" s="353">
        <v>33</v>
      </c>
      <c r="E39" s="64" t="s">
        <v>2255</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Ethiopia</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25">
      <c r="A40" s="355" t="s">
        <v>2164</v>
      </c>
      <c r="B40" s="356" t="s">
        <v>2236</v>
      </c>
      <c r="C40" s="356"/>
      <c r="D40" s="353">
        <v>34</v>
      </c>
      <c r="E40" s="64" t="s">
        <v>2256</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Ethiopia</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5" t="s">
        <v>2164</v>
      </c>
      <c r="B41" s="356" t="s">
        <v>2236</v>
      </c>
      <c r="C41" s="356"/>
      <c r="D41" s="353">
        <v>35</v>
      </c>
      <c r="E41" s="64" t="s">
        <v>2257</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Ethiopia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5" t="s">
        <v>2164</v>
      </c>
      <c r="B42" s="356" t="s">
        <v>2236</v>
      </c>
      <c r="C42" s="356"/>
      <c r="D42" s="353">
        <v>36</v>
      </c>
      <c r="E42" s="64" t="s">
        <v>2258</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Ethiopia</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25">
      <c r="A43" s="355" t="s">
        <v>2164</v>
      </c>
      <c r="B43" s="356" t="s">
        <v>2236</v>
      </c>
      <c r="C43" s="356"/>
      <c r="D43" s="353">
        <v>37</v>
      </c>
      <c r="E43" s="64" t="s">
        <v>2259</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Ethiopia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5" t="s">
        <v>2164</v>
      </c>
      <c r="B44" s="356" t="s">
        <v>2267</v>
      </c>
      <c r="C44" s="356"/>
      <c r="D44" s="353">
        <v>38</v>
      </c>
      <c r="E44" s="64" t="s">
        <v>2294</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Ethiopia</v>
      </c>
      <c r="L44" s="195">
        <f>IF(VLOOKUP($E44,TaskValues_ref!$E:$Z,11,FALSE)=0,"",VLOOKUP($E44,TaskValues_ref!$E:$Z,11,FALSE))</f>
        <v>0.40500000000000003</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25">
      <c r="A45" s="355" t="s">
        <v>2164</v>
      </c>
      <c r="B45" s="356" t="s">
        <v>2267</v>
      </c>
      <c r="C45" s="356"/>
      <c r="D45" s="353">
        <v>38</v>
      </c>
      <c r="E45" s="64" t="s">
        <v>2295</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Ethiopia</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25">
      <c r="A46" s="355" t="s">
        <v>2164</v>
      </c>
      <c r="B46" s="356" t="s">
        <v>2267</v>
      </c>
      <c r="C46" s="356"/>
      <c r="D46" s="353">
        <v>38</v>
      </c>
      <c r="E46" s="64" t="s">
        <v>2296</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Ethiopia</v>
      </c>
      <c r="L46" s="195">
        <f>IF(VLOOKUP($E46,TaskValues_ref!$E:$Z,11,FALSE)=0,"",VLOOKUP($E46,TaskValues_ref!$E:$Z,11,FALSE))</f>
        <v>1.9911686746987955E-2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25">
      <c r="A47" s="355" t="s">
        <v>2164</v>
      </c>
      <c r="B47" s="356" t="s">
        <v>2267</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Ethiopia</v>
      </c>
      <c r="L47" s="195">
        <f>IF(VLOOKUP($E47,TaskValues_ref!$E:$Z,11,FALSE)=0,"",VLOOKUP($E47,TaskValues_ref!$E:$Z,11,FALSE))</f>
        <v>0.27813253012048195</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25">
      <c r="A48" s="355" t="s">
        <v>2164</v>
      </c>
      <c r="B48" s="356" t="s">
        <v>2267</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Ethiopia</v>
      </c>
      <c r="L48" s="195">
        <f>IF(VLOOKUP($E48,TaskValues_ref!$E:$Z,11,FALSE)=0,"",VLOOKUP($E48,TaskValues_ref!$E:$Z,11,FALSE))</f>
        <v>0.11548192771084338</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25">
      <c r="A49" s="355" t="s">
        <v>2164</v>
      </c>
      <c r="B49" s="356" t="s">
        <v>2267</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Ethiopia</v>
      </c>
      <c r="L49" s="195">
        <f>IF(VLOOKUP($E49,TaskValues_ref!$E:$Z,11,FALSE)=0,"",VLOOKUP($E49,TaskValues_ref!$E:$Z,11,FALSE))</f>
        <v>0.11548192771084338</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25">
      <c r="A50" s="355" t="s">
        <v>2164</v>
      </c>
      <c r="B50" s="356" t="s">
        <v>2267</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Ethiopia</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25">
      <c r="A51" s="355" t="s">
        <v>2164</v>
      </c>
      <c r="B51" s="356" t="s">
        <v>2267</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Ethiopia</v>
      </c>
      <c r="L51" s="195">
        <f>IF(VLOOKUP($E51,TaskValues_ref!$E:$Z,11,FALSE)=0,"",VLOOKUP($E51,TaskValues_ref!$E:$Z,11,FALSE))</f>
        <v>9.6000000000000002E-2</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25">
      <c r="A52" s="355" t="s">
        <v>2164</v>
      </c>
      <c r="B52" s="356" t="s">
        <v>2267</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Ethiopia</v>
      </c>
      <c r="L52" s="195">
        <f>IF(VLOOKUP($E52,TaskValues_ref!$E:$Z,11,FALSE)=0,"",VLOOKUP($E52,TaskValues_ref!$E:$Z,11,FALSE))</f>
        <v>9.6000000000000002E-2</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25">
      <c r="A53" s="355" t="s">
        <v>2164</v>
      </c>
      <c r="B53" s="356" t="s">
        <v>2267</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Ethiopia</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5" t="s">
        <v>2164</v>
      </c>
      <c r="B54" s="356" t="s">
        <v>2267</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Ethiopia</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25">
      <c r="A55" s="355" t="s">
        <v>2164</v>
      </c>
      <c r="B55" s="356" t="s">
        <v>2267</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Ethiopia</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5" t="s">
        <v>2164</v>
      </c>
      <c r="B56" s="356" t="s">
        <v>2267</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Ethiopia</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5" t="s">
        <v>2164</v>
      </c>
      <c r="B57" s="356" t="s">
        <v>2267</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Ethiopia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5" t="s">
        <v>2164</v>
      </c>
      <c r="B58" s="356" t="s">
        <v>2267</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Ethiopia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2164</v>
      </c>
      <c r="B59" s="356" t="s">
        <v>2267</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Ethiopia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2164</v>
      </c>
      <c r="B60" s="356" t="s">
        <v>2267</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Ethiopia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2164</v>
      </c>
      <c r="B61" s="356" t="s">
        <v>2267</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Ethiopia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5" t="s">
        <v>2164</v>
      </c>
      <c r="B62" s="356" t="s">
        <v>2267</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Ethiopia</v>
      </c>
      <c r="L62" s="195">
        <f>IF(VLOOKUP($E62,TaskValues_ref!$E:$Z,11,FALSE)=0,"",VLOOKUP($E62,TaskValues_ref!$E:$Z,11,FALSE))</f>
        <v>6.5000000000000002E-2</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25">
      <c r="A63" s="355" t="s">
        <v>2164</v>
      </c>
      <c r="B63" s="356" t="s">
        <v>2267</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Ethiopia</v>
      </c>
      <c r="L63" s="195">
        <f>IF(VLOOKUP($E63,TaskValues_ref!$E:$Z,11,FALSE)=0,"",VLOOKUP($E63,TaskValues_ref!$E:$Z,11,FALSE))</f>
        <v>6.5000000000000002E-2</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25">
      <c r="A64" s="355" t="s">
        <v>2164</v>
      </c>
      <c r="B64" s="356" t="s">
        <v>2267</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Ethiopia</v>
      </c>
      <c r="L64" s="195">
        <f>IF(VLOOKUP($E64,TaskValues_ref!$E:$Z,11,FALSE)=0,"",VLOOKUP($E64,TaskValues_ref!$E:$Z,11,FALSE))</f>
        <v>0.14800000000000002</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25">
      <c r="A65" s="355" t="s">
        <v>2164</v>
      </c>
      <c r="B65" s="356" t="s">
        <v>2267</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Ethiopia</v>
      </c>
      <c r="L65" s="195">
        <f>IF(VLOOKUP($E65,TaskValues_ref!$E:$Z,11,FALSE)=0,"",VLOOKUP($E65,TaskValues_ref!$E:$Z,11,FALSE))</f>
        <v>0.14800000000000002</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25">
      <c r="A66" s="355" t="s">
        <v>2164</v>
      </c>
      <c r="B66" s="356" t="s">
        <v>2267</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Ethiopia</v>
      </c>
      <c r="L66" s="195">
        <f>IF(VLOOKUP($E66,TaskValues_ref!$E:$Z,11,FALSE)=0,"",VLOOKUP($E66,TaskValues_ref!$E:$Z,11,FALSE))</f>
        <v>0.21300000000000002</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25">
      <c r="A67" s="355" t="s">
        <v>2164</v>
      </c>
      <c r="B67" s="356" t="s">
        <v>2267</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Ethiopia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5" t="s">
        <v>2164</v>
      </c>
      <c r="B68" s="356" t="s">
        <v>2267</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Ethiopia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5" t="s">
        <v>2164</v>
      </c>
      <c r="B69" s="356" t="s">
        <v>2267</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Ethiopia</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5" t="s">
        <v>2164</v>
      </c>
      <c r="B70" s="356" t="s">
        <v>2267</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Ethiopia</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5" t="s">
        <v>2164</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Ethiopia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5" t="s">
        <v>2164</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Ethiopia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5" t="s">
        <v>2164</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Ethiopia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5" t="s">
        <v>2164</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Ethiopia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5" t="s">
        <v>2164</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Ethiopia</v>
      </c>
      <c r="L75" s="195">
        <f>IF(VLOOKUP($E75,TaskValues_ref!$E:$Z,11,FALSE)=0,"",VLOOKUP($E75,TaskValues_ref!$E:$Z,11,FALSE))</f>
        <v>0.29070000000000001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25">
      <c r="A76" s="355" t="s">
        <v>2164</v>
      </c>
      <c r="B76" s="356" t="s">
        <v>70</v>
      </c>
      <c r="C76" s="356"/>
      <c r="D76" s="353"/>
      <c r="E76" s="265" t="s">
        <v>2623</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Ethiopia</v>
      </c>
      <c r="L76" s="195">
        <f>IF(VLOOKUP($E76,TaskValues_ref!$E:$Z,11,FALSE)=0,"",VLOOKUP($E76,TaskValues_ref!$E:$Z,11,FALSE))</f>
        <v>3.1E-2</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25">
      <c r="A77" s="355" t="s">
        <v>2164</v>
      </c>
      <c r="B77" s="356" t="s">
        <v>70</v>
      </c>
      <c r="C77" s="356"/>
      <c r="D77" s="353"/>
      <c r="E77" s="265" t="s">
        <v>2536</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Ethiopia</v>
      </c>
      <c r="L77" s="195">
        <f>IF(VLOOKUP($E77,TaskValues_ref!$E:$Z,11,FALSE)=0,"",VLOOKUP($E77,TaskValues_ref!$E:$Z,11,FALSE))</f>
        <v>1.3000000000000001E-2</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25">
      <c r="A78" s="355" t="s">
        <v>2164</v>
      </c>
      <c r="B78" s="356" t="s">
        <v>70</v>
      </c>
      <c r="C78" s="356"/>
      <c r="D78" s="353"/>
      <c r="E78" s="265" t="s">
        <v>2537</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Ethiopia</v>
      </c>
      <c r="L78" s="195">
        <f>IF(VLOOKUP($E78,TaskValues_ref!$E:$Z,11,FALSE)=0,"",VLOOKUP($E78,TaskValues_ref!$E:$Z,11,FALSE))</f>
        <v>1.3999999999999999E-2</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25">
      <c r="A79" s="355" t="s">
        <v>2164</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Ethiopia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5" t="s">
        <v>2164</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Ethiopia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5" t="s">
        <v>2164</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Ethiopia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5" t="s">
        <v>2164</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Ethiopia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5" t="s">
        <v>2164</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Ethiopia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5" t="s">
        <v>2164</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Ethiopia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5" t="s">
        <v>2164</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Ethiopia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5" t="s">
        <v>2164</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Ethiopia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5" t="s">
        <v>2164</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Ethiopia</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25">
      <c r="A88" s="355" t="s">
        <v>2164</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Ethiopia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5" t="s">
        <v>2164</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Ethiopia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25">
      <c r="A90" s="355" t="s">
        <v>2164</v>
      </c>
      <c r="B90" s="356" t="s">
        <v>70</v>
      </c>
      <c r="C90" s="356"/>
      <c r="D90" s="370">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Ethiopia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25">
      <c r="A91" s="355" t="s">
        <v>2164</v>
      </c>
      <c r="B91" s="356" t="s">
        <v>70</v>
      </c>
      <c r="C91" s="356"/>
      <c r="D91" s="370">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Ethiopia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5" t="s">
        <v>2164</v>
      </c>
      <c r="B92" s="356" t="s">
        <v>70</v>
      </c>
      <c r="C92" s="356"/>
      <c r="D92" s="370">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Ethiopia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25">
      <c r="A93" s="355" t="s">
        <v>2164</v>
      </c>
      <c r="B93" s="356" t="s">
        <v>70</v>
      </c>
      <c r="C93" s="356"/>
      <c r="D93" s="370">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Ethiopia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355" t="s">
        <v>2164</v>
      </c>
      <c r="B94" s="356" t="s">
        <v>70</v>
      </c>
      <c r="C94" s="356"/>
      <c r="D94" s="370">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Ethiopia</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25">
      <c r="A95" s="355" t="s">
        <v>2164</v>
      </c>
      <c r="B95" s="356" t="s">
        <v>70</v>
      </c>
      <c r="C95" s="356"/>
      <c r="D95" s="370">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Ethiopia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25">
      <c r="A96" s="357" t="s">
        <v>2339</v>
      </c>
      <c r="B96" s="357" t="s">
        <v>2337</v>
      </c>
      <c r="C96" s="357" t="s">
        <v>2338</v>
      </c>
      <c r="E96" s="64" t="s">
        <v>2546</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Ethiopia</v>
      </c>
      <c r="L96" s="195">
        <f>IF(VLOOKUP($E96,TaskValues_ref!$E:$Z,11,FALSE)=0,"",VLOOKUP($E96,TaskValues_ref!$E:$Z,11,FALSE))</f>
        <v>3.9E-2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25">
      <c r="A97" s="357" t="s">
        <v>2339</v>
      </c>
      <c r="B97" s="357" t="s">
        <v>2337</v>
      </c>
      <c r="C97" s="357" t="s">
        <v>2338</v>
      </c>
      <c r="E97" s="64" t="s">
        <v>2547</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Ethiopia</v>
      </c>
      <c r="L97" s="195">
        <f>IF(VLOOKUP($E97,TaskValues_ref!$E:$Z,11,FALSE)=0,"",VLOOKUP($E97,TaskValues_ref!$E:$Z,11,FALSE))</f>
        <v>3.6000000000000004E-2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25">
      <c r="A98" s="357" t="s">
        <v>2339</v>
      </c>
      <c r="B98" s="357" t="s">
        <v>2337</v>
      </c>
      <c r="C98" s="357" t="s">
        <v>2338</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Ethiopia</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25">
      <c r="A99" s="357" t="s">
        <v>2339</v>
      </c>
      <c r="B99" s="357" t="s">
        <v>2337</v>
      </c>
      <c r="C99" s="357" t="s">
        <v>2338</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Ethiopia</v>
      </c>
      <c r="L99" s="195">
        <f>IF(VLOOKUP($E99,TaskValues_ref!$E:$Z,11,FALSE)=0,"",VLOOKUP($E99,TaskValues_ref!$E:$Z,11,FALSE))</f>
        <v>2.0927000000000001E-4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25">
      <c r="A100" s="357" t="s">
        <v>2339</v>
      </c>
      <c r="B100" s="357" t="s">
        <v>2337</v>
      </c>
      <c r="C100" s="357" t="s">
        <v>2338</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Ethiopia</v>
      </c>
      <c r="L100" s="195">
        <f>IF(VLOOKUP($E100,TaskValues_ref!$E:$Z,11,FALSE)=0,"",VLOOKUP($E100,TaskValues_ref!$E:$Z,11,FALSE))</f>
        <v>2.0927000000000001E-4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25">
      <c r="A101" s="357" t="s">
        <v>2339</v>
      </c>
      <c r="B101" s="357" t="s">
        <v>2337</v>
      </c>
      <c r="C101" s="357" t="s">
        <v>2338</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Ethiopia</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25">
      <c r="A102" s="357" t="s">
        <v>2339</v>
      </c>
      <c r="B102" s="357" t="s">
        <v>2337</v>
      </c>
      <c r="C102" s="357" t="s">
        <v>2338</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Ethiopia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25">
      <c r="A103" s="357" t="s">
        <v>2339</v>
      </c>
      <c r="B103" s="357" t="s">
        <v>2337</v>
      </c>
      <c r="C103" s="357" t="s">
        <v>2338</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Ethiopia</v>
      </c>
      <c r="L103" s="195">
        <f>IF(VLOOKUP($E103,TaskValues_ref!$E:$Z,11,FALSE)=0,"",VLOOKUP($E103,TaskValues_ref!$E:$Z,11,FALSE))</f>
        <v>2.0927000000000001E-4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25">
      <c r="A104" s="357" t="s">
        <v>2339</v>
      </c>
      <c r="B104" s="357" t="s">
        <v>2337</v>
      </c>
      <c r="C104" s="357" t="s">
        <v>2338</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Ethiopia</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25">
      <c r="A105" s="357" t="s">
        <v>2339</v>
      </c>
      <c r="B105" s="357" t="s">
        <v>2337</v>
      </c>
      <c r="C105" s="357" t="s">
        <v>2338</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Ethiopia</v>
      </c>
      <c r="L105" s="195">
        <f>IF(VLOOKUP($E105,TaskValues_ref!$E:$Z,11,FALSE)=0,"",VLOOKUP($E105,TaskValues_ref!$E:$Z,11,FALSE))</f>
        <v>8.619700000000001E-3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25">
      <c r="A106" s="357" t="s">
        <v>2339</v>
      </c>
      <c r="B106" s="357" t="s">
        <v>2337</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Ethiopia</v>
      </c>
      <c r="L106" s="195">
        <f>IF(VLOOKUP($E106,TaskValues_ref!$E:$Z,11,FALSE)=0,"",VLOOKUP($E106,TaskValues_ref!$E:$Z,11,FALSE))</f>
        <v>0.21276595744680851</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25">
      <c r="A107" s="357" t="s">
        <v>2339</v>
      </c>
      <c r="B107" s="357" t="s">
        <v>2337</v>
      </c>
      <c r="C107" s="357" t="s">
        <v>69</v>
      </c>
      <c r="D107" s="66">
        <v>103</v>
      </c>
      <c r="E107" s="64" t="s">
        <v>2356</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Ethiopia</v>
      </c>
      <c r="L107" s="195">
        <f>IF(VLOOKUP($E107,TaskValues_ref!$E:$Z,11,FALSE)=0,"",VLOOKUP($E107,TaskValues_ref!$E:$Z,11,FALSE))</f>
        <v>3.3109200000000005E-2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25">
      <c r="A108" s="357" t="s">
        <v>2339</v>
      </c>
      <c r="B108" s="357" t="s">
        <v>2337</v>
      </c>
      <c r="C108" s="357" t="s">
        <v>69</v>
      </c>
      <c r="D108" s="66">
        <v>103</v>
      </c>
      <c r="E108" s="64" t="s">
        <v>2357</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Ethiopia</v>
      </c>
      <c r="L108" s="195">
        <f>IF(VLOOKUP($E108,TaskValues_ref!$E:$Z,11,FALSE)=0,"",VLOOKUP($E108,TaskValues_ref!$E:$Z,11,FALSE))</f>
        <v>3.3109200000000005E-2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25">
      <c r="A109" s="357" t="s">
        <v>2339</v>
      </c>
      <c r="B109" s="357" t="s">
        <v>2337</v>
      </c>
      <c r="C109" s="357" t="s">
        <v>69</v>
      </c>
      <c r="D109" s="66">
        <v>103</v>
      </c>
      <c r="E109" s="64" t="s">
        <v>2360</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Ethiopia</v>
      </c>
      <c r="L109" s="195">
        <f>IF(VLOOKUP($E109,TaskValues_ref!$E:$Z,11,FALSE)=0,"",VLOOKUP($E109,TaskValues_ref!$E:$Z,11,FALSE))</f>
        <v>3.6788000000000001E-2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25">
      <c r="A110" s="357" t="s">
        <v>2339</v>
      </c>
      <c r="B110" s="357" t="s">
        <v>2337</v>
      </c>
      <c r="C110" s="357" t="s">
        <v>69</v>
      </c>
      <c r="D110" s="66">
        <v>104</v>
      </c>
      <c r="E110" s="64" t="s">
        <v>2358</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Ethiopia</v>
      </c>
      <c r="L110" s="195">
        <f>IF(VLOOKUP($E110,TaskValues_ref!$E:$Z,11,FALSE)=0,"",VLOOKUP($E110,TaskValues_ref!$E:$Z,11,FALSE))</f>
        <v>3.6788000000000003E-3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25">
      <c r="A111" s="357" t="s">
        <v>2339</v>
      </c>
      <c r="B111" s="357" t="s">
        <v>2337</v>
      </c>
      <c r="C111" s="357" t="s">
        <v>69</v>
      </c>
      <c r="D111" s="66">
        <v>104</v>
      </c>
      <c r="E111" s="64" t="s">
        <v>2359</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Ethiopia</v>
      </c>
      <c r="L111" s="195">
        <f>IF(VLOOKUP($E111,TaskValues_ref!$E:$Z,11,FALSE)=0,"",VLOOKUP($E111,TaskValues_ref!$E:$Z,11,FALSE))</f>
        <v>3.6788000000000003E-3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25">
      <c r="A112" s="357" t="s">
        <v>2339</v>
      </c>
      <c r="B112" s="357" t="s">
        <v>2337</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Ethiopia</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25">
      <c r="A113" s="357" t="s">
        <v>2339</v>
      </c>
      <c r="B113" s="357" t="s">
        <v>2337</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Ethiopia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7" t="s">
        <v>2339</v>
      </c>
      <c r="B114" s="357" t="s">
        <v>2337</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Ethiopia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25">
      <c r="A115" s="357" t="s">
        <v>2339</v>
      </c>
      <c r="B115" s="357" t="s">
        <v>2337</v>
      </c>
      <c r="C115" s="357" t="s">
        <v>2369</v>
      </c>
      <c r="D115" s="66">
        <v>108</v>
      </c>
      <c r="E115" s="64" t="s">
        <v>2375</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Ethiopia</v>
      </c>
      <c r="L115" s="195">
        <f>IF(VLOOKUP($E115,TaskValues_ref!$E:$Z,11,FALSE)=0,"",VLOOKUP($E115,TaskValues_ref!$E:$Z,11,FALSE))</f>
        <v>1.32E-3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25">
      <c r="A116" s="357" t="s">
        <v>2339</v>
      </c>
      <c r="B116" s="357" t="s">
        <v>2337</v>
      </c>
      <c r="C116" s="357" t="s">
        <v>2369</v>
      </c>
      <c r="D116" s="66">
        <v>108</v>
      </c>
      <c r="E116" s="64" t="s">
        <v>2376</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Ethiopia</v>
      </c>
      <c r="L116" s="195">
        <f>IF(VLOOKUP($E116,TaskValues_ref!$E:$Z,11,FALSE)=0,"",VLOOKUP($E116,TaskValues_ref!$E:$Z,11,FALSE))</f>
        <v>1.32E-3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25">
      <c r="A117" s="357" t="s">
        <v>2339</v>
      </c>
      <c r="B117" s="357" t="s">
        <v>2337</v>
      </c>
      <c r="C117" s="357" t="s">
        <v>2369</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Ethiopia</v>
      </c>
      <c r="L117" s="195">
        <f>IF(VLOOKUP($E117,TaskValues_ref!$E:$Z,11,FALSE)=0,"",VLOOKUP($E117,TaskValues_ref!$E:$Z,11,FALSE))</f>
        <v>1.32E-3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25">
      <c r="A118" s="357" t="s">
        <v>2339</v>
      </c>
      <c r="B118" s="357" t="s">
        <v>2337</v>
      </c>
      <c r="C118" s="357" t="s">
        <v>2369</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Ethiopia</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25">
      <c r="A119" s="357" t="s">
        <v>2339</v>
      </c>
      <c r="B119" s="357" t="s">
        <v>2380</v>
      </c>
      <c r="C119" s="357" t="s">
        <v>2381</v>
      </c>
      <c r="D119" s="66">
        <v>112</v>
      </c>
      <c r="E119" s="64" t="s">
        <v>2385</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Ethiopia</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25">
      <c r="A120" s="357" t="s">
        <v>2339</v>
      </c>
      <c r="B120" s="357" t="s">
        <v>2380</v>
      </c>
      <c r="C120" s="357" t="s">
        <v>2381</v>
      </c>
      <c r="D120" s="66">
        <v>113</v>
      </c>
      <c r="E120" s="64" t="s">
        <v>2386</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Ethiopia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7" t="s">
        <v>2339</v>
      </c>
      <c r="B121" s="357" t="s">
        <v>2380</v>
      </c>
      <c r="C121" s="357" t="s">
        <v>2381</v>
      </c>
      <c r="D121" s="66">
        <v>114</v>
      </c>
      <c r="E121" s="64" t="s">
        <v>2387</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Ethiopia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7" t="s">
        <v>2339</v>
      </c>
      <c r="B122" s="357" t="s">
        <v>2380</v>
      </c>
      <c r="C122" s="357" t="s">
        <v>2388</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Ethiopia</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25">
      <c r="A123" s="357" t="s">
        <v>2339</v>
      </c>
      <c r="B123" s="357" t="s">
        <v>2380</v>
      </c>
      <c r="C123" s="357" t="s">
        <v>2388</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Ethiopia</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25">
      <c r="A124" s="357" t="s">
        <v>2339</v>
      </c>
      <c r="B124" s="357" t="s">
        <v>2380</v>
      </c>
      <c r="C124" s="357" t="s">
        <v>2388</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Ethiopia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7" t="s">
        <v>2339</v>
      </c>
      <c r="B125" s="357" t="s">
        <v>2380</v>
      </c>
      <c r="C125" s="357" t="s">
        <v>2388</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Ethiopia</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25">
      <c r="A126" s="357" t="s">
        <v>2339</v>
      </c>
      <c r="B126" s="357" t="s">
        <v>2380</v>
      </c>
      <c r="C126" s="357" t="s">
        <v>2388</v>
      </c>
      <c r="D126" s="66">
        <v>119</v>
      </c>
      <c r="E126" s="64" t="str">
        <f>_xlfn.CONCAT("DPC.Cncr.",D126)</f>
        <v>DPC.Cncr.119</v>
      </c>
      <c r="F126" s="319" t="str">
        <f>VLOOKUP(E126,TaskValues_ref!E:F,2,FALSE)</f>
        <v>Palliative care for cancer</v>
      </c>
      <c r="G126" s="321" t="str">
        <f>VLOOKUP($E126,TaskValues_ref!$E:$Z,3,FALSE)</f>
        <v>Clinical</v>
      </c>
      <c r="H126" s="321" t="str">
        <f>VLOOKUP($E126,TaskValues_ref!$E:$Z,4,FALSE)</f>
        <v>Acute</v>
      </c>
      <c r="I126" s="321" t="str">
        <f>VLOOKUP($E126,TaskValues_ref!$E:$Z,5,FALSE)</f>
        <v>NCDs</v>
      </c>
      <c r="J126" s="320" t="str">
        <f>VLOOKUP($E126,TaskValues_ref!$E:$Z,6,FALSE)</f>
        <v>adults 18+</v>
      </c>
      <c r="K126" s="321" t="str">
        <f>VLOOKUP($E126,TaskValues_ref!$E:$Z,10,FALSE)</f>
        <v>Ethiopia</v>
      </c>
      <c r="L126" s="195">
        <f>IF(VLOOKUP($E126,TaskValues_ref!$E:$Z,11,FALSE)=0,"",VLOOKUP($E126,TaskValues_ref!$E:$Z,11,FALSE))</f>
        <v>4.5100000000000001E-4</v>
      </c>
      <c r="M126" s="321">
        <f>IF(VLOOKUP($E126,TaskValues_ref!$E:$Z,13,FALSE)=0,"",VLOOKUP($E126,TaskValues_ref!$E:$Z,13,FALSE))</f>
        <v>0.5</v>
      </c>
      <c r="N126" s="89">
        <f>IF(VLOOKUP($E126,TaskValues_ref!$E:$Z,15,FALSE)=0,"",VLOOKUP($E126,TaskValues_ref!$E:$Z,15,FALSE))</f>
        <v>1.01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25">
      <c r="A127" s="357" t="s">
        <v>2339</v>
      </c>
      <c r="B127" s="357" t="s">
        <v>2380</v>
      </c>
      <c r="C127" s="357" t="s">
        <v>2395</v>
      </c>
      <c r="D127" s="66">
        <v>120</v>
      </c>
      <c r="E127" s="64" t="str">
        <f>_xlfn.CONCAT("DPC.Hyp.",D127)</f>
        <v>DPC.Hyp.120</v>
      </c>
      <c r="F127" s="319" t="str">
        <f>VLOOKUP(E127,TaskValues_ref!E:F,2,FALSE)</f>
        <v>Lifestyle counseling</v>
      </c>
      <c r="G127" s="321" t="str">
        <f>VLOOKUP($E127,TaskValues_ref!$E:$Z,3,FALSE)</f>
        <v>Clinical</v>
      </c>
      <c r="H127" s="321" t="str">
        <f>VLOOKUP($E127,TaskValues_ref!$E:$Z,4,FALSE)</f>
        <v>Preventive</v>
      </c>
      <c r="I127" s="321" t="str">
        <f>VLOOKUP($E127,TaskValues_ref!$E:$Z,5,FALSE)</f>
        <v>NCDs</v>
      </c>
      <c r="J127" s="320" t="str">
        <f>VLOOKUP($E127,TaskValues_ref!$E:$Z,6,FALSE)</f>
        <v>-</v>
      </c>
      <c r="K127" s="321" t="str">
        <f>VLOOKUP($E127,TaskValues_ref!$E:$Z,10,FALSE)</f>
        <v>Ethiopia</v>
      </c>
      <c r="L127" s="195" t="str">
        <f>IF(VLOOKUP($E127,TaskValues_ref!$E:$Z,11,FALSE)=0,"",VLOOKUP($E127,TaskValues_ref!$E:$Z,11,FALSE))</f>
        <v/>
      </c>
      <c r="M127" s="321" t="str">
        <f>IF(VLOOKUP($E127,TaskValues_ref!$E:$Z,13,FALSE)=0,"",VLOOKUP($E127,TaskValues_ref!$E:$Z,13,FALSE))</f>
        <v/>
      </c>
      <c r="N127" s="89" t="str">
        <f>IF(VLOOKUP($E127,TaskValues_ref!$E:$Z,15,FALSE)=0,"",VLOOKUP($E127,TaskValues_ref!$E:$Z,15,FALSE))</f>
        <v/>
      </c>
      <c r="O127" t="str">
        <f>IF(VLOOKUP($E127,TaskValues_ref!$E:$Z,16,FALSE)=0,"",VLOOKUP($E127,TaskValues_ref!$E:$Z,16,FALSE))</f>
        <v/>
      </c>
      <c r="P127" t="str">
        <f>IF(VLOOKUP($E127,TaskValues_ref!$E:$Z,17,FALSE)=0,"",VLOOKUP($E127,TaskValues_ref!$E:$Z,17,FALSE))</f>
        <v/>
      </c>
      <c r="Q127" t="str">
        <f>IF(VLOOKUP($E127,TaskValues_ref!$E:$Z,18,FALSE)=0,"",VLOOKUP($E127,TaskValues_ref!$E:$Z,18,FALSE))</f>
        <v/>
      </c>
      <c r="R127" t="str">
        <f>IF(VLOOKUP($E127,TaskValues_ref!$E:$Z,19,FALSE)=0,"",VLOOKUP($E127,TaskValues_ref!$E:$Z,19,FALSE))</f>
        <v/>
      </c>
      <c r="S127" t="str">
        <f>IF(VLOOKUP($E127,TaskValues_ref!$E:$Z,20,FALSE)=0,"",VLOOKUP($E127,TaskValues_ref!$E:$Z,20,FALSE))</f>
        <v/>
      </c>
    </row>
    <row r="128" spans="1:19" x14ac:dyDescent="0.25">
      <c r="A128" s="357" t="s">
        <v>2339</v>
      </c>
      <c r="B128" s="357" t="s">
        <v>2380</v>
      </c>
      <c r="C128" s="357" t="s">
        <v>2395</v>
      </c>
      <c r="D128" s="66">
        <v>121</v>
      </c>
      <c r="E128" s="64" t="str">
        <f>_xlfn.CONCAT("DPC.Hyp.",D128)</f>
        <v>DPC.Hyp.121</v>
      </c>
      <c r="F128" s="319" t="str">
        <f>VLOOKUP(E128,TaskValues_ref!E:F,2,FALSE)</f>
        <v>Hypertension screening</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Ethiopia</v>
      </c>
      <c r="L128" s="195">
        <f>IF(VLOOKUP($E128,TaskValues_ref!$E:$Z,11,FALSE)=0,"",VLOOKUP($E128,TaskValues_ref!$E:$Z,11,FALSE))</f>
        <v>1</v>
      </c>
      <c r="M128" s="321">
        <f>IF(VLOOKUP($E128,TaskValues_ref!$E:$Z,13,FALSE)=0,"",VLOOKUP($E128,TaskValues_ref!$E:$Z,13,FALSE))</f>
        <v>0.2</v>
      </c>
      <c r="N128" s="89">
        <f>IF(VLOOKUP($E128,TaskValues_ref!$E:$Z,15,FALSE)=0,"",VLOOKUP($E128,TaskValues_ref!$E:$Z,15,FALSE))</f>
        <v>1</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25">
      <c r="A129" s="357" t="s">
        <v>2339</v>
      </c>
      <c r="B129" s="357" t="s">
        <v>2380</v>
      </c>
      <c r="C129" s="357" t="s">
        <v>2395</v>
      </c>
      <c r="D129" s="66">
        <v>122</v>
      </c>
      <c r="E129" s="64" t="str">
        <f>_xlfn.CONCAT("DPC.Hyp.",D129)</f>
        <v>DPC.Hyp.122</v>
      </c>
      <c r="F129" s="319" t="str">
        <f>VLOOKUP(E129,TaskValues_ref!E:F,2,FALSE)</f>
        <v>Hypertension routine care</v>
      </c>
      <c r="G129" s="321" t="str">
        <f>VLOOKUP($E129,TaskValues_ref!$E:$Z,3,FALSE)</f>
        <v>Clinical</v>
      </c>
      <c r="H129" s="321" t="str">
        <f>VLOOKUP($E129,TaskValues_ref!$E:$Z,4,FALSE)</f>
        <v>Acute</v>
      </c>
      <c r="I129" s="321" t="str">
        <f>VLOOKUP($E129,TaskValues_ref!$E:$Z,5,FALSE)</f>
        <v>NCDs</v>
      </c>
      <c r="J129" s="320" t="str">
        <f>VLOOKUP($E129,TaskValues_ref!$E:$Z,6,FALSE)</f>
        <v>adults 18+</v>
      </c>
      <c r="K129" s="321" t="str">
        <f>VLOOKUP($E129,TaskValues_ref!$E:$Z,10,FALSE)</f>
        <v>Ethiopia</v>
      </c>
      <c r="L129" s="195">
        <f>IF(VLOOKUP($E129,TaskValues_ref!$E:$Z,11,FALSE)=0,"",VLOOKUP($E129,TaskValues_ref!$E:$Z,11,FALSE))</f>
        <v>0.21809999999999999</v>
      </c>
      <c r="M129" s="321" t="str">
        <f>IF(VLOOKUP($E129,TaskValues_ref!$E:$Z,13,FALSE)=0,"",VLOOKUP($E129,TaskValues_ref!$E:$Z,13,FALSE))</f>
        <v/>
      </c>
      <c r="N129" s="89">
        <f>IF(VLOOKUP($E129,TaskValues_ref!$E:$Z,15,FALSE)=0,"",VLOOKUP($E129,TaskValues_ref!$E:$Z,15,FALSE))</f>
        <v>1.02</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25">
      <c r="A130" s="357" t="s">
        <v>2339</v>
      </c>
      <c r="B130" s="357" t="s">
        <v>2380</v>
      </c>
      <c r="C130" s="357" t="s">
        <v>519</v>
      </c>
      <c r="D130" s="66">
        <v>123</v>
      </c>
      <c r="E130" s="64" t="str">
        <f>_xlfn.CONCAT("DPC.Dbt.",D130)</f>
        <v>DPC.Dbt.123</v>
      </c>
      <c r="F130" s="319" t="str">
        <f>VLOOKUP(E130,TaskValues_ref!E:F,2,FALSE)</f>
        <v>Lifestyle counseling</v>
      </c>
      <c r="G130" s="321" t="str">
        <f>VLOOKUP($E130,TaskValues_ref!$E:$Z,3,FALSE)</f>
        <v>Clinical</v>
      </c>
      <c r="H130" s="321" t="str">
        <f>VLOOKUP($E130,TaskValues_ref!$E:$Z,4,FALSE)</f>
        <v>Preventive</v>
      </c>
      <c r="I130" s="321" t="str">
        <f>VLOOKUP($E130,TaskValues_ref!$E:$Z,5,FALSE)</f>
        <v>NCDs</v>
      </c>
      <c r="J130" s="320" t="str">
        <f>VLOOKUP($E130,TaskValues_ref!$E:$Z,6,FALSE)</f>
        <v>-</v>
      </c>
      <c r="K130" s="321" t="str">
        <f>VLOOKUP($E130,TaskValues_ref!$E:$Z,10,FALSE)</f>
        <v>Ethiopia</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25">
      <c r="A131" s="357" t="s">
        <v>2339</v>
      </c>
      <c r="B131" s="357" t="s">
        <v>2380</v>
      </c>
      <c r="C131" s="357" t="s">
        <v>519</v>
      </c>
      <c r="D131" s="66">
        <v>124</v>
      </c>
      <c r="E131" s="64" t="str">
        <f>_xlfn.CONCAT("DPC.Dbt.",D131)</f>
        <v>DPC.Dbt.124</v>
      </c>
      <c r="F131" s="319" t="str">
        <f>VLOOKUP(E131,TaskValues_ref!E:F,2,FALSE)</f>
        <v>Screening for type 2 diabetes</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Ethiopia</v>
      </c>
      <c r="L131" s="195">
        <f>IF(VLOOKUP($E131,TaskValues_ref!$E:$Z,11,FALSE)=0,"",VLOOKUP($E131,TaskValues_ref!$E:$Z,11,FALSE))</f>
        <v>1</v>
      </c>
      <c r="M131" s="321">
        <f>IF(VLOOKUP($E131,TaskValues_ref!$E:$Z,13,FALSE)=0,"",VLOOKUP($E131,TaskValues_ref!$E:$Z,13,FALSE))</f>
        <v>0.2</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7" t="s">
        <v>2339</v>
      </c>
      <c r="B132" s="357" t="s">
        <v>2380</v>
      </c>
      <c r="C132" s="357" t="s">
        <v>519</v>
      </c>
      <c r="D132" s="66">
        <v>125</v>
      </c>
      <c r="E132" s="64" t="str">
        <f>_xlfn.CONCAT("DPC.Dbt.",D132)</f>
        <v>DPC.Dbt.125</v>
      </c>
      <c r="F132" s="319" t="str">
        <f>VLOOKUP(E132,TaskValues_ref!E:F,2,FALSE)</f>
        <v>Diabetes routine care</v>
      </c>
      <c r="G132" s="321" t="str">
        <f>VLOOKUP($E132,TaskValues_ref!$E:$Z,3,FALSE)</f>
        <v>Clinical</v>
      </c>
      <c r="H132" s="321" t="str">
        <f>VLOOKUP($E132,TaskValues_ref!$E:$Z,4,FALSE)</f>
        <v>Acute</v>
      </c>
      <c r="I132" s="321" t="str">
        <f>VLOOKUP($E132,TaskValues_ref!$E:$Z,5,FALSE)</f>
        <v>NCDs</v>
      </c>
      <c r="J132" s="320" t="str">
        <f>VLOOKUP($E132,TaskValues_ref!$E:$Z,6,FALSE)</f>
        <v>adults 18+</v>
      </c>
      <c r="K132" s="321" t="str">
        <f>VLOOKUP($E132,TaskValues_ref!$E:$Z,10,FALSE)</f>
        <v>Ethiopia</v>
      </c>
      <c r="L132" s="195">
        <f>IF(VLOOKUP($E132,TaskValues_ref!$E:$Z,11,FALSE)=0,"",VLOOKUP($E132,TaskValues_ref!$E:$Z,11,FALSE))</f>
        <v>3.2000000000000001E-2</v>
      </c>
      <c r="M132" s="321" t="str">
        <f>IF(VLOOKUP($E132,TaskValues_ref!$E:$Z,13,FALSE)=0,"",VLOOKUP($E132,TaskValues_ref!$E:$Z,13,FALSE))</f>
        <v/>
      </c>
      <c r="N132" s="89">
        <f>IF(VLOOKUP($E132,TaskValues_ref!$E:$Z,15,FALSE)=0,"",VLOOKUP($E132,TaskValues_ref!$E:$Z,15,FALSE))</f>
        <v>1.02</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25">
      <c r="A133" s="357" t="s">
        <v>2339</v>
      </c>
      <c r="B133" s="357" t="s">
        <v>2380</v>
      </c>
      <c r="C133" s="357" t="s">
        <v>2396</v>
      </c>
      <c r="D133" s="66">
        <v>126</v>
      </c>
      <c r="E133" s="64" t="str">
        <f>_xlfn.CONCAT("DPC.Asth.",D133)</f>
        <v>DPC.Asth.126</v>
      </c>
      <c r="F133" s="319" t="str">
        <f>VLOOKUP(E133,TaskValues_ref!E:F,2,FALSE)</f>
        <v>Smoking cessation</v>
      </c>
      <c r="G133" s="321" t="str">
        <f>VLOOKUP($E133,TaskValues_ref!$E:$Z,3,FALSE)</f>
        <v>Clinical</v>
      </c>
      <c r="H133" s="321" t="str">
        <f>VLOOKUP($E133,TaskValues_ref!$E:$Z,4,FALSE)</f>
        <v>Preventive</v>
      </c>
      <c r="I133" s="321" t="str">
        <f>VLOOKUP($E133,TaskValues_ref!$E:$Z,5,FALSE)</f>
        <v>NCDs</v>
      </c>
      <c r="J133" s="320" t="str">
        <f>VLOOKUP($E133,TaskValues_ref!$E:$Z,6,FALSE)</f>
        <v>men 18+</v>
      </c>
      <c r="K133" s="321" t="str">
        <f>VLOOKUP($E133,TaskValues_ref!$E:$Z,10,FALSE)</f>
        <v>Ethiopia</v>
      </c>
      <c r="L133" s="195">
        <f>IF(VLOOKUP($E133,TaskValues_ref!$E:$Z,11,FALSE)=0,"",VLOOKUP($E133,TaskValues_ref!$E:$Z,11,FALSE))</f>
        <v>4.7E-2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x14ac:dyDescent="0.25">
      <c r="A134" s="357" t="s">
        <v>2339</v>
      </c>
      <c r="B134" s="357" t="s">
        <v>2380</v>
      </c>
      <c r="C134" s="357" t="s">
        <v>2396</v>
      </c>
      <c r="D134" s="66">
        <v>127</v>
      </c>
      <c r="E134" s="64" t="str">
        <f>_xlfn.CONCAT("DPC.Asth.",D134)</f>
        <v>DPC.Asth.127</v>
      </c>
      <c r="F134" s="319" t="str">
        <f>VLOOKUP(E134,TaskValues_ref!E:F,2,FALSE)</f>
        <v>Prevention of risk factors</v>
      </c>
      <c r="G134" s="321" t="str">
        <f>VLOOKUP($E134,TaskValues_ref!$E:$Z,3,FALSE)</f>
        <v>Clinical</v>
      </c>
      <c r="H134" s="321" t="str">
        <f>VLOOKUP($E134,TaskValues_ref!$E:$Z,4,FALSE)</f>
        <v>Preventive</v>
      </c>
      <c r="I134" s="321" t="str">
        <f>VLOOKUP($E134,TaskValues_ref!$E:$Z,5,FALSE)</f>
        <v>NCDs</v>
      </c>
      <c r="J134" s="320" t="str">
        <f>VLOOKUP($E134,TaskValues_ref!$E:$Z,6,FALSE)</f>
        <v>adults 18+</v>
      </c>
      <c r="K134" s="321" t="str">
        <f>VLOOKUP($E134,TaskValues_ref!$E:$Z,10,FALSE)</f>
        <v>Ethiopia</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25">
      <c r="A135" s="357" t="s">
        <v>2339</v>
      </c>
      <c r="B135" s="357" t="s">
        <v>2380</v>
      </c>
      <c r="C135" s="357" t="s">
        <v>2396</v>
      </c>
      <c r="D135" s="66">
        <v>128</v>
      </c>
      <c r="E135" s="64" t="str">
        <f>_xlfn.CONCAT("DPC.Asth.",D135)</f>
        <v>DPC.Asth.128</v>
      </c>
      <c r="F135" s="319" t="str">
        <f>VLOOKUP(E135,TaskValues_ref!E:F,2,FALSE)</f>
        <v>Dx &amp; treat mild asthma</v>
      </c>
      <c r="G135" s="321" t="str">
        <f>VLOOKUP($E135,TaskValues_ref!$E:$Z,3,FALSE)</f>
        <v>Clinical</v>
      </c>
      <c r="H135" s="321" t="str">
        <f>VLOOKUP($E135,TaskValues_ref!$E:$Z,4,FALSE)</f>
        <v>Acute</v>
      </c>
      <c r="I135" s="321" t="str">
        <f>VLOOKUP($E135,TaskValues_ref!$E:$Z,5,FALSE)</f>
        <v>NCDs</v>
      </c>
      <c r="J135" s="320" t="str">
        <f>VLOOKUP($E135,TaskValues_ref!$E:$Z,6,FALSE)</f>
        <v>15 yo</v>
      </c>
      <c r="K135" s="321" t="str">
        <f>VLOOKUP($E135,TaskValues_ref!$E:$Z,10,FALSE)</f>
        <v>Ethiopia</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x14ac:dyDescent="0.25">
      <c r="A136" s="357" t="s">
        <v>2339</v>
      </c>
      <c r="B136" s="357" t="s">
        <v>2380</v>
      </c>
      <c r="C136" s="357" t="s">
        <v>2396</v>
      </c>
      <c r="D136" s="66">
        <v>129</v>
      </c>
      <c r="E136" s="64" t="str">
        <f>_xlfn.CONCAT("DPC.Asth.",D136)</f>
        <v>DPC.Asth.129</v>
      </c>
      <c r="F136" s="319" t="str">
        <f>VLOOKUP(E136,TaskValues_ref!E:F,2,FALSE)</f>
        <v>Dx &amp; refer severe asthma</v>
      </c>
      <c r="G136" s="321" t="str">
        <f>VLOOKUP($E136,TaskValues_ref!$E:$Z,3,FALSE)</f>
        <v>Clinical</v>
      </c>
      <c r="H136" s="321" t="str">
        <f>VLOOKUP($E136,TaskValues_ref!$E:$Z,4,FALSE)</f>
        <v>Acute</v>
      </c>
      <c r="I136" s="321" t="str">
        <f>VLOOKUP($E136,TaskValues_ref!$E:$Z,5,FALSE)</f>
        <v>NCDs</v>
      </c>
      <c r="J136" s="320" t="str">
        <f>VLOOKUP($E136,TaskValues_ref!$E:$Z,6,FALSE)</f>
        <v>15 yo</v>
      </c>
      <c r="K136" s="321" t="str">
        <f>VLOOKUP($E136,TaskValues_ref!$E:$Z,10,FALSE)</f>
        <v>Ethiopia</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x14ac:dyDescent="0.25">
      <c r="A137" s="357" t="s">
        <v>2339</v>
      </c>
      <c r="B137" s="357" t="s">
        <v>2380</v>
      </c>
      <c r="C137" s="357" t="s">
        <v>232</v>
      </c>
      <c r="D137" s="66">
        <v>130</v>
      </c>
      <c r="E137" s="64" t="s">
        <v>2444</v>
      </c>
      <c r="F137" s="319" t="str">
        <f>VLOOKUP(E137,TaskValues_ref!E:F,2,FALSE)</f>
        <v>Generate community awareness</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Ethiopia</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25">
      <c r="A138" s="357" t="s">
        <v>2339</v>
      </c>
      <c r="B138" s="357" t="s">
        <v>2380</v>
      </c>
      <c r="C138" s="357" t="s">
        <v>232</v>
      </c>
      <c r="D138" s="66">
        <v>130</v>
      </c>
      <c r="E138" s="64" t="s">
        <v>2445</v>
      </c>
      <c r="F138" s="319" t="str">
        <f>VLOOKUP(E138,TaskValues_ref!E:F,2,FALSE)</f>
        <v>Identify &amp; link to care</v>
      </c>
      <c r="G138" s="321" t="str">
        <f>VLOOKUP($E138,TaskValues_ref!$E:$Z,3,FALSE)</f>
        <v>Clinical</v>
      </c>
      <c r="H138" s="321" t="str">
        <f>VLOOKUP($E138,TaskValues_ref!$E:$Z,4,FALSE)</f>
        <v>Acute</v>
      </c>
      <c r="I138" s="321" t="str">
        <f>VLOOKUP($E138,TaskValues_ref!$E:$Z,5,FALSE)</f>
        <v>Mental health</v>
      </c>
      <c r="J138" s="320" t="str">
        <f>VLOOKUP($E138,TaskValues_ref!$E:$Z,6,FALSE)</f>
        <v>30 yo adults</v>
      </c>
      <c r="K138" s="321" t="str">
        <f>VLOOKUP($E138,TaskValues_ref!$E:$Z,10,FALSE)</f>
        <v>Ethiopia</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25">
      <c r="A139" s="357" t="s">
        <v>2339</v>
      </c>
      <c r="B139" s="357" t="s">
        <v>2380</v>
      </c>
      <c r="C139" s="357" t="s">
        <v>232</v>
      </c>
      <c r="D139" s="66">
        <v>131</v>
      </c>
      <c r="E139" s="64" t="str">
        <f>_xlfn.CONCAT("DPC.MH.",D139)</f>
        <v>DPC.MH.131</v>
      </c>
      <c r="F139" s="319" t="str">
        <f>VLOOKUP(E139,TaskValues_ref!E:F,2,FALSE)</f>
        <v>Workplace stress reduction</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Ethiopia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25">
      <c r="A140" s="357" t="s">
        <v>2339</v>
      </c>
      <c r="B140" s="357" t="s">
        <v>2380</v>
      </c>
      <c r="C140" s="357" t="s">
        <v>232</v>
      </c>
      <c r="D140" s="66">
        <v>132</v>
      </c>
      <c r="E140" s="64" t="str">
        <f>_xlfn.CONCAT("DPC.MH.",D140)</f>
        <v>DPC.MH.132</v>
      </c>
      <c r="F140" s="319" t="str">
        <f>VLOOKUP(E140,TaskValues_ref!E:F,2,FALSE)</f>
        <v>School-based mental health programs</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Ethiopia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357" t="s">
        <v>2339</v>
      </c>
      <c r="B141" s="357" t="s">
        <v>2380</v>
      </c>
      <c r="C141" s="357" t="s">
        <v>232</v>
      </c>
      <c r="D141" s="66">
        <v>133</v>
      </c>
      <c r="E141" s="64" t="str">
        <f>_xlfn.CONCAT("DPC.MH.",D141)</f>
        <v>DPC.MH.133</v>
      </c>
      <c r="F141" s="319" t="str">
        <f>VLOOKUP(E141,TaskValues_ref!E:F,2,FALSE)</f>
        <v>Identify &amp; assess drug use</v>
      </c>
      <c r="G141" s="321" t="str">
        <f>VLOOKUP($E141,TaskValues_ref!$E:$Z,3,FALSE)</f>
        <v>Clinical</v>
      </c>
      <c r="H141" s="321" t="str">
        <f>VLOOKUP($E141,TaskValues_ref!$E:$Z,4,FALSE)</f>
        <v>Acute</v>
      </c>
      <c r="I141" s="321" t="str">
        <f>VLOOKUP($E141,TaskValues_ref!$E:$Z,5,FALSE)</f>
        <v>Mental health</v>
      </c>
      <c r="J141" s="320" t="str">
        <f>VLOOKUP($E141,TaskValues_ref!$E:$Z,6,FALSE)</f>
        <v>30 yo adults</v>
      </c>
      <c r="K141" s="321" t="str">
        <f>VLOOKUP($E141,TaskValues_ref!$E:$Z,10,FALSE)</f>
        <v>Ethiopia</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25">
      <c r="A142" s="357" t="s">
        <v>2339</v>
      </c>
      <c r="B142" s="357" t="s">
        <v>2380</v>
      </c>
      <c r="C142" s="357" t="s">
        <v>232</v>
      </c>
      <c r="D142" s="66">
        <v>134</v>
      </c>
      <c r="E142" s="64" t="str">
        <f>_xlfn.CONCAT("DPC.MH.",D142)</f>
        <v>DPC.MH.134</v>
      </c>
      <c r="F142" s="319" t="str">
        <f>VLOOKUP(E142,TaskValues_ref!E:F,2,FALSE)</f>
        <v>Safer storage of pesticides</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Ethiopia</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25">
      <c r="A143" s="357" t="s">
        <v>2339</v>
      </c>
      <c r="B143" s="357" t="s">
        <v>2380</v>
      </c>
      <c r="C143" s="357" t="s">
        <v>232</v>
      </c>
      <c r="D143" s="66">
        <v>135</v>
      </c>
      <c r="E143" s="64" t="str">
        <f>_xlfn.CONCAT("DPC.MH.",D143)</f>
        <v>DPC.MH.135</v>
      </c>
      <c r="F143" s="319" t="str">
        <f>VLOOKUP(E143,TaskValues_ref!E:F,2,FALSE)</f>
        <v>Emergency poisoning response</v>
      </c>
      <c r="G143" s="321" t="str">
        <f>VLOOKUP($E143,TaskValues_ref!$E:$Z,3,FALSE)</f>
        <v>Clinical</v>
      </c>
      <c r="H143" s="321" t="str">
        <f>VLOOKUP($E143,TaskValues_ref!$E:$Z,4,FALSE)</f>
        <v>Acute</v>
      </c>
      <c r="I143" s="321" t="str">
        <f>VLOOKUP($E143,TaskValues_ref!$E:$Z,5,FALSE)</f>
        <v>Mental health</v>
      </c>
      <c r="J143" s="320" t="str">
        <f>VLOOKUP($E143,TaskValues_ref!$E:$Z,6,FALSE)</f>
        <v>adults 18+</v>
      </c>
      <c r="K143" s="321" t="str">
        <f>VLOOKUP($E143,TaskValues_ref!$E:$Z,10,FALSE)</f>
        <v>Ethiopia</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25">
      <c r="A144" s="357" t="s">
        <v>2339</v>
      </c>
      <c r="B144" s="357" t="s">
        <v>2380</v>
      </c>
      <c r="C144" s="357" t="s">
        <v>2397</v>
      </c>
      <c r="D144" s="66">
        <v>136</v>
      </c>
      <c r="E144" s="64" t="str">
        <f t="shared" ref="E144:E149" si="4">_xlfn.CONCAT("DPC.Oph.",D144)</f>
        <v>DPC.Oph.136</v>
      </c>
      <c r="F144" s="319" t="str">
        <f>VLOOKUP(E144,TaskValues_ref!E:F,2,FALSE)</f>
        <v>Awareness &amp; screening for cataracts</v>
      </c>
      <c r="G144" s="321" t="str">
        <f>VLOOKUP($E144,TaskValues_ref!$E:$Z,3,FALSE)</f>
        <v>Clinical</v>
      </c>
      <c r="H144" s="321" t="str">
        <f>VLOOKUP($E144,TaskValues_ref!$E:$Z,4,FALSE)</f>
        <v>Preventive</v>
      </c>
      <c r="I144" s="321" t="str">
        <f>VLOOKUP($E144,TaskValues_ref!$E:$Z,5,FALSE)</f>
        <v>NCDs</v>
      </c>
      <c r="J144" s="320" t="str">
        <f>VLOOKUP($E144,TaskValues_ref!$E:$Z,6,FALSE)</f>
        <v>adults 18+</v>
      </c>
      <c r="K144" s="321" t="str">
        <f>VLOOKUP($E144,TaskValues_ref!$E:$Z,10,FALSE)</f>
        <v>Ethiopia</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x14ac:dyDescent="0.25">
      <c r="A145" s="357" t="s">
        <v>2339</v>
      </c>
      <c r="B145" s="357" t="s">
        <v>2380</v>
      </c>
      <c r="C145" s="357" t="s">
        <v>2397</v>
      </c>
      <c r="D145" s="66">
        <f>D144+1</f>
        <v>137</v>
      </c>
      <c r="E145" s="64" t="str">
        <f t="shared" si="4"/>
        <v>DPC.Oph.137</v>
      </c>
      <c r="F145" s="319" t="str">
        <f>VLOOKUP(E145,TaskValues_ref!E:F,2,FALSE)</f>
        <v>Awareness of eye glasses</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Ethiopia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357" t="s">
        <v>2339</v>
      </c>
      <c r="B146" s="357" t="s">
        <v>2380</v>
      </c>
      <c r="C146" s="357" t="s">
        <v>2397</v>
      </c>
      <c r="D146" s="66">
        <f>D145+1</f>
        <v>138</v>
      </c>
      <c r="E146" s="64" t="str">
        <f t="shared" si="4"/>
        <v>DPC.Oph.138</v>
      </c>
      <c r="F146" s="319" t="str">
        <f>VLOOKUP(E146,TaskValues_ref!E:F,2,FALSE)</f>
        <v>School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15 yo</v>
      </c>
      <c r="K146" s="321" t="str">
        <f>VLOOKUP($E146,TaskValues_ref!$E:$Z,10,FALSE)</f>
        <v>Ethiopia</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25">
      <c r="A147" s="357" t="s">
        <v>2339</v>
      </c>
      <c r="B147" s="357" t="s">
        <v>2380</v>
      </c>
      <c r="C147" s="357" t="s">
        <v>2397</v>
      </c>
      <c r="D147" s="66">
        <f>D146+1</f>
        <v>139</v>
      </c>
      <c r="E147" s="64" t="str">
        <f t="shared" si="4"/>
        <v>DPC.Oph.139</v>
      </c>
      <c r="F147" s="319" t="str">
        <f>VLOOKUP(E147,TaskValues_ref!E:F,2,FALSE)</f>
        <v>Opportunistic screenings for vision impairment</v>
      </c>
      <c r="G147" s="321" t="str">
        <f>VLOOKUP($E147,TaskValues_ref!$E:$Z,3,FALSE)</f>
        <v>Clinical</v>
      </c>
      <c r="H147" s="321" t="str">
        <f>VLOOKUP($E147,TaskValues_ref!$E:$Z,4,FALSE)</f>
        <v>Preventive</v>
      </c>
      <c r="I147" s="321" t="str">
        <f>VLOOKUP($E147,TaskValues_ref!$E:$Z,5,FALSE)</f>
        <v>NCDs</v>
      </c>
      <c r="J147" s="320" t="str">
        <f>VLOOKUP($E147,TaskValues_ref!$E:$Z,6,FALSE)</f>
        <v>adults 18+</v>
      </c>
      <c r="K147" s="321" t="str">
        <f>VLOOKUP($E147,TaskValues_ref!$E:$Z,10,FALSE)</f>
        <v>Ethiopia</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25">
      <c r="A148" s="357" t="s">
        <v>2339</v>
      </c>
      <c r="B148" s="357" t="s">
        <v>2380</v>
      </c>
      <c r="C148" s="357" t="s">
        <v>2397</v>
      </c>
      <c r="D148" s="66">
        <f>D147+1</f>
        <v>140</v>
      </c>
      <c r="E148" s="64" t="str">
        <f t="shared" si="4"/>
        <v>DPC.Oph.140</v>
      </c>
      <c r="F148" s="319" t="str">
        <f>VLOOKUP(E148,TaskValues_ref!E:F,2,FALSE)</f>
        <v>Awareness &amp; screening for glaucoma</v>
      </c>
      <c r="G148" s="321" t="str">
        <f>VLOOKUP($E148,TaskValues_ref!$E:$Z,3,FALSE)</f>
        <v>Clinical</v>
      </c>
      <c r="H148" s="321" t="str">
        <f>VLOOKUP($E148,TaskValues_ref!$E:$Z,4,FALSE)</f>
        <v>Preventive</v>
      </c>
      <c r="I148" s="321" t="str">
        <f>VLOOKUP($E148,TaskValues_ref!$E:$Z,5,FALSE)</f>
        <v>NCDs</v>
      </c>
      <c r="J148" s="320" t="str">
        <f>VLOOKUP($E148,TaskValues_ref!$E:$Z,6,FALSE)</f>
        <v>50 yo adults</v>
      </c>
      <c r="K148" s="321" t="str">
        <f>VLOOKUP($E148,TaskValues_ref!$E:$Z,10,FALSE)</f>
        <v>Ethiopia</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x14ac:dyDescent="0.25">
      <c r="A149" s="357" t="s">
        <v>2339</v>
      </c>
      <c r="B149" s="357" t="s">
        <v>2380</v>
      </c>
      <c r="C149" s="357" t="s">
        <v>2397</v>
      </c>
      <c r="D149" s="66">
        <f>D148+1</f>
        <v>141</v>
      </c>
      <c r="E149" s="64" t="str">
        <f t="shared" si="4"/>
        <v>DPC.Oph.141</v>
      </c>
      <c r="F149" s="319" t="str">
        <f>VLOOKUP(E149,TaskValues_ref!E:F,2,FALSE)</f>
        <v>Common eye infection treatment</v>
      </c>
      <c r="G149" s="321" t="str">
        <f>VLOOKUP($E149,TaskValues_ref!$E:$Z,3,FALSE)</f>
        <v>Clinical</v>
      </c>
      <c r="H149" s="321" t="str">
        <f>VLOOKUP($E149,TaskValues_ref!$E:$Z,4,FALSE)</f>
        <v>Acute</v>
      </c>
      <c r="I149" s="321" t="str">
        <f>VLOOKUP($E149,TaskValues_ref!$E:$Z,5,FALSE)</f>
        <v>NCDs</v>
      </c>
      <c r="J149" s="320" t="str">
        <f>VLOOKUP($E149,TaskValues_ref!$E:$Z,6,FALSE)</f>
        <v>children 0-9</v>
      </c>
      <c r="K149" s="321" t="str">
        <f>VLOOKUP($E149,TaskValues_ref!$E:$Z,10,FALSE)</f>
        <v>Ethiopia</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x14ac:dyDescent="0.25">
      <c r="A150" s="357" t="s">
        <v>2339</v>
      </c>
      <c r="B150" s="357" t="s">
        <v>2380</v>
      </c>
      <c r="C150" s="357" t="s">
        <v>2398</v>
      </c>
      <c r="E150" s="64" t="s">
        <v>2594</v>
      </c>
      <c r="F150" s="319" t="str">
        <f>VLOOKUP(E150,TaskValues_ref!E:F,2,FALSE)</f>
        <v>Basic first aid</v>
      </c>
      <c r="G150" s="321" t="str">
        <f>VLOOKUP($E150,TaskValues_ref!$E:$Z,3,FALSE)</f>
        <v>Clinical</v>
      </c>
      <c r="H150" s="321" t="str">
        <f>VLOOKUP($E150,TaskValues_ref!$E:$Z,4,FALSE)</f>
        <v>Acute</v>
      </c>
      <c r="I150" s="321" t="str">
        <f>VLOOKUP($E150,TaskValues_ref!$E:$Z,5,FALSE)</f>
        <v>First aid</v>
      </c>
      <c r="J150" s="320" t="str">
        <f>VLOOKUP($E150,TaskValues_ref!$E:$Z,6,FALSE)</f>
        <v>all</v>
      </c>
      <c r="K150" s="321" t="str">
        <f>VLOOKUP($E150,TaskValues_ref!$E:$Z,10,FALSE)</f>
        <v>Ethiopia</v>
      </c>
      <c r="L150" s="195">
        <f>IF(VLOOKUP($E150,TaskValues_ref!$E:$Z,11,FALSE)=0,"",VLOOKUP($E150,TaskValues_ref!$E:$Z,11,FALSE))</f>
        <v>1.8504347826086959E-3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x14ac:dyDescent="0.25">
      <c r="A151" s="357" t="s">
        <v>2339</v>
      </c>
      <c r="B151" s="357" t="s">
        <v>2380</v>
      </c>
      <c r="C151" s="357" t="s">
        <v>2398</v>
      </c>
      <c r="E151" s="64" t="s">
        <v>2596</v>
      </c>
      <c r="F151" s="319" t="str">
        <f>VLOOKUP(E151,TaskValues_ref!E:F,2,FALSE)</f>
        <v>Advanced first aid</v>
      </c>
      <c r="G151" s="321" t="str">
        <f>VLOOKUP($E151,TaskValues_ref!$E:$Z,3,FALSE)</f>
        <v>Clinical</v>
      </c>
      <c r="H151" s="321" t="str">
        <f>VLOOKUP($E151,TaskValues_ref!$E:$Z,4,FALSE)</f>
        <v>Acute</v>
      </c>
      <c r="I151" s="321" t="str">
        <f>VLOOKUP($E151,TaskValues_ref!$E:$Z,5,FALSE)</f>
        <v>First aid</v>
      </c>
      <c r="J151" s="320" t="str">
        <f>VLOOKUP($E151,TaskValues_ref!$E:$Z,6,FALSE)</f>
        <v>all</v>
      </c>
      <c r="K151" s="321" t="str">
        <f>VLOOKUP($E151,TaskValues_ref!$E:$Z,10,FALSE)</f>
        <v>Ethiopia</v>
      </c>
      <c r="L151" s="195">
        <f>IF(VLOOKUP($E151,TaskValues_ref!$E:$Z,11,FALSE)=0,"",VLOOKUP($E151,TaskValues_ref!$E:$Z,11,FALSE))</f>
        <v>2.1217391304347829E-3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x14ac:dyDescent="0.25">
      <c r="A152" s="66" t="s">
        <v>2339</v>
      </c>
      <c r="B152" s="66" t="s">
        <v>2450</v>
      </c>
      <c r="D152" s="66">
        <v>152</v>
      </c>
      <c r="E152" s="64" t="str">
        <f>_xlfn.CONCAT("DPC.OutPt.",D152)</f>
        <v>DPC.OutPt.152</v>
      </c>
      <c r="F152" s="319" t="str">
        <f>VLOOKUP(E152,TaskValues_ref!E:F,2,FALSE)</f>
        <v>Assorted adult outpatient</v>
      </c>
      <c r="G152" s="321" t="str">
        <f>VLOOKUP($E152,TaskValues_ref!$E:$Z,3,FALSE)</f>
        <v>Clinical</v>
      </c>
      <c r="H152" s="321" t="str">
        <f>VLOOKUP($E152,TaskValues_ref!$E:$Z,4,FALSE)</f>
        <v>Acute</v>
      </c>
      <c r="I152" s="321" t="str">
        <f>VLOOKUP($E152,TaskValues_ref!$E:$Z,5,FALSE)</f>
        <v>NCDs</v>
      </c>
      <c r="J152" s="320" t="str">
        <f>VLOOKUP($E152,TaskValues_ref!$E:$Z,6,FALSE)</f>
        <v>adults 18+</v>
      </c>
      <c r="K152" s="321" t="str">
        <f>VLOOKUP($E152,TaskValues_ref!$E:$Z,10,FALSE)</f>
        <v>Ethiopia</v>
      </c>
      <c r="L152" s="195">
        <f>IF(VLOOKUP($E152,TaskValues_ref!$E:$Z,11,FALSE)=0,"",VLOOKUP($E152,TaskValues_ref!$E:$Z,11,FALSE))</f>
        <v>1</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f>IF(VLOOKUP($E152,TaskValues_ref!$E:$Z,17,FALSE)=0,"",VLOOKUP($E152,TaskValues_ref!$E:$Z,17,FALSE))</f>
        <v>0.2</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25">
      <c r="A153" s="66" t="s">
        <v>2339</v>
      </c>
      <c r="B153" s="66" t="s">
        <v>528</v>
      </c>
      <c r="D153" s="66">
        <v>156</v>
      </c>
      <c r="E153" s="64" t="s">
        <v>2453</v>
      </c>
      <c r="F153" s="319" t="str">
        <f>VLOOKUP(E153,TaskValues_ref!E:F,2,FALSE)</f>
        <v>Surveillance for NTDs</v>
      </c>
      <c r="G153" s="321" t="str">
        <f>VLOOKUP($E153,TaskValues_ref!$E:$Z,3,FALSE)</f>
        <v>Non-productive</v>
      </c>
      <c r="H153" s="321" t="str">
        <f>VLOOKUP($E153,TaskValues_ref!$E:$Z,4,FALSE)</f>
        <v>Public Health</v>
      </c>
      <c r="I153" s="321" t="str">
        <f>VLOOKUP($E153,TaskValues_ref!$E:$Z,5,FALSE)</f>
        <v>-</v>
      </c>
      <c r="J153" s="320" t="str">
        <f>VLOOKUP($E153,TaskValues_ref!$E:$Z,6,FALSE)</f>
        <v>-</v>
      </c>
      <c r="K153" s="321" t="str">
        <f>VLOOKUP($E153,TaskValues_ref!$E:$Z,10,FALSE)</f>
        <v>Ethiopia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66" t="s">
        <v>2339</v>
      </c>
      <c r="B154" s="66" t="s">
        <v>528</v>
      </c>
      <c r="C154" s="66" t="s">
        <v>2455</v>
      </c>
      <c r="D154" s="66">
        <f t="shared" ref="D154:D173" si="5">D153+1</f>
        <v>157</v>
      </c>
      <c r="E154" s="64" t="str">
        <f t="shared" ref="E154:E173" si="6">_xlfn.CONCAT("DPC.NTD.",D154)</f>
        <v>DPC.NTD.157</v>
      </c>
      <c r="F154" s="319" t="str">
        <f>VLOOKUP(E154,TaskValues_ref!E:F,2,FALSE)</f>
        <v>LF screening &amp; referral</v>
      </c>
      <c r="G154" s="321" t="str">
        <f>VLOOKUP($E154,TaskValues_ref!$E:$Z,3,FALSE)</f>
        <v>Clinical</v>
      </c>
      <c r="H154" s="321" t="str">
        <f>VLOOKUP($E154,TaskValues_ref!$E:$Z,4,FALSE)</f>
        <v>Acute</v>
      </c>
      <c r="I154" s="321" t="str">
        <f>VLOOKUP($E154,TaskValues_ref!$E:$Z,5,FALSE)</f>
        <v>NTDs</v>
      </c>
      <c r="J154" s="320" t="str">
        <f>VLOOKUP($E154,TaskValues_ref!$E:$Z,6,FALSE)</f>
        <v>adults 18+</v>
      </c>
      <c r="K154" s="321" t="str">
        <f>VLOOKUP($E154,TaskValues_ref!$E:$Z,10,FALSE)</f>
        <v>Ethiopia</v>
      </c>
      <c r="L154" s="195">
        <f>IF(VLOOKUP($E154,TaskValues_ref!$E:$Z,11,FALSE)=0,"",VLOOKUP($E154,TaskValues_ref!$E:$Z,11,FALSE))</f>
        <v>4.6529294056327089E-3</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x14ac:dyDescent="0.25">
      <c r="A155" s="66" t="s">
        <v>2339</v>
      </c>
      <c r="B155" s="66" t="s">
        <v>528</v>
      </c>
      <c r="C155" s="66" t="s">
        <v>2455</v>
      </c>
      <c r="D155" s="66">
        <f t="shared" si="5"/>
        <v>158</v>
      </c>
      <c r="E155" s="64" t="str">
        <f t="shared" si="6"/>
        <v>DPC.NTD.158</v>
      </c>
      <c r="F155" s="319" t="str">
        <f>VLOOKUP(E155,TaskValues_ref!E:F,2,FALSE)</f>
        <v>LF MDA</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Ethiopia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25">
      <c r="A156" s="66" t="s">
        <v>2339</v>
      </c>
      <c r="B156" s="66" t="s">
        <v>528</v>
      </c>
      <c r="C156" s="66" t="s">
        <v>2455</v>
      </c>
      <c r="D156" s="66">
        <f t="shared" si="5"/>
        <v>159</v>
      </c>
      <c r="E156" s="64" t="str">
        <f t="shared" si="6"/>
        <v>DPC.NTD.159</v>
      </c>
      <c r="F156" s="319" t="str">
        <f>VLOOKUP(E156,TaskValues_ref!E:F,2,FALSE)</f>
        <v>LLINs and IRS</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Ethiopia</v>
      </c>
      <c r="L156" s="195">
        <f>IF(VLOOKUP($E156,TaskValues_ref!$E:$Z,11,FALSE)=0,"",VLOOKUP($E156,TaskValues_ref!$E:$Z,11,FALSE))</f>
        <v>0.21276595744680851</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5</v>
      </c>
      <c r="R156" t="str">
        <f>IF(VLOOKUP($E156,TaskValues_ref!$E:$Z,19,FALSE)=0,"",VLOOKUP($E156,TaskValues_ref!$E:$Z,19,FALSE))</f>
        <v/>
      </c>
      <c r="S156" t="str">
        <f>IF(VLOOKUP($E156,TaskValues_ref!$E:$Z,20,FALSE)=0,"",VLOOKUP($E156,TaskValues_ref!$E:$Z,20,FALSE))</f>
        <v/>
      </c>
    </row>
    <row r="157" spans="1:19" x14ac:dyDescent="0.25">
      <c r="A157" s="66" t="s">
        <v>2339</v>
      </c>
      <c r="B157" s="66" t="s">
        <v>528</v>
      </c>
      <c r="C157" s="66" t="s">
        <v>406</v>
      </c>
      <c r="D157" s="66">
        <f t="shared" si="5"/>
        <v>160</v>
      </c>
      <c r="E157" s="64" t="str">
        <f t="shared" si="6"/>
        <v>DPC.NTD.160</v>
      </c>
      <c r="F157" s="319" t="str">
        <f>VLOOKUP(E157,TaskValues_ref!E:F,2,FALSE)</f>
        <v>LF behavior change</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Ethiopia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25">
      <c r="A158" s="66" t="s">
        <v>2339</v>
      </c>
      <c r="B158" s="66" t="s">
        <v>528</v>
      </c>
      <c r="C158" s="66" t="s">
        <v>410</v>
      </c>
      <c r="D158" s="66">
        <f t="shared" si="5"/>
        <v>161</v>
      </c>
      <c r="E158" s="64" t="str">
        <f t="shared" si="6"/>
        <v>DPC.NTD.161</v>
      </c>
      <c r="F158" s="319" t="str">
        <f>VLOOKUP(E158,TaskValues_ref!E:F,2,FALSE)</f>
        <v>Oncho MDA</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Ethiopia</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25">
      <c r="A159" s="66" t="s">
        <v>2339</v>
      </c>
      <c r="B159" s="66" t="s">
        <v>528</v>
      </c>
      <c r="C159" s="66" t="s">
        <v>410</v>
      </c>
      <c r="D159" s="66">
        <f t="shared" si="5"/>
        <v>162</v>
      </c>
      <c r="E159" s="64" t="str">
        <f t="shared" si="6"/>
        <v>DPC.NTD.162</v>
      </c>
      <c r="F159" s="319" t="str">
        <f>VLOOKUP(E159,TaskValues_ref!E:F,2,FALSE)</f>
        <v>Oncho behavior change</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Ethiopia</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x14ac:dyDescent="0.25">
      <c r="A160" s="66" t="s">
        <v>2339</v>
      </c>
      <c r="B160" s="66" t="s">
        <v>528</v>
      </c>
      <c r="C160" s="66" t="s">
        <v>410</v>
      </c>
      <c r="D160" s="66">
        <f t="shared" si="5"/>
        <v>163</v>
      </c>
      <c r="E160" s="64" t="str">
        <f t="shared" si="6"/>
        <v>DPC.NTD.163</v>
      </c>
      <c r="F160" s="319" t="str">
        <f>VLOOKUP(E160,TaskValues_ref!E:F,2,FALSE)</f>
        <v>Trachoma behavior change</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Ethiopia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25">
      <c r="A161" s="66" t="s">
        <v>2339</v>
      </c>
      <c r="B161" s="66" t="s">
        <v>528</v>
      </c>
      <c r="C161" s="66" t="s">
        <v>410</v>
      </c>
      <c r="D161" s="66">
        <f t="shared" si="5"/>
        <v>164</v>
      </c>
      <c r="E161" s="64" t="str">
        <f t="shared" si="6"/>
        <v>DPC.NTD.164</v>
      </c>
      <c r="F161" s="319" t="str">
        <f>VLOOKUP(E161,TaskValues_ref!E:F,2,FALSE)</f>
        <v>Promote water and sanitation</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Ethiopia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25">
      <c r="A162" s="66" t="s">
        <v>2339</v>
      </c>
      <c r="B162" s="66" t="s">
        <v>528</v>
      </c>
      <c r="C162" s="66" t="s">
        <v>410</v>
      </c>
      <c r="D162" s="66">
        <f t="shared" si="5"/>
        <v>165</v>
      </c>
      <c r="E162" s="64" t="str">
        <f t="shared" si="6"/>
        <v>DPC.NTD.165</v>
      </c>
      <c r="F162" s="319" t="str">
        <f>VLOOKUP(E162,TaskValues_ref!E:F,2,FALSE)</f>
        <v>Dx &amp; treat trachoma</v>
      </c>
      <c r="G162" s="321" t="str">
        <f>VLOOKUP($E162,TaskValues_ref!$E:$Z,3,FALSE)</f>
        <v>Clinical</v>
      </c>
      <c r="H162" s="321" t="str">
        <f>VLOOKUP($E162,TaskValues_ref!$E:$Z,4,FALSE)</f>
        <v>Acute</v>
      </c>
      <c r="I162" s="321" t="str">
        <f>VLOOKUP($E162,TaskValues_ref!$E:$Z,5,FALSE)</f>
        <v>NTDs</v>
      </c>
      <c r="J162" s="320" t="str">
        <f>VLOOKUP($E162,TaskValues_ref!$E:$Z,6,FALSE)</f>
        <v>children 0-9</v>
      </c>
      <c r="K162" s="321" t="str">
        <f>VLOOKUP($E162,TaskValues_ref!$E:$Z,10,FALSE)</f>
        <v>Ethiopia</v>
      </c>
      <c r="L162" s="195">
        <f>IF(VLOOKUP($E162,TaskValues_ref!$E:$Z,11,FALSE)=0,"",VLOOKUP($E162,TaskValues_ref!$E:$Z,11,FALSE))</f>
        <v>1.0375000000000001E-2</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x14ac:dyDescent="0.25">
      <c r="A163" s="66" t="s">
        <v>2339</v>
      </c>
      <c r="B163" s="66" t="s">
        <v>528</v>
      </c>
      <c r="C163" s="66" t="s">
        <v>2456</v>
      </c>
      <c r="D163" s="66">
        <f t="shared" si="5"/>
        <v>166</v>
      </c>
      <c r="E163" s="64" t="str">
        <f t="shared" si="6"/>
        <v>DPC.NTD.166</v>
      </c>
      <c r="F163" s="319" t="str">
        <f>VLOOKUP(E163,TaskValues_ref!E:F,2,FALSE)</f>
        <v>Trochomatous trichiasis surgery</v>
      </c>
      <c r="G163" s="321" t="str">
        <f>VLOOKUP($E163,TaskValues_ref!$E:$Z,3,FALSE)</f>
        <v>Clinical</v>
      </c>
      <c r="H163" s="321" t="str">
        <f>VLOOKUP($E163,TaskValues_ref!$E:$Z,4,FALSE)</f>
        <v>Acute</v>
      </c>
      <c r="I163" s="321" t="str">
        <f>VLOOKUP($E163,TaskValues_ref!$E:$Z,5,FALSE)</f>
        <v>NTDs</v>
      </c>
      <c r="J163" s="320" t="str">
        <f>VLOOKUP($E163,TaskValues_ref!$E:$Z,6,FALSE)</f>
        <v>adults 18+</v>
      </c>
      <c r="K163" s="321" t="str">
        <f>VLOOKUP($E163,TaskValues_ref!$E:$Z,10,FALSE)</f>
        <v>Ethiopia</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x14ac:dyDescent="0.25">
      <c r="A164" s="66" t="s">
        <v>2339</v>
      </c>
      <c r="B164" s="66" t="s">
        <v>528</v>
      </c>
      <c r="C164" s="66" t="s">
        <v>2456</v>
      </c>
      <c r="D164" s="66">
        <f t="shared" si="5"/>
        <v>167</v>
      </c>
      <c r="E164" s="64" t="str">
        <f t="shared" si="6"/>
        <v>DPC.NTD.167</v>
      </c>
      <c r="F164" s="319" t="str">
        <f>VLOOKUP(E164,TaskValues_ref!E:F,2,FALSE)</f>
        <v>Trachoma MDA</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Ethiopia</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25">
      <c r="A165" s="66" t="s">
        <v>2339</v>
      </c>
      <c r="B165" s="66" t="s">
        <v>528</v>
      </c>
      <c r="C165" s="66" t="s">
        <v>2457</v>
      </c>
      <c r="D165" s="66">
        <f t="shared" si="5"/>
        <v>168</v>
      </c>
      <c r="E165" s="64" t="str">
        <f t="shared" si="6"/>
        <v>DPC.NTD.168</v>
      </c>
      <c r="F165" s="319" t="str">
        <f>VLOOKUP(E165,TaskValues_ref!E:F,2,FALSE)</f>
        <v>Promote face washing</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Ethiopia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25">
      <c r="A166" s="66" t="s">
        <v>2339</v>
      </c>
      <c r="B166" s="66" t="s">
        <v>528</v>
      </c>
      <c r="C166" s="66" t="s">
        <v>2457</v>
      </c>
      <c r="D166" s="66">
        <f t="shared" si="5"/>
        <v>169</v>
      </c>
      <c r="E166" s="64" t="str">
        <f t="shared" si="6"/>
        <v>DPC.NTD.169</v>
      </c>
      <c r="F166" s="319" t="str">
        <f>VLOOKUP(E166,TaskValues_ref!E:F,2,FALSE)</f>
        <v>Schisto behavior change</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Ethiopia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25">
      <c r="A167" s="66" t="s">
        <v>2339</v>
      </c>
      <c r="B167" s="66" t="s">
        <v>528</v>
      </c>
      <c r="C167" s="66" t="s">
        <v>2238</v>
      </c>
      <c r="D167" s="66">
        <f t="shared" si="5"/>
        <v>170</v>
      </c>
      <c r="E167" s="64" t="str">
        <f t="shared" si="6"/>
        <v>DPC.NTD.170</v>
      </c>
      <c r="F167" s="319" t="str">
        <f>VLOOKUP(E167,TaskValues_ref!E:F,2,FALSE)</f>
        <v>Snail control</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Ethiopia</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25">
      <c r="A168" s="66" t="s">
        <v>2339</v>
      </c>
      <c r="B168" s="66" t="s">
        <v>528</v>
      </c>
      <c r="C168" s="66" t="s">
        <v>2238</v>
      </c>
      <c r="D168" s="66">
        <f t="shared" si="5"/>
        <v>171</v>
      </c>
      <c r="E168" s="64" t="str">
        <f t="shared" si="6"/>
        <v>DPC.NTD.171</v>
      </c>
      <c r="F168" s="319" t="str">
        <f>VLOOKUP(E168,TaskValues_ref!E:F,2,FALSE)</f>
        <v>Schisto MDA</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Ethiopia</v>
      </c>
      <c r="L168" s="195">
        <f>IF(VLOOKUP($E168,TaskValues_ref!$E:$Z,11,FALSE)=0,"",VLOOKUP($E168,TaskValues_ref!$E:$Z,11,FALSE))</f>
        <v>0.21276595744680851</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5</v>
      </c>
      <c r="R168" t="str">
        <f>IF(VLOOKUP($E168,TaskValues_ref!$E:$Z,19,FALSE)=0,"",VLOOKUP($E168,TaskValues_ref!$E:$Z,19,FALSE))</f>
        <v/>
      </c>
      <c r="S168" t="str">
        <f>IF(VLOOKUP($E168,TaskValues_ref!$E:$Z,20,FALSE)=0,"",VLOOKUP($E168,TaskValues_ref!$E:$Z,20,FALSE))</f>
        <v/>
      </c>
    </row>
    <row r="169" spans="1:19" x14ac:dyDescent="0.25">
      <c r="A169" s="66" t="s">
        <v>2339</v>
      </c>
      <c r="B169" s="66" t="s">
        <v>528</v>
      </c>
      <c r="C169" s="66" t="s">
        <v>2458</v>
      </c>
      <c r="D169" s="66">
        <f t="shared" si="5"/>
        <v>172</v>
      </c>
      <c r="E169" s="64" t="str">
        <f t="shared" si="6"/>
        <v>DPC.NTD.172</v>
      </c>
      <c r="F169" s="319" t="str">
        <f>VLOOKUP(E169,TaskValues_ref!E:F,2,FALSE)</f>
        <v>STH behavior change</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Ethiopia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25">
      <c r="A170" s="66" t="s">
        <v>2339</v>
      </c>
      <c r="B170" s="66" t="s">
        <v>528</v>
      </c>
      <c r="C170" s="66" t="s">
        <v>2458</v>
      </c>
      <c r="D170" s="66">
        <f t="shared" si="5"/>
        <v>173</v>
      </c>
      <c r="E170" s="64" t="str">
        <f t="shared" si="6"/>
        <v>DPC.NTD.173</v>
      </c>
      <c r="F170" s="319" t="str">
        <f>VLOOKUP(E170,TaskValues_ref!E:F,2,FALSE)</f>
        <v>STH MDA</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Ethiopia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25">
      <c r="A171" s="66" t="s">
        <v>2339</v>
      </c>
      <c r="B171" s="66" t="s">
        <v>528</v>
      </c>
      <c r="C171" s="66" t="s">
        <v>2458</v>
      </c>
      <c r="D171" s="66">
        <f t="shared" si="5"/>
        <v>174</v>
      </c>
      <c r="E171" s="64" t="str">
        <f t="shared" si="6"/>
        <v>DPC.NTD.174</v>
      </c>
      <c r="F171" s="319" t="str">
        <f>VLOOKUP(E171,TaskValues_ref!E:F,2,FALSE)</f>
        <v>STH dx &amp; treat in pregnancy</v>
      </c>
      <c r="G171" s="321" t="str">
        <f>VLOOKUP($E171,TaskValues_ref!$E:$Z,3,FALSE)</f>
        <v>Clinical</v>
      </c>
      <c r="H171" s="321" t="str">
        <f>VLOOKUP($E171,TaskValues_ref!$E:$Z,4,FALSE)</f>
        <v>Acute</v>
      </c>
      <c r="I171" s="321" t="str">
        <f>VLOOKUP($E171,TaskValues_ref!$E:$Z,5,FALSE)</f>
        <v>NTDs</v>
      </c>
      <c r="J171" s="320" t="str">
        <f>VLOOKUP($E171,TaskValues_ref!$E:$Z,6,FALSE)</f>
        <v>women 15-49</v>
      </c>
      <c r="K171" s="321" t="str">
        <f>VLOOKUP($E171,TaskValues_ref!$E:$Z,10,FALSE)</f>
        <v>Ethiopia</v>
      </c>
      <c r="L171" s="195">
        <f>IF(VLOOKUP($E171,TaskValues_ref!$E:$Z,11,FALSE)=0,"",VLOOKUP($E171,TaskValues_ref!$E:$Z,11,FALSE))</f>
        <v>0.33399999999999996</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25">
      <c r="A172" s="66" t="s">
        <v>2339</v>
      </c>
      <c r="B172" s="66" t="s">
        <v>528</v>
      </c>
      <c r="C172" s="66" t="s">
        <v>2484</v>
      </c>
      <c r="D172" s="66">
        <f t="shared" si="5"/>
        <v>175</v>
      </c>
      <c r="E172" s="64" t="str">
        <f t="shared" si="6"/>
        <v>DPC.NTD.175</v>
      </c>
      <c r="F172" s="319" t="str">
        <f>VLOOKUP(E172,TaskValues_ref!E:F,2,FALSE)</f>
        <v>Scabies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Ethiopia</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25">
      <c r="A173" s="66" t="s">
        <v>2339</v>
      </c>
      <c r="B173" s="66" t="s">
        <v>528</v>
      </c>
      <c r="C173" s="66" t="s">
        <v>2484</v>
      </c>
      <c r="D173" s="66">
        <f t="shared" si="5"/>
        <v>176</v>
      </c>
      <c r="E173" s="64" t="str">
        <f t="shared" si="6"/>
        <v>DPC.NTD.176</v>
      </c>
      <c r="F173" s="319" t="str">
        <f>VLOOKUP(E173,TaskValues_ref!E:F,2,FALSE)</f>
        <v>Scabies MDA</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Ethiopia</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25">
      <c r="A174" s="66" t="s">
        <v>2486</v>
      </c>
      <c r="D174" s="66" t="s">
        <v>2488</v>
      </c>
      <c r="E174" s="64" t="s">
        <v>2627</v>
      </c>
      <c r="F174" s="319" t="str">
        <f>VLOOKUP(E174,TaskValues_ref!E:F,2,FALSE)</f>
        <v>Model household program</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Ethiopia</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7</v>
      </c>
      <c r="S174" t="str">
        <f>IF(VLOOKUP($E174,TaskValues_ref!$E:$Z,20,FALSE)=0,"",VLOOKUP($E174,TaskValues_ref!$E:$Z,20,FALSE))</f>
        <v/>
      </c>
    </row>
    <row r="175" spans="1:19" x14ac:dyDescent="0.25">
      <c r="A175" s="66" t="s">
        <v>2489</v>
      </c>
      <c r="D175" s="66" t="s">
        <v>2490</v>
      </c>
      <c r="E175" s="64" t="s">
        <v>2628</v>
      </c>
      <c r="F175" s="319" t="str">
        <f>VLOOKUP(E175,TaskValues_ref!E:F,2,FALSE)</f>
        <v>Model household program</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Ethiopia</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7</v>
      </c>
      <c r="S175" t="str">
        <f>IF(VLOOKUP($E175,TaskValues_ref!$E:$Z,20,FALSE)=0,"",VLOOKUP($E175,TaskValues_ref!$E:$Z,20,FALSE))</f>
        <v/>
      </c>
    </row>
    <row r="176" spans="1:19" x14ac:dyDescent="0.25">
      <c r="A176" s="319" t="s">
        <v>1953</v>
      </c>
      <c r="E176" s="64" t="s">
        <v>1953</v>
      </c>
      <c r="F176" s="319" t="str">
        <f>VLOOKUP(E176,TaskValues_ref!E:F,2,FALSE)</f>
        <v>Record keeping</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Ethiopia</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1</v>
      </c>
      <c r="O176">
        <f>IF(VLOOKUP($E176,TaskValues_ref!$E:$Z,16,FALSE)=0,"",VLOOKUP($E176,TaskValues_ref!$E:$Z,16,FALSE))</f>
        <v>1</v>
      </c>
      <c r="P176" t="str">
        <f>IF(VLOOKUP($E176,TaskValues_ref!$E:$Z,17,FALSE)=0,"",VLOOKUP($E176,TaskValues_ref!$E:$Z,17,FALSE))</f>
        <v/>
      </c>
      <c r="Q176">
        <f>IF(VLOOKUP($E176,TaskValues_ref!$E:$Z,18,FALSE)=0,"",VLOOKUP($E176,TaskValues_ref!$E:$Z,18,FALSE))</f>
        <v>45.844447190612613</v>
      </c>
      <c r="R176" t="str">
        <f>IF(VLOOKUP($E176,TaskValues_ref!$E:$Z,19,FALSE)=0,"",VLOOKUP($E176,TaskValues_ref!$E:$Z,19,FALSE))</f>
        <v/>
      </c>
      <c r="S176" t="str">
        <f>IF(VLOOKUP($E176,TaskValues_ref!$E:$Z,20,FALSE)=0,"",VLOOKUP($E176,TaskValues_ref!$E:$Z,20,FALSE))</f>
        <v/>
      </c>
    </row>
    <row r="177" spans="1:19" x14ac:dyDescent="0.25">
      <c r="A177" s="66" t="s">
        <v>2772</v>
      </c>
      <c r="E177" s="66" t="s">
        <v>2772</v>
      </c>
      <c r="F177" s="319" t="str">
        <f>VLOOKUP(E177,TaskValues_ref!E:F,2,FALSE)</f>
        <v>Test additional</v>
      </c>
      <c r="K177" s="321" t="str">
        <f>VLOOKUP($E177,TaskValues_ref!$E:$Z,10,FALSE)</f>
        <v>Ethiopia</v>
      </c>
      <c r="S177">
        <v>1E-3</v>
      </c>
    </row>
    <row r="178" spans="1:19" x14ac:dyDescent="0.25">
      <c r="A178" s="66" t="s">
        <v>192</v>
      </c>
      <c r="E178" s="64" t="s">
        <v>2795</v>
      </c>
      <c r="F178" s="319" t="str">
        <f>VLOOKUP(E178,TaskValues_ref!E:F,2,FALSE)</f>
        <v>Travel HEH</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Ethiopia</v>
      </c>
      <c r="L178" s="195">
        <f>IF(VLOOKUP($E178,TaskValues_ref!$E:$Z,11,FALSE)=0,"",VLOOKUP($E178,TaskValues_ref!$E:$Z,11,FALSE))</f>
        <v>0.05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1:19" x14ac:dyDescent="0.25">
      <c r="A179" s="66" t="s">
        <v>192</v>
      </c>
      <c r="E179" s="64" t="s">
        <v>2796</v>
      </c>
      <c r="F179" s="319" t="str">
        <f>VLOOKUP(E179,TaskValues_ref!E:F,2,FALSE)</f>
        <v>Travel HEP</v>
      </c>
      <c r="G179" s="321" t="str">
        <f>VLOOKUP($E179,TaskValues_ref!$E:$Z,3,FALSE)</f>
        <v>Non-productive</v>
      </c>
      <c r="H179" s="321" t="str">
        <f>VLOOKUP($E179,TaskValues_ref!$E:$Z,4,FALSE)</f>
        <v>-</v>
      </c>
      <c r="I179" s="321" t="str">
        <f>VLOOKUP($E179,TaskValues_ref!$E:$Z,5,FALSE)</f>
        <v>-</v>
      </c>
      <c r="J179" s="320" t="str">
        <f>VLOOKUP($E179,TaskValues_ref!$E:$Z,6,FALSE)</f>
        <v>all</v>
      </c>
      <c r="K179" s="321" t="str">
        <f>VLOOKUP($E179,TaskValues_ref!$E:$Z,10,FALSE)</f>
        <v>Ethiopia</v>
      </c>
      <c r="L179" s="195">
        <f>IF(VLOOKUP($E179,TaskValues_ref!$E:$Z,11,FALSE)=0,"",VLOOKUP($E179,TaskValues_ref!$E:$Z,11,FALSE))</f>
        <v>0.05</v>
      </c>
      <c r="M179" s="321" t="str">
        <f>IF(VLOOKUP($E179,TaskValues_ref!$E:$Z,13,FALSE)=0,"",VLOOKUP($E179,TaskValues_ref!$E:$Z,13,FALSE))</f>
        <v/>
      </c>
      <c r="N179" s="89">
        <f>IF(VLOOKUP($E179,TaskValues_ref!$E:$Z,15,FALSE)=0,"",VLOOKUP($E179,TaskValues_ref!$E:$Z,15,FALSE))</f>
        <v>0.98</v>
      </c>
      <c r="O179">
        <f>IF(VLOOKUP($E179,TaskValues_ref!$E:$Z,16,FALSE)=0,"",VLOOKUP($E179,TaskValues_ref!$E:$Z,16,FALSE))</f>
        <v>1</v>
      </c>
      <c r="P179" t="str">
        <f>IF(VLOOKUP($E179,TaskValues_ref!$E:$Z,17,FALSE)=0,"",VLOOKUP($E179,TaskValues_ref!$E:$Z,17,FALSE))</f>
        <v/>
      </c>
      <c r="Q179">
        <f>IF(VLOOKUP($E179,TaskValues_ref!$E:$Z,18,FALSE)=0,"",VLOOKUP($E179,TaskValues_ref!$E:$Z,18,FALSE))</f>
        <v>53.832494807158753</v>
      </c>
      <c r="R179" t="str">
        <f>IF(VLOOKUP($E179,TaskValues_ref!$E:$Z,19,FALSE)=0,"",VLOOKUP($E179,TaskValues_ref!$E:$Z,19,FALSE))</f>
        <v/>
      </c>
      <c r="S179" t="str">
        <f>IF(VLOOKUP($E179,TaskValues_ref!$E:$Z,20,FALSE)=0,"",VLOOKUP($E179,TaskValues_ref!$E:$Z,20,FALSE))</f>
        <v/>
      </c>
    </row>
    <row r="180" spans="1:19" x14ac:dyDescent="0.25">
      <c r="E180" s="64" t="s">
        <v>2813</v>
      </c>
      <c r="F180" s="321" t="s">
        <v>2819</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Ethiopia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1:19" x14ac:dyDescent="0.25">
      <c r="E181" s="64" t="s">
        <v>2814</v>
      </c>
      <c r="F181" s="321" t="s">
        <v>2820</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Ethiopia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1:19" x14ac:dyDescent="0.25">
      <c r="E182" s="64" t="s">
        <v>2815</v>
      </c>
      <c r="F182" s="321" t="s">
        <v>2821</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Ethiopia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1:19" x14ac:dyDescent="0.25">
      <c r="E183" s="64" t="s">
        <v>2816</v>
      </c>
      <c r="F183" s="321" t="s">
        <v>2822</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Ethiopia</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x14ac:dyDescent="0.25">
      <c r="E184" s="64" t="s">
        <v>2817</v>
      </c>
      <c r="F184" s="321" t="s">
        <v>2823</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Ethiopia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x14ac:dyDescent="0.25">
      <c r="E185" s="64" t="s">
        <v>2818</v>
      </c>
      <c r="F185" s="321" t="s">
        <v>2824</v>
      </c>
      <c r="G185" s="321" t="str">
        <f>VLOOKUP($E185,TaskValues_ref!$E:$Z,3,FALSE)</f>
        <v>Non-productive</v>
      </c>
      <c r="H185" s="321" t="str">
        <f>VLOOKUP($E185,TaskValues_ref!$E:$Z,4,FALSE)</f>
        <v>-</v>
      </c>
      <c r="I185" s="321" t="str">
        <f>VLOOKUP($E185,TaskValues_ref!$E:$Z,5,FALSE)</f>
        <v>-</v>
      </c>
      <c r="J185" s="320" t="str">
        <f>VLOOKUP($E185,TaskValues_ref!$E:$Z,6,FALSE)</f>
        <v>-</v>
      </c>
      <c r="K185" s="321" t="str">
        <f>VLOOKUP($E185,TaskValues_ref!$E:$Z,10,FALSE)</f>
        <v>Ethiopia</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H177 H186:H406</xm:sqref>
        </x14:dataValidation>
        <x14:dataValidation type="list" allowBlank="1" showInputMessage="1" showErrorMessage="1" xr:uid="{C778851C-6D51-4973-BEA4-95ED53345D6A}">
          <x14:formula1>
            <xm:f>lookups!$D$2:$D$15</xm:f>
          </x14:formula1>
          <xm:sqref>I177 I186:I505</xm:sqref>
        </x14:dataValidation>
        <x14:dataValidation type="list" allowBlank="1" showInputMessage="1" showErrorMessage="1" xr:uid="{44980E56-DBE4-4B18-A93C-99BBAF388053}">
          <x14:formula1>
            <xm:f>lookups!$F$2:$F$25</xm:f>
          </x14:formula1>
          <xm:sqref>J2:J1048576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6"/>
  <sheetViews>
    <sheetView zoomScale="60" zoomScaleNormal="60" workbookViewId="0">
      <pane ySplit="1" topLeftCell="A62" activePane="bottomLeft" state="frozen"/>
      <selection activeCell="O195" sqref="O195"/>
      <selection pane="bottomLeft" activeCell="C80" sqref="C80"/>
    </sheetView>
  </sheetViews>
  <sheetFormatPr defaultRowHeight="15" x14ac:dyDescent="0.25"/>
  <cols>
    <col min="1" max="4" width="4.5703125" style="66" customWidth="1"/>
    <col min="5" max="5" width="15.140625" style="64" customWidth="1"/>
    <col min="6" max="6" width="42" style="319" bestFit="1" customWidth="1"/>
    <col min="7" max="9" width="7.42578125" style="319" customWidth="1"/>
    <col min="10" max="10" width="7.425781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2778</v>
      </c>
      <c r="B1" s="325" t="s">
        <v>2779</v>
      </c>
      <c r="C1" s="325" t="s">
        <v>1012</v>
      </c>
      <c r="D1" s="325" t="s">
        <v>2780</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2164</v>
      </c>
      <c r="B2" s="355" t="s">
        <v>2165</v>
      </c>
      <c r="C2" s="356" t="s">
        <v>153</v>
      </c>
      <c r="D2" s="353">
        <v>1</v>
      </c>
      <c r="E2" s="64" t="s">
        <v>2166</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Ethiopia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2164</v>
      </c>
      <c r="B3" s="355" t="s">
        <v>2165</v>
      </c>
      <c r="C3" s="356" t="s">
        <v>2186</v>
      </c>
      <c r="D3" s="353">
        <v>7</v>
      </c>
      <c r="E3" s="64" t="s">
        <v>2192</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Ethiopia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25">
      <c r="A4" s="355" t="s">
        <v>2164</v>
      </c>
      <c r="B4" s="355" t="s">
        <v>2165</v>
      </c>
      <c r="C4" s="356" t="s">
        <v>2207</v>
      </c>
      <c r="D4" s="353">
        <v>12</v>
      </c>
      <c r="E4" s="64" t="s">
        <v>2208</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Ethiopia</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25">
      <c r="A5" s="355" t="s">
        <v>2164</v>
      </c>
      <c r="B5" s="355" t="s">
        <v>2165</v>
      </c>
      <c r="C5" s="356" t="s">
        <v>2207</v>
      </c>
      <c r="D5" s="353">
        <v>13</v>
      </c>
      <c r="E5" s="64" t="s">
        <v>2770</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Ethiopia</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25">
      <c r="A6" s="355" t="s">
        <v>2164</v>
      </c>
      <c r="B6" s="355" t="s">
        <v>2165</v>
      </c>
      <c r="C6" s="356" t="s">
        <v>2207</v>
      </c>
      <c r="D6" s="353">
        <v>14</v>
      </c>
      <c r="E6" s="64" t="s">
        <v>2771</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Ethiopia</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25">
      <c r="A7" s="355" t="s">
        <v>2164</v>
      </c>
      <c r="B7" s="356" t="s">
        <v>2214</v>
      </c>
      <c r="C7" s="356"/>
      <c r="D7" s="353">
        <v>15</v>
      </c>
      <c r="E7" s="64" t="s">
        <v>2632</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Ethiopia</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25">
      <c r="A8" s="355" t="s">
        <v>2164</v>
      </c>
      <c r="B8" s="356" t="s">
        <v>2214</v>
      </c>
      <c r="C8" s="356"/>
      <c r="D8" s="353">
        <v>17</v>
      </c>
      <c r="E8" s="64" t="s">
        <v>2634</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Ethiopia</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5" t="s">
        <v>2164</v>
      </c>
      <c r="B9" s="356" t="s">
        <v>2214</v>
      </c>
      <c r="C9" s="356"/>
      <c r="D9" s="353">
        <v>18</v>
      </c>
      <c r="E9" s="64" t="s">
        <v>2635</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Ethiopia</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5" t="s">
        <v>2164</v>
      </c>
      <c r="B10" s="356" t="s">
        <v>2214</v>
      </c>
      <c r="C10" s="356"/>
      <c r="D10" s="353">
        <v>19</v>
      </c>
      <c r="E10" s="64" t="s">
        <v>2226</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Ethiopia</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25">
      <c r="A11" s="355" t="s">
        <v>2164</v>
      </c>
      <c r="B11" s="356" t="s">
        <v>2214</v>
      </c>
      <c r="C11" s="356"/>
      <c r="D11" s="353">
        <v>19</v>
      </c>
      <c r="E11" s="64" t="s">
        <v>2228</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Ethiopia</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25">
      <c r="A12" s="355" t="s">
        <v>2164</v>
      </c>
      <c r="B12" s="356" t="s">
        <v>2214</v>
      </c>
      <c r="C12" s="356"/>
      <c r="D12" s="353">
        <v>19</v>
      </c>
      <c r="E12" s="64" t="s">
        <v>2229</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Ethiopia</v>
      </c>
      <c r="L12" s="195">
        <f>IF(VLOOKUP($E12,TaskValues_ref!$E:$Z,11,FALSE)=0,"",VLOOKUP($E12,TaskValues_ref!$E:$Z,11,FALSE))</f>
        <v>0.46090000000000003</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25">
      <c r="A13" s="355" t="s">
        <v>2164</v>
      </c>
      <c r="B13" s="356" t="s">
        <v>2214</v>
      </c>
      <c r="C13" s="356"/>
      <c r="D13" s="353">
        <v>19</v>
      </c>
      <c r="E13" s="64" t="s">
        <v>2831</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Ethiopia</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25">
      <c r="A14" s="355" t="s">
        <v>2164</v>
      </c>
      <c r="B14" s="356" t="s">
        <v>2214</v>
      </c>
      <c r="C14" s="356"/>
      <c r="D14" s="353">
        <v>23</v>
      </c>
      <c r="E14" s="64" t="s">
        <v>2639</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Ethiopia</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5" t="s">
        <v>2164</v>
      </c>
      <c r="B15" s="356" t="s">
        <v>2214</v>
      </c>
      <c r="C15" s="356"/>
      <c r="D15" s="353">
        <v>24</v>
      </c>
      <c r="E15" s="64" t="s">
        <v>2640</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Ethiopia</v>
      </c>
      <c r="L15" s="195">
        <f>IF(VLOOKUP($E15,TaskValues_ref!$E:$Z,11,FALSE)=0,"",VLOOKUP($E15,TaskValues_ref!$E:$Z,11,FALSE))</f>
        <v>3.5000000000000001E-3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25">
      <c r="A16" s="355" t="s">
        <v>2164</v>
      </c>
      <c r="B16" s="356" t="s">
        <v>2214</v>
      </c>
      <c r="C16" s="356"/>
      <c r="D16" s="353">
        <v>29</v>
      </c>
      <c r="E16" s="64" t="s">
        <v>2643</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Ethiopia</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25">
      <c r="A17" s="355" t="s">
        <v>2164</v>
      </c>
      <c r="B17" s="356" t="s">
        <v>2214</v>
      </c>
      <c r="C17" s="356"/>
      <c r="D17" s="353">
        <v>30</v>
      </c>
      <c r="E17" s="64" t="s">
        <v>2644</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Ethiopia</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25">
      <c r="A18" s="355" t="s">
        <v>2164</v>
      </c>
      <c r="B18" s="356" t="s">
        <v>2236</v>
      </c>
      <c r="C18" s="356"/>
      <c r="D18" s="353">
        <v>31</v>
      </c>
      <c r="E18" s="64" t="s">
        <v>2254</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Ethiopia</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5" t="s">
        <v>2164</v>
      </c>
      <c r="B19" s="356" t="s">
        <v>2236</v>
      </c>
      <c r="C19" s="356"/>
      <c r="D19" s="353">
        <v>32</v>
      </c>
      <c r="E19" s="64" t="s">
        <v>2260</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Ethiopia</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5" t="s">
        <v>2164</v>
      </c>
      <c r="B20" s="356" t="s">
        <v>2236</v>
      </c>
      <c r="C20" s="356"/>
      <c r="D20" s="353">
        <v>32</v>
      </c>
      <c r="E20" s="64" t="s">
        <v>2261</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Ethiopia</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2164</v>
      </c>
      <c r="B21" s="356" t="s">
        <v>2236</v>
      </c>
      <c r="C21" s="356"/>
      <c r="D21" s="353">
        <v>32</v>
      </c>
      <c r="E21" s="64" t="s">
        <v>2262</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Ethiopia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2164</v>
      </c>
      <c r="B22" s="356" t="s">
        <v>2236</v>
      </c>
      <c r="C22" s="356"/>
      <c r="D22" s="353">
        <v>32</v>
      </c>
      <c r="E22" s="64" t="s">
        <v>2263</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Ethiopia</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25">
      <c r="A23" s="355" t="s">
        <v>2164</v>
      </c>
      <c r="B23" s="356" t="s">
        <v>2236</v>
      </c>
      <c r="C23" s="356"/>
      <c r="D23" s="353">
        <v>33</v>
      </c>
      <c r="E23" s="64" t="s">
        <v>2255</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Ethiopia</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25">
      <c r="A24" s="355" t="s">
        <v>2164</v>
      </c>
      <c r="B24" s="356" t="s">
        <v>2236</v>
      </c>
      <c r="C24" s="356"/>
      <c r="D24" s="353">
        <v>34</v>
      </c>
      <c r="E24" s="64" t="s">
        <v>2256</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Ethiopia</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5" t="s">
        <v>2164</v>
      </c>
      <c r="B25" s="356" t="s">
        <v>2236</v>
      </c>
      <c r="C25" s="356"/>
      <c r="D25" s="353">
        <v>35</v>
      </c>
      <c r="E25" s="64" t="s">
        <v>2257</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Ethiopia</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25">
      <c r="A26" s="355" t="s">
        <v>2164</v>
      </c>
      <c r="B26" s="356" t="s">
        <v>2236</v>
      </c>
      <c r="C26" s="356"/>
      <c r="D26" s="353">
        <v>36</v>
      </c>
      <c r="E26" s="64" t="s">
        <v>2258</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Ethiopia</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25">
      <c r="A27" s="355" t="s">
        <v>2164</v>
      </c>
      <c r="B27" s="356" t="s">
        <v>2236</v>
      </c>
      <c r="C27" s="356"/>
      <c r="D27" s="353">
        <v>37</v>
      </c>
      <c r="E27" s="64" t="s">
        <v>2259</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Ethiopia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5" t="s">
        <v>2164</v>
      </c>
      <c r="B28" s="356" t="s">
        <v>2267</v>
      </c>
      <c r="C28" s="356"/>
      <c r="D28" s="353">
        <v>38</v>
      </c>
      <c r="E28" s="64" t="s">
        <v>2294</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Ethiopia</v>
      </c>
      <c r="L28" s="195">
        <f>IF(VLOOKUP($E28,TaskValues_ref!$E:$Z,11,FALSE)=0,"",VLOOKUP($E28,TaskValues_ref!$E:$Z,11,FALSE))</f>
        <v>0.40500000000000003</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25">
      <c r="A29" s="355" t="s">
        <v>2164</v>
      </c>
      <c r="B29" s="356" t="s">
        <v>2267</v>
      </c>
      <c r="C29" s="356"/>
      <c r="D29" s="353">
        <v>38</v>
      </c>
      <c r="E29" s="64" t="s">
        <v>2295</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Ethiopia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5" t="s">
        <v>2164</v>
      </c>
      <c r="B30" s="356" t="s">
        <v>2267</v>
      </c>
      <c r="C30" s="356"/>
      <c r="D30" s="353">
        <v>38</v>
      </c>
      <c r="E30" s="64" t="s">
        <v>2296</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Ethiopia</v>
      </c>
      <c r="L30" s="195">
        <f>IF(VLOOKUP($E30,TaskValues_ref!$E:$Z,11,FALSE)=0,"",VLOOKUP($E30,TaskValues_ref!$E:$Z,11,FALSE))</f>
        <v>1.9911686746987955E-2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25">
      <c r="A31" s="355" t="s">
        <v>2164</v>
      </c>
      <c r="B31" s="356" t="s">
        <v>2267</v>
      </c>
      <c r="C31" s="356"/>
      <c r="D31" s="353">
        <v>39</v>
      </c>
      <c r="E31" s="64" t="s">
        <v>2645</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Ethiopia</v>
      </c>
      <c r="L31" s="195">
        <f>IF(VLOOKUP($E31,TaskValues_ref!$E:$Z,11,FALSE)=0,"",VLOOKUP($E31,TaskValues_ref!$E:$Z,11,FALSE))</f>
        <v>0.27813253012048195</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5" t="s">
        <v>2164</v>
      </c>
      <c r="B32" s="356" t="s">
        <v>2267</v>
      </c>
      <c r="C32" s="356"/>
      <c r="D32" s="353">
        <v>42</v>
      </c>
      <c r="E32" s="64" t="s">
        <v>2648</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Ethiopia</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25">
      <c r="A33" s="355" t="s">
        <v>2164</v>
      </c>
      <c r="B33" s="356" t="s">
        <v>2267</v>
      </c>
      <c r="C33" s="356"/>
      <c r="D33" s="353">
        <v>44</v>
      </c>
      <c r="E33" s="64" t="s">
        <v>2650</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Ethiopia</v>
      </c>
      <c r="L33" s="195">
        <f>IF(VLOOKUP($E33,TaskValues_ref!$E:$Z,11,FALSE)=0,"",VLOOKUP($E33,TaskValues_ref!$E:$Z,11,FALSE))</f>
        <v>9.6000000000000002E-2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25">
      <c r="A34" s="355" t="s">
        <v>2164</v>
      </c>
      <c r="B34" s="356" t="s">
        <v>2267</v>
      </c>
      <c r="C34" s="356"/>
      <c r="D34" s="353">
        <v>45</v>
      </c>
      <c r="E34" s="64" t="s">
        <v>2651</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Ethiopia</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2164</v>
      </c>
      <c r="B35" s="356" t="s">
        <v>2267</v>
      </c>
      <c r="C35" s="356"/>
      <c r="D35" s="353">
        <v>47</v>
      </c>
      <c r="E35" s="64" t="s">
        <v>2653</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Ethiopia</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2164</v>
      </c>
      <c r="B36" s="356" t="s">
        <v>2267</v>
      </c>
      <c r="C36" s="356"/>
      <c r="D36" s="353">
        <v>48</v>
      </c>
      <c r="E36" s="64" t="s">
        <v>2654</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Ethiopia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5" t="s">
        <v>2164</v>
      </c>
      <c r="B37" s="356" t="s">
        <v>2267</v>
      </c>
      <c r="C37" s="356"/>
      <c r="D37" s="353">
        <v>49</v>
      </c>
      <c r="E37" s="64" t="s">
        <v>2655</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Ethiopia</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25">
      <c r="A38" s="355" t="s">
        <v>2164</v>
      </c>
      <c r="B38" s="356" t="s">
        <v>2267</v>
      </c>
      <c r="C38" s="356"/>
      <c r="D38" s="353">
        <v>50</v>
      </c>
      <c r="E38" s="64" t="s">
        <v>2656</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Ethiopia</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5" t="s">
        <v>2164</v>
      </c>
      <c r="B39" s="356" t="s">
        <v>2267</v>
      </c>
      <c r="C39" s="356"/>
      <c r="D39" s="353">
        <v>51</v>
      </c>
      <c r="E39" s="64" t="s">
        <v>2657</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Ethiopia</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25">
      <c r="A40" s="355" t="s">
        <v>2164</v>
      </c>
      <c r="B40" s="356" t="s">
        <v>2267</v>
      </c>
      <c r="C40" s="356"/>
      <c r="D40" s="353">
        <v>52</v>
      </c>
      <c r="E40" s="64" t="s">
        <v>2658</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Ethiopia</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25">
      <c r="A41" s="355" t="s">
        <v>2164</v>
      </c>
      <c r="B41" s="356" t="s">
        <v>2267</v>
      </c>
      <c r="C41" s="356"/>
      <c r="D41" s="353">
        <v>53</v>
      </c>
      <c r="E41" s="64" t="s">
        <v>2659</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Ethiopia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5" t="s">
        <v>2164</v>
      </c>
      <c r="B42" s="356" t="s">
        <v>2267</v>
      </c>
      <c r="C42" s="356"/>
      <c r="D42" s="353">
        <v>58</v>
      </c>
      <c r="E42" s="64" t="s">
        <v>2664</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Ethiopia</v>
      </c>
      <c r="L42" s="195">
        <f>IF(VLOOKUP($E42,TaskValues_ref!$E:$Z,11,FALSE)=0,"",VLOOKUP($E42,TaskValues_ref!$E:$Z,11,FALSE))</f>
        <v>0.21300000000000002</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25">
      <c r="A43" s="355" t="s">
        <v>2164</v>
      </c>
      <c r="B43" s="356" t="s">
        <v>2267</v>
      </c>
      <c r="C43" s="356"/>
      <c r="D43" s="353">
        <v>59</v>
      </c>
      <c r="E43" s="64" t="s">
        <v>2665</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Ethiopia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5" t="s">
        <v>2164</v>
      </c>
      <c r="B44" s="356" t="s">
        <v>2267</v>
      </c>
      <c r="C44" s="356"/>
      <c r="D44" s="353">
        <v>62</v>
      </c>
      <c r="E44" s="64" t="s">
        <v>2668</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Ethiopia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25">
      <c r="A45" s="355" t="s">
        <v>2164</v>
      </c>
      <c r="B45" s="356" t="s">
        <v>70</v>
      </c>
      <c r="C45" s="356"/>
      <c r="D45" s="353">
        <v>64</v>
      </c>
      <c r="E45" s="64" t="s">
        <v>2669</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Ethiopia</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25">
      <c r="A46" s="355" t="s">
        <v>2164</v>
      </c>
      <c r="B46" s="356" t="s">
        <v>70</v>
      </c>
      <c r="C46" s="356"/>
      <c r="D46" s="353">
        <v>65</v>
      </c>
      <c r="E46" s="64" t="s">
        <v>2670</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Ethiopia</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5" t="s">
        <v>2164</v>
      </c>
      <c r="B47" s="356" t="s">
        <v>70</v>
      </c>
      <c r="C47" s="356"/>
      <c r="D47" s="353">
        <v>66</v>
      </c>
      <c r="E47" s="64" t="s">
        <v>2671</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Ethiopia</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5" t="s">
        <v>2164</v>
      </c>
      <c r="B48" s="356" t="s">
        <v>70</v>
      </c>
      <c r="C48" s="356"/>
      <c r="D48" s="353">
        <v>67</v>
      </c>
      <c r="E48" s="64" t="s">
        <v>2672</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Ethiopia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5" t="s">
        <v>2164</v>
      </c>
      <c r="B49" s="356" t="s">
        <v>70</v>
      </c>
      <c r="C49" s="356"/>
      <c r="D49" s="370">
        <v>70</v>
      </c>
      <c r="E49" s="64" t="s">
        <v>2674</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Ethiopia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5" t="s">
        <v>2164</v>
      </c>
      <c r="B50" s="356" t="s">
        <v>70</v>
      </c>
      <c r="C50" s="356"/>
      <c r="D50" s="370">
        <v>71</v>
      </c>
      <c r="E50" s="64" t="s">
        <v>2675</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Ethiopia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5" t="s">
        <v>2164</v>
      </c>
      <c r="B51" s="356" t="s">
        <v>70</v>
      </c>
      <c r="C51" s="356"/>
      <c r="D51" s="370">
        <v>74</v>
      </c>
      <c r="E51" s="64" t="s">
        <v>2678</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Ethiopia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5" t="s">
        <v>2164</v>
      </c>
      <c r="B52" s="356" t="s">
        <v>70</v>
      </c>
      <c r="C52" s="356"/>
      <c r="D52" s="370">
        <v>75</v>
      </c>
      <c r="E52" s="64" t="s">
        <v>2679</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Ethiopia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5" t="s">
        <v>2164</v>
      </c>
      <c r="B53" s="356" t="s">
        <v>70</v>
      </c>
      <c r="C53" s="356"/>
      <c r="D53" s="370">
        <v>76</v>
      </c>
      <c r="E53" s="64" t="s">
        <v>2680</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Ethiopia</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5" t="s">
        <v>2164</v>
      </c>
      <c r="B54" s="356" t="s">
        <v>70</v>
      </c>
      <c r="C54" s="356"/>
      <c r="D54" s="370">
        <v>77</v>
      </c>
      <c r="E54" s="64" t="s">
        <v>2681</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Ethiopia</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25">
      <c r="A55" s="355" t="s">
        <v>2164</v>
      </c>
      <c r="B55" s="356" t="s">
        <v>70</v>
      </c>
      <c r="C55" s="356"/>
      <c r="D55" s="370">
        <v>78</v>
      </c>
      <c r="E55" s="64" t="s">
        <v>2682</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Ethiopia</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5" t="s">
        <v>2164</v>
      </c>
      <c r="B56" s="356" t="s">
        <v>70</v>
      </c>
      <c r="C56" s="356"/>
      <c r="D56" s="370">
        <v>79</v>
      </c>
      <c r="E56" s="64" t="s">
        <v>2683</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Ethiopia</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5" t="s">
        <v>2164</v>
      </c>
      <c r="B57" s="356" t="s">
        <v>70</v>
      </c>
      <c r="C57" s="356"/>
      <c r="D57" s="370">
        <v>80</v>
      </c>
      <c r="E57" s="64" t="s">
        <v>2684</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Ethiopia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5" t="s">
        <v>2164</v>
      </c>
      <c r="B58" s="356" t="s">
        <v>70</v>
      </c>
      <c r="C58" s="356"/>
      <c r="D58" s="370">
        <v>81</v>
      </c>
      <c r="E58" s="64" t="s">
        <v>2685</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Ethiopia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2164</v>
      </c>
      <c r="B59" s="356" t="s">
        <v>70</v>
      </c>
      <c r="C59" s="356"/>
      <c r="D59" s="370">
        <v>82</v>
      </c>
      <c r="E59" s="64" t="s">
        <v>2686</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Ethiopia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2164</v>
      </c>
      <c r="B60" s="356" t="s">
        <v>70</v>
      </c>
      <c r="C60" s="356"/>
      <c r="D60" s="370">
        <v>83</v>
      </c>
      <c r="E60" s="64" t="s">
        <v>2687</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Ethiopia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2164</v>
      </c>
      <c r="B61" s="356" t="s">
        <v>70</v>
      </c>
      <c r="C61" s="356"/>
      <c r="D61" s="370">
        <v>84</v>
      </c>
      <c r="E61" s="64" t="s">
        <v>2688</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Ethiopia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5" t="s">
        <v>2164</v>
      </c>
      <c r="B62" s="356" t="s">
        <v>70</v>
      </c>
      <c r="C62" s="356"/>
      <c r="D62" s="370">
        <v>85</v>
      </c>
      <c r="E62" s="64" t="s">
        <v>2689</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Ethiopia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5" t="s">
        <v>2164</v>
      </c>
      <c r="B63" s="356" t="s">
        <v>70</v>
      </c>
      <c r="C63" s="356"/>
      <c r="D63" s="370">
        <v>86</v>
      </c>
      <c r="E63" s="64" t="s">
        <v>2690</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Ethiopia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7" t="s">
        <v>2339</v>
      </c>
      <c r="B64" s="357" t="s">
        <v>2337</v>
      </c>
      <c r="C64" s="357" t="s">
        <v>2338</v>
      </c>
      <c r="D64" s="66">
        <v>95</v>
      </c>
      <c r="E64" s="64" t="s">
        <v>2692</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Ethiopia</v>
      </c>
      <c r="L64" s="195">
        <f>IF(VLOOKUP($E64,TaskValues_ref!$E:$Z,11,FALSE)=0,"",VLOOKUP($E64,TaskValues_ref!$E:$Z,11,FALSE))</f>
        <v>2.0927000000000001E-4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25">
      <c r="A65" s="357" t="s">
        <v>2339</v>
      </c>
      <c r="B65" s="357" t="s">
        <v>2337</v>
      </c>
      <c r="C65" s="357" t="s">
        <v>2338</v>
      </c>
      <c r="D65" s="66">
        <v>99</v>
      </c>
      <c r="E65" s="64" t="s">
        <v>2696</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Ethiopia</v>
      </c>
      <c r="L65" s="195">
        <f>IF(VLOOKUP($E65,TaskValues_ref!$E:$Z,11,FALSE)=0,"",VLOOKUP($E65,TaskValues_ref!$E:$Z,11,FALSE))</f>
        <v>2.0927000000000001E-4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25">
      <c r="A66" s="357" t="s">
        <v>2339</v>
      </c>
      <c r="B66" s="357" t="s">
        <v>2337</v>
      </c>
      <c r="C66" s="357" t="s">
        <v>69</v>
      </c>
      <c r="D66" s="66">
        <v>102</v>
      </c>
      <c r="E66" s="64" t="s">
        <v>2699</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Ethiopia</v>
      </c>
      <c r="L66" s="195">
        <f>IF(VLOOKUP($E66,TaskValues_ref!$E:$Z,11,FALSE)=0,"",VLOOKUP($E66,TaskValues_ref!$E:$Z,11,FALSE))</f>
        <v>0.21276595744680851</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25">
      <c r="A67" s="357" t="s">
        <v>2339</v>
      </c>
      <c r="B67" s="357" t="s">
        <v>2337</v>
      </c>
      <c r="C67" s="357" t="s">
        <v>69</v>
      </c>
      <c r="D67" s="66">
        <v>105</v>
      </c>
      <c r="E67" s="64" t="s">
        <v>2700</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Ethiopia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7" t="s">
        <v>2339</v>
      </c>
      <c r="B68" s="357" t="s">
        <v>2337</v>
      </c>
      <c r="C68" s="357" t="s">
        <v>69</v>
      </c>
      <c r="D68" s="66">
        <v>106</v>
      </c>
      <c r="E68" s="64" t="s">
        <v>2701</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Ethiopia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7" t="s">
        <v>2339</v>
      </c>
      <c r="B69" s="357" t="s">
        <v>2337</v>
      </c>
      <c r="C69" s="357" t="s">
        <v>69</v>
      </c>
      <c r="D69" s="66">
        <v>107</v>
      </c>
      <c r="E69" s="64" t="s">
        <v>2702</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Ethiopia</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7" t="s">
        <v>2339</v>
      </c>
      <c r="B70" s="357" t="s">
        <v>2337</v>
      </c>
      <c r="C70" s="357" t="s">
        <v>2369</v>
      </c>
      <c r="D70" s="66">
        <v>108</v>
      </c>
      <c r="E70" s="64" t="s">
        <v>2375</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Ethiopia</v>
      </c>
      <c r="L70" s="195">
        <f>IF(VLOOKUP($E70,TaskValues_ref!$E:$Z,11,FALSE)=0,"",VLOOKUP($E70,TaskValues_ref!$E:$Z,11,FALSE))</f>
        <v>1.32E-3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7" t="s">
        <v>2339</v>
      </c>
      <c r="B71" s="357" t="s">
        <v>2337</v>
      </c>
      <c r="C71" s="357" t="s">
        <v>2369</v>
      </c>
      <c r="D71" s="66">
        <v>108</v>
      </c>
      <c r="E71" s="64" t="s">
        <v>2376</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Ethiopia</v>
      </c>
      <c r="L71" s="195">
        <f>IF(VLOOKUP($E71,TaskValues_ref!$E:$Z,11,FALSE)=0,"",VLOOKUP($E71,TaskValues_ref!$E:$Z,11,FALSE))</f>
        <v>1.32E-3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25">
      <c r="A72" s="357" t="s">
        <v>2339</v>
      </c>
      <c r="B72" s="357" t="s">
        <v>2337</v>
      </c>
      <c r="C72" s="357" t="s">
        <v>2369</v>
      </c>
      <c r="D72" s="66">
        <v>110</v>
      </c>
      <c r="E72" s="64" t="s">
        <v>2704</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Ethiopia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7" t="s">
        <v>2339</v>
      </c>
      <c r="B73" s="357" t="s">
        <v>2380</v>
      </c>
      <c r="C73" s="357" t="s">
        <v>2381</v>
      </c>
      <c r="D73" s="66">
        <v>112</v>
      </c>
      <c r="E73" s="64" t="s">
        <v>2385</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Ethiopia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7" t="s">
        <v>2339</v>
      </c>
      <c r="B74" s="357" t="s">
        <v>2380</v>
      </c>
      <c r="C74" s="357" t="s">
        <v>2381</v>
      </c>
      <c r="D74" s="66">
        <v>113</v>
      </c>
      <c r="E74" s="64" t="s">
        <v>2386</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Ethiopia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7" t="s">
        <v>2339</v>
      </c>
      <c r="B75" s="357" t="s">
        <v>2380</v>
      </c>
      <c r="C75" s="357" t="s">
        <v>2381</v>
      </c>
      <c r="D75" s="66">
        <v>114</v>
      </c>
      <c r="E75" s="64" t="s">
        <v>2387</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Ethiopia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7" t="s">
        <v>2339</v>
      </c>
      <c r="B76" s="357" t="s">
        <v>2380</v>
      </c>
      <c r="C76" s="357" t="s">
        <v>2388</v>
      </c>
      <c r="D76" s="66">
        <v>115</v>
      </c>
      <c r="E76" s="64" t="s">
        <v>2705</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Ethiopia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7" t="s">
        <v>2339</v>
      </c>
      <c r="B77" s="357" t="s">
        <v>2380</v>
      </c>
      <c r="C77" s="357" t="s">
        <v>2388</v>
      </c>
      <c r="D77" s="66">
        <v>117</v>
      </c>
      <c r="E77" s="64" t="s">
        <v>2707</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Ethiopia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7" t="s">
        <v>2339</v>
      </c>
      <c r="B78" s="357" t="s">
        <v>2380</v>
      </c>
      <c r="C78" s="357" t="s">
        <v>2388</v>
      </c>
      <c r="D78" s="66">
        <v>119</v>
      </c>
      <c r="E78" s="64" t="s">
        <v>2709</v>
      </c>
      <c r="F78" s="319" t="str">
        <f>VLOOKUP(E78,TaskValues_ref!E:F,2,FALSE)</f>
        <v>Palliative care for cancer</v>
      </c>
      <c r="G78" s="321" t="str">
        <f>VLOOKUP($E78,TaskValues_ref!$E:$Z,3,FALSE)</f>
        <v>Clinical</v>
      </c>
      <c r="H78" s="321" t="str">
        <f>VLOOKUP($E78,TaskValues_ref!$E:$Z,4,FALSE)</f>
        <v>Acute</v>
      </c>
      <c r="I78" s="321" t="str">
        <f>VLOOKUP($E78,TaskValues_ref!$E:$Z,5,FALSE)</f>
        <v>NCDs</v>
      </c>
      <c r="J78" s="320" t="str">
        <f>VLOOKUP($E78,TaskValues_ref!$E:$Z,6,FALSE)</f>
        <v>adults 18+</v>
      </c>
      <c r="K78" s="321" t="str">
        <f>VLOOKUP($E78,TaskValues_ref!$E:$Z,10,FALSE)</f>
        <v>Ethiopia</v>
      </c>
      <c r="L78" s="195">
        <f>IF(VLOOKUP($E78,TaskValues_ref!$E:$Z,11,FALSE)=0,"",VLOOKUP($E78,TaskValues_ref!$E:$Z,11,FALSE))</f>
        <v>4.5100000000000001E-4</v>
      </c>
      <c r="M78" s="321">
        <f>IF(VLOOKUP($E78,TaskValues_ref!$E:$Z,13,FALSE)=0,"",VLOOKUP($E78,TaskValues_ref!$E:$Z,13,FALSE))</f>
        <v>0.5</v>
      </c>
      <c r="N78" s="89">
        <f>IF(VLOOKUP($E78,TaskValues_ref!$E:$Z,15,FALSE)=0,"",VLOOKUP($E78,TaskValues_ref!$E:$Z,15,FALSE))</f>
        <v>1.01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25">
      <c r="A79" s="357" t="s">
        <v>2339</v>
      </c>
      <c r="B79" s="357" t="s">
        <v>2380</v>
      </c>
      <c r="C79" s="357" t="s">
        <v>2395</v>
      </c>
      <c r="D79" s="66">
        <v>120</v>
      </c>
      <c r="E79" s="64" t="s">
        <v>2710</v>
      </c>
      <c r="F79" s="319" t="str">
        <f>VLOOKUP(E79,TaskValues_ref!E:F,2,FALSE)</f>
        <v>Lifestyle counseling</v>
      </c>
      <c r="G79" s="321" t="str">
        <f>VLOOKUP($E79,TaskValues_ref!$E:$Z,3,FALSE)</f>
        <v>Clinical</v>
      </c>
      <c r="H79" s="321" t="str">
        <f>VLOOKUP($E79,TaskValues_ref!$E:$Z,4,FALSE)</f>
        <v>Preventive</v>
      </c>
      <c r="I79" s="321" t="str">
        <f>VLOOKUP($E79,TaskValues_ref!$E:$Z,5,FALSE)</f>
        <v>NCDs</v>
      </c>
      <c r="J79" s="320" t="str">
        <f>VLOOKUP($E79,TaskValues_ref!$E:$Z,6,FALSE)</f>
        <v>-</v>
      </c>
      <c r="K79" s="321" t="str">
        <f>VLOOKUP($E79,TaskValues_ref!$E:$Z,10,FALSE)</f>
        <v>Ethiopia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7" t="s">
        <v>2339</v>
      </c>
      <c r="B80" s="357" t="s">
        <v>2380</v>
      </c>
      <c r="C80" s="357" t="s">
        <v>519</v>
      </c>
      <c r="D80" s="66">
        <v>123</v>
      </c>
      <c r="E80" s="64" t="s">
        <v>2713</v>
      </c>
      <c r="F80" s="319" t="str">
        <f>VLOOKUP(E80,TaskValues_ref!E:F,2,FALSE)</f>
        <v>Lifestyle counseling</v>
      </c>
      <c r="G80" s="321" t="str">
        <f>VLOOKUP($E80,TaskValues_ref!$E:$Z,3,FALSE)</f>
        <v>Clinical</v>
      </c>
      <c r="H80" s="321" t="str">
        <f>VLOOKUP($E80,TaskValues_ref!$E:$Z,4,FALSE)</f>
        <v>Preventive</v>
      </c>
      <c r="I80" s="321" t="str">
        <f>VLOOKUP($E80,TaskValues_ref!$E:$Z,5,FALSE)</f>
        <v>NCDs</v>
      </c>
      <c r="J80" s="320" t="str">
        <f>VLOOKUP($E80,TaskValues_ref!$E:$Z,6,FALSE)</f>
        <v>-</v>
      </c>
      <c r="K80" s="321" t="str">
        <f>VLOOKUP($E80,TaskValues_ref!$E:$Z,10,FALSE)</f>
        <v>Ethiopia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7" t="s">
        <v>2339</v>
      </c>
      <c r="B81" s="357" t="s">
        <v>2380</v>
      </c>
      <c r="C81" s="357" t="s">
        <v>2396</v>
      </c>
      <c r="D81" s="66">
        <v>126</v>
      </c>
      <c r="E81" s="64" t="s">
        <v>2716</v>
      </c>
      <c r="F81" s="319" t="str">
        <f>VLOOKUP(E81,TaskValues_ref!E:F,2,FALSE)</f>
        <v>Smoking cessation</v>
      </c>
      <c r="G81" s="321" t="str">
        <f>VLOOKUP($E81,TaskValues_ref!$E:$Z,3,FALSE)</f>
        <v>Clinical</v>
      </c>
      <c r="H81" s="321" t="str">
        <f>VLOOKUP($E81,TaskValues_ref!$E:$Z,4,FALSE)</f>
        <v>Preventive</v>
      </c>
      <c r="I81" s="321" t="str">
        <f>VLOOKUP($E81,TaskValues_ref!$E:$Z,5,FALSE)</f>
        <v>NCDs</v>
      </c>
      <c r="J81" s="320" t="str">
        <f>VLOOKUP($E81,TaskValues_ref!$E:$Z,6,FALSE)</f>
        <v>men 18+</v>
      </c>
      <c r="K81" s="321" t="str">
        <f>VLOOKUP($E81,TaskValues_ref!$E:$Z,10,FALSE)</f>
        <v>Ethiopia</v>
      </c>
      <c r="L81" s="195">
        <f>IF(VLOOKUP($E81,TaskValues_ref!$E:$Z,11,FALSE)=0,"",VLOOKUP($E81,TaskValues_ref!$E:$Z,11,FALSE))</f>
        <v>4.7E-2</v>
      </c>
      <c r="M81" s="321">
        <f>IF(VLOOKUP($E81,TaskValues_ref!$E:$Z,13,FALSE)=0,"",VLOOKUP($E81,TaskValues_ref!$E:$Z,13,FALSE))</f>
        <v>0.1</v>
      </c>
      <c r="N81" s="89">
        <f>IF(VLOOKUP($E81,TaskValues_ref!$E:$Z,15,FALSE)=0,"",VLOOKUP($E81,TaskValues_ref!$E:$Z,15,FALSE))</f>
        <v>1</v>
      </c>
      <c r="O81">
        <f>IF(VLOOKUP($E81,TaskValues_ref!$E:$Z,16,FALSE)=0,"",VLOOKUP($E81,TaskValues_ref!$E:$Z,16,FALSE))</f>
        <v>2</v>
      </c>
      <c r="P81" t="str">
        <f>IF(VLOOKUP($E81,TaskValues_ref!$E:$Z,17,FALSE)=0,"",VLOOKUP($E81,TaskValues_ref!$E:$Z,17,FALSE))</f>
        <v/>
      </c>
      <c r="Q81">
        <f>IF(VLOOKUP($E81,TaskValues_ref!$E:$Z,18,FALSE)=0,"",VLOOKUP($E81,TaskValues_ref!$E:$Z,18,FALSE))</f>
        <v>10</v>
      </c>
      <c r="R81" t="str">
        <f>IF(VLOOKUP($E81,TaskValues_ref!$E:$Z,19,FALSE)=0,"",VLOOKUP($E81,TaskValues_ref!$E:$Z,19,FALSE))</f>
        <v/>
      </c>
      <c r="S81" t="str">
        <f>IF(VLOOKUP($E81,TaskValues_ref!$E:$Z,20,FALSE)=0,"",VLOOKUP($E81,TaskValues_ref!$E:$Z,20,FALSE))</f>
        <v/>
      </c>
    </row>
    <row r="82" spans="1:19" x14ac:dyDescent="0.25">
      <c r="A82" s="357" t="s">
        <v>2339</v>
      </c>
      <c r="B82" s="357" t="s">
        <v>2380</v>
      </c>
      <c r="C82" s="357" t="s">
        <v>2396</v>
      </c>
      <c r="D82" s="66">
        <v>127</v>
      </c>
      <c r="E82" s="64" t="s">
        <v>2717</v>
      </c>
      <c r="F82" s="319" t="str">
        <f>VLOOKUP(E82,TaskValues_ref!E:F,2,FALSE)</f>
        <v>Prevention of risk factors</v>
      </c>
      <c r="G82" s="321" t="str">
        <f>VLOOKUP($E82,TaskValues_ref!$E:$Z,3,FALSE)</f>
        <v>Clinical</v>
      </c>
      <c r="H82" s="321" t="str">
        <f>VLOOKUP($E82,TaskValues_ref!$E:$Z,4,FALSE)</f>
        <v>Preventive</v>
      </c>
      <c r="I82" s="321" t="str">
        <f>VLOOKUP($E82,TaskValues_ref!$E:$Z,5,FALSE)</f>
        <v>NCDs</v>
      </c>
      <c r="J82" s="320" t="str">
        <f>VLOOKUP($E82,TaskValues_ref!$E:$Z,6,FALSE)</f>
        <v>adults 18+</v>
      </c>
      <c r="K82" s="321" t="str">
        <f>VLOOKUP($E82,TaskValues_ref!$E:$Z,10,FALSE)</f>
        <v>Ethiopia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7" t="s">
        <v>2339</v>
      </c>
      <c r="B83" s="357" t="s">
        <v>2380</v>
      </c>
      <c r="C83" s="357" t="s">
        <v>232</v>
      </c>
      <c r="D83" s="66">
        <v>130</v>
      </c>
      <c r="E83" s="64" t="s">
        <v>2444</v>
      </c>
      <c r="F83" s="319" t="str">
        <f>VLOOKUP(E83,TaskValues_ref!E:F,2,FALSE)</f>
        <v>Generate community awareness</v>
      </c>
      <c r="G83" s="321" t="str">
        <f>VLOOKUP($E83,TaskValues_ref!$E:$Z,3,FALSE)</f>
        <v>Non-clinical</v>
      </c>
      <c r="H83" s="321" t="str">
        <f>VLOOKUP($E83,TaskValues_ref!$E:$Z,4,FALSE)</f>
        <v>Public health</v>
      </c>
      <c r="I83" s="321" t="str">
        <f>VLOOKUP($E83,TaskValues_ref!$E:$Z,5,FALSE)</f>
        <v>Mental health</v>
      </c>
      <c r="J83" s="320" t="str">
        <f>VLOOKUP($E83,TaskValues_ref!$E:$Z,6,FALSE)</f>
        <v>-</v>
      </c>
      <c r="K83" s="321" t="str">
        <f>VLOOKUP($E83,TaskValues_ref!$E:$Z,10,FALSE)</f>
        <v>Ethiopia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7" t="s">
        <v>2339</v>
      </c>
      <c r="B84" s="357" t="s">
        <v>2380</v>
      </c>
      <c r="C84" s="357" t="s">
        <v>232</v>
      </c>
      <c r="D84" s="66">
        <v>130</v>
      </c>
      <c r="E84" s="64" t="s">
        <v>2445</v>
      </c>
      <c r="F84" s="319" t="str">
        <f>VLOOKUP(E84,TaskValues_ref!E:F,2,FALSE)</f>
        <v>Identify &amp; link to care</v>
      </c>
      <c r="G84" s="321" t="str">
        <f>VLOOKUP($E84,TaskValues_ref!$E:$Z,3,FALSE)</f>
        <v>Clinical</v>
      </c>
      <c r="H84" s="321" t="str">
        <f>VLOOKUP($E84,TaskValues_ref!$E:$Z,4,FALSE)</f>
        <v>Acute</v>
      </c>
      <c r="I84" s="321" t="str">
        <f>VLOOKUP($E84,TaskValues_ref!$E:$Z,5,FALSE)</f>
        <v>Mental health</v>
      </c>
      <c r="J84" s="320" t="str">
        <f>VLOOKUP($E84,TaskValues_ref!$E:$Z,6,FALSE)</f>
        <v>30 yo adults</v>
      </c>
      <c r="K84" s="321" t="str">
        <f>VLOOKUP($E84,TaskValues_ref!$E:$Z,10,FALSE)</f>
        <v>Ethiopia</v>
      </c>
      <c r="L84" s="195">
        <f>IF(VLOOKUP($E84,TaskValues_ref!$E:$Z,11,FALSE)=0,"",VLOOKUP($E84,TaskValues_ref!$E:$Z,11,FALSE))</f>
        <v>0.21579999999999999</v>
      </c>
      <c r="M84" s="321" t="str">
        <f>IF(VLOOKUP($E84,TaskValues_ref!$E:$Z,13,FALSE)=0,"",VLOOKUP($E84,TaskValues_ref!$E:$Z,13,FALSE))</f>
        <v/>
      </c>
      <c r="N84" s="89">
        <f>IF(VLOOKUP($E84,TaskValues_ref!$E:$Z,15,FALSE)=0,"",VLOOKUP($E84,TaskValues_ref!$E:$Z,15,FALSE))</f>
        <v>1</v>
      </c>
      <c r="O84">
        <f>IF(VLOOKUP($E84,TaskValues_ref!$E:$Z,16,FALSE)=0,"",VLOOKUP($E84,TaskValues_ref!$E:$Z,16,FALSE))</f>
        <v>1</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25">
      <c r="A85" s="357" t="s">
        <v>2339</v>
      </c>
      <c r="B85" s="357" t="s">
        <v>2380</v>
      </c>
      <c r="C85" s="357" t="s">
        <v>232</v>
      </c>
      <c r="D85" s="66">
        <v>131</v>
      </c>
      <c r="E85" s="64" t="s">
        <v>2720</v>
      </c>
      <c r="F85" s="319" t="str">
        <f>VLOOKUP(E85,TaskValues_ref!E:F,2,FALSE)</f>
        <v>Workplace stress reduction</v>
      </c>
      <c r="G85" s="321" t="str">
        <f>VLOOKUP($E85,TaskValues_ref!$E:$Z,3,FALSE)</f>
        <v>Non-clinical</v>
      </c>
      <c r="H85" s="321" t="str">
        <f>VLOOKUP($E85,TaskValues_ref!$E:$Z,4,FALSE)</f>
        <v>Public health</v>
      </c>
      <c r="I85" s="321" t="str">
        <f>VLOOKUP($E85,TaskValues_ref!$E:$Z,5,FALSE)</f>
        <v>Mental health</v>
      </c>
      <c r="J85" s="320" t="str">
        <f>VLOOKUP($E85,TaskValues_ref!$E:$Z,6,FALSE)</f>
        <v>-</v>
      </c>
      <c r="K85" s="321" t="str">
        <f>VLOOKUP($E85,TaskValues_ref!$E:$Z,10,FALSE)</f>
        <v>Ethiopia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7" t="s">
        <v>2339</v>
      </c>
      <c r="B86" s="357" t="s">
        <v>2380</v>
      </c>
      <c r="C86" s="357" t="s">
        <v>232</v>
      </c>
      <c r="D86" s="66">
        <v>132</v>
      </c>
      <c r="E86" s="64" t="s">
        <v>2721</v>
      </c>
      <c r="F86" s="319" t="str">
        <f>VLOOKUP(E86,TaskValues_ref!E:F,2,FALSE)</f>
        <v>School-based mental health programs</v>
      </c>
      <c r="G86" s="321" t="str">
        <f>VLOOKUP($E86,TaskValues_ref!$E:$Z,3,FALSE)</f>
        <v>Non-clinical</v>
      </c>
      <c r="H86" s="321" t="str">
        <f>VLOOKUP($E86,TaskValues_ref!$E:$Z,4,FALSE)</f>
        <v>Public health</v>
      </c>
      <c r="I86" s="321" t="str">
        <f>VLOOKUP($E86,TaskValues_ref!$E:$Z,5,FALSE)</f>
        <v>Mental health</v>
      </c>
      <c r="J86" s="320" t="str">
        <f>VLOOKUP($E86,TaskValues_ref!$E:$Z,6,FALSE)</f>
        <v>-</v>
      </c>
      <c r="K86" s="321" t="str">
        <f>VLOOKUP($E86,TaskValues_ref!$E:$Z,10,FALSE)</f>
        <v>Ethiopia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7" t="s">
        <v>2339</v>
      </c>
      <c r="B87" s="357" t="s">
        <v>2380</v>
      </c>
      <c r="C87" s="357" t="s">
        <v>232</v>
      </c>
      <c r="D87" s="66">
        <v>133</v>
      </c>
      <c r="E87" s="64" t="s">
        <v>2722</v>
      </c>
      <c r="F87" s="319" t="str">
        <f>VLOOKUP(E87,TaskValues_ref!E:F,2,FALSE)</f>
        <v>Identify &amp; assess drug use</v>
      </c>
      <c r="G87" s="321" t="str">
        <f>VLOOKUP($E87,TaskValues_ref!$E:$Z,3,FALSE)</f>
        <v>Clinical</v>
      </c>
      <c r="H87" s="321" t="str">
        <f>VLOOKUP($E87,TaskValues_ref!$E:$Z,4,FALSE)</f>
        <v>Acute</v>
      </c>
      <c r="I87" s="321" t="str">
        <f>VLOOKUP($E87,TaskValues_ref!$E:$Z,5,FALSE)</f>
        <v>Mental health</v>
      </c>
      <c r="J87" s="320" t="str">
        <f>VLOOKUP($E87,TaskValues_ref!$E:$Z,6,FALSE)</f>
        <v>30 yo adults</v>
      </c>
      <c r="K87" s="321" t="str">
        <f>VLOOKUP($E87,TaskValues_ref!$E:$Z,10,FALSE)</f>
        <v>Ethiopia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f>IF(VLOOKUP($E87,TaskValues_ref!$E:$Z,16,FALSE)=0,"",VLOOKUP($E87,TaskValues_ref!$E:$Z,16,FALSE))</f>
        <v>1</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25">
      <c r="A88" s="357" t="s">
        <v>2339</v>
      </c>
      <c r="B88" s="357" t="s">
        <v>2380</v>
      </c>
      <c r="C88" s="357" t="s">
        <v>232</v>
      </c>
      <c r="D88" s="66">
        <v>134</v>
      </c>
      <c r="E88" s="64" t="s">
        <v>2723</v>
      </c>
      <c r="F88" s="319" t="str">
        <f>VLOOKUP(E88,TaskValues_ref!E:F,2,FALSE)</f>
        <v>Safer storage of pesticides</v>
      </c>
      <c r="G88" s="321" t="str">
        <f>VLOOKUP($E88,TaskValues_ref!$E:$Z,3,FALSE)</f>
        <v>Non-clinical</v>
      </c>
      <c r="H88" s="321" t="str">
        <f>VLOOKUP($E88,TaskValues_ref!$E:$Z,4,FALSE)</f>
        <v>Public health</v>
      </c>
      <c r="I88" s="321" t="str">
        <f>VLOOKUP($E88,TaskValues_ref!$E:$Z,5,FALSE)</f>
        <v>Mental health</v>
      </c>
      <c r="J88" s="320" t="str">
        <f>VLOOKUP($E88,TaskValues_ref!$E:$Z,6,FALSE)</f>
        <v>-</v>
      </c>
      <c r="K88" s="321" t="str">
        <f>VLOOKUP($E88,TaskValues_ref!$E:$Z,10,FALSE)</f>
        <v>Ethiopia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7" t="s">
        <v>2339</v>
      </c>
      <c r="B89" s="357" t="s">
        <v>2380</v>
      </c>
      <c r="C89" s="357" t="s">
        <v>232</v>
      </c>
      <c r="D89" s="66">
        <v>135</v>
      </c>
      <c r="E89" s="64" t="s">
        <v>2724</v>
      </c>
      <c r="F89" s="319" t="str">
        <f>VLOOKUP(E89,TaskValues_ref!E:F,2,FALSE)</f>
        <v>Emergency poisoning response</v>
      </c>
      <c r="G89" s="321" t="str">
        <f>VLOOKUP($E89,TaskValues_ref!$E:$Z,3,FALSE)</f>
        <v>Clinical</v>
      </c>
      <c r="H89" s="321" t="str">
        <f>VLOOKUP($E89,TaskValues_ref!$E:$Z,4,FALSE)</f>
        <v>Acute</v>
      </c>
      <c r="I89" s="321" t="str">
        <f>VLOOKUP($E89,TaskValues_ref!$E:$Z,5,FALSE)</f>
        <v>Mental health</v>
      </c>
      <c r="J89" s="320" t="str">
        <f>VLOOKUP($E89,TaskValues_ref!$E:$Z,6,FALSE)</f>
        <v>adults 18+</v>
      </c>
      <c r="K89" s="321" t="str">
        <f>VLOOKUP($E89,TaskValues_ref!$E:$Z,10,FALSE)</f>
        <v>Ethiopia</v>
      </c>
      <c r="L89" s="195" t="str">
        <f>IF(VLOOKUP($E89,TaskValues_ref!$E:$Z,11,FALSE)=0,"",VLOOKUP($E89,TaskValues_ref!$E:$Z,11,FALSE))</f>
        <v/>
      </c>
      <c r="M89" s="321" t="str">
        <f>IF(VLOOKUP($E89,TaskValues_ref!$E:$Z,13,FALSE)=0,"",VLOOKUP($E89,TaskValues_ref!$E:$Z,13,FALSE))</f>
        <v/>
      </c>
      <c r="N89" s="89">
        <f>IF(VLOOKUP($E89,TaskValues_ref!$E:$Z,15,FALSE)=0,"",VLOOKUP($E89,TaskValues_ref!$E:$Z,15,FALSE))</f>
        <v>1</v>
      </c>
      <c r="O89">
        <f>IF(VLOOKUP($E89,TaskValues_ref!$E:$Z,16,FALSE)=0,"",VLOOKUP($E89,TaskValues_ref!$E:$Z,16,FALSE))</f>
        <v>1</v>
      </c>
      <c r="P89" t="str">
        <f>IF(VLOOKUP($E89,TaskValues_ref!$E:$Z,17,FALSE)=0,"",VLOOKUP($E89,TaskValues_ref!$E:$Z,17,FALSE))</f>
        <v/>
      </c>
      <c r="Q89">
        <f>IF(VLOOKUP($E89,TaskValues_ref!$E:$Z,18,FALSE)=0,"",VLOOKUP($E89,TaskValues_ref!$E:$Z,18,FALSE))</f>
        <v>15</v>
      </c>
      <c r="R89" t="str">
        <f>IF(VLOOKUP($E89,TaskValues_ref!$E:$Z,19,FALSE)=0,"",VLOOKUP($E89,TaskValues_ref!$E:$Z,19,FALSE))</f>
        <v/>
      </c>
      <c r="S89" t="str">
        <f>IF(VLOOKUP($E89,TaskValues_ref!$E:$Z,20,FALSE)=0,"",VLOOKUP($E89,TaskValues_ref!$E:$Z,20,FALSE))</f>
        <v/>
      </c>
    </row>
    <row r="90" spans="1:19" x14ac:dyDescent="0.25">
      <c r="A90" s="357" t="s">
        <v>2339</v>
      </c>
      <c r="B90" s="357" t="s">
        <v>2380</v>
      </c>
      <c r="C90" s="357" t="s">
        <v>2397</v>
      </c>
      <c r="D90" s="66">
        <v>136</v>
      </c>
      <c r="E90" s="64" t="s">
        <v>2725</v>
      </c>
      <c r="F90" s="319" t="str">
        <f>VLOOKUP(E90,TaskValues_ref!E:F,2,FALSE)</f>
        <v>Awareness &amp; screening for cataracts</v>
      </c>
      <c r="G90" s="321" t="str">
        <f>VLOOKUP($E90,TaskValues_ref!$E:$Z,3,FALSE)</f>
        <v>Clinical</v>
      </c>
      <c r="H90" s="321" t="str">
        <f>VLOOKUP($E90,TaskValues_ref!$E:$Z,4,FALSE)</f>
        <v>Preventive</v>
      </c>
      <c r="I90" s="321" t="str">
        <f>VLOOKUP($E90,TaskValues_ref!$E:$Z,5,FALSE)</f>
        <v>NCDs</v>
      </c>
      <c r="J90" s="320" t="str">
        <f>VLOOKUP($E90,TaskValues_ref!$E:$Z,6,FALSE)</f>
        <v>adults 18+</v>
      </c>
      <c r="K90" s="321" t="str">
        <f>VLOOKUP($E90,TaskValues_ref!$E:$Z,10,FALSE)</f>
        <v>Ethiopia</v>
      </c>
      <c r="L90" s="195">
        <f>IF(VLOOKUP($E90,TaskValues_ref!$E:$Z,11,FALSE)=0,"",VLOOKUP($E90,TaskValues_ref!$E:$Z,11,FALSE))</f>
        <v>4.8212E-4</v>
      </c>
      <c r="M90" s="321" t="str">
        <f>IF(VLOOKUP($E90,TaskValues_ref!$E:$Z,13,FALSE)=0,"",VLOOKUP($E90,TaskValues_ref!$E:$Z,13,FALSE))</f>
        <v/>
      </c>
      <c r="N90" s="89">
        <f>IF(VLOOKUP($E90,TaskValues_ref!$E:$Z,15,FALSE)=0,"",VLOOKUP($E90,TaskValues_ref!$E:$Z,15,FALSE))</f>
        <v>1.0311999999999999</v>
      </c>
      <c r="O90">
        <f>IF(VLOOKUP($E90,TaskValues_ref!$E:$Z,16,FALSE)=0,"",VLOOKUP($E90,TaskValues_ref!$E:$Z,16,FALSE))</f>
        <v>1</v>
      </c>
      <c r="P90" t="str">
        <f>IF(VLOOKUP($E90,TaskValues_ref!$E:$Z,17,FALSE)=0,"",VLOOKUP($E90,TaskValues_ref!$E:$Z,17,FALSE))</f>
        <v/>
      </c>
      <c r="Q90">
        <f>IF(VLOOKUP($E90,TaskValues_ref!$E:$Z,18,FALSE)=0,"",VLOOKUP($E90,TaskValues_ref!$E:$Z,18,FALSE))</f>
        <v>10</v>
      </c>
      <c r="R90" t="str">
        <f>IF(VLOOKUP($E90,TaskValues_ref!$E:$Z,19,FALSE)=0,"",VLOOKUP($E90,TaskValues_ref!$E:$Z,19,FALSE))</f>
        <v/>
      </c>
      <c r="S90" t="str">
        <f>IF(VLOOKUP($E90,TaskValues_ref!$E:$Z,20,FALSE)=0,"",VLOOKUP($E90,TaskValues_ref!$E:$Z,20,FALSE))</f>
        <v/>
      </c>
    </row>
    <row r="91" spans="1:19" x14ac:dyDescent="0.25">
      <c r="A91" s="357" t="s">
        <v>2339</v>
      </c>
      <c r="B91" s="357" t="s">
        <v>2380</v>
      </c>
      <c r="C91" s="357" t="s">
        <v>2397</v>
      </c>
      <c r="D91" s="66">
        <v>137</v>
      </c>
      <c r="E91" s="64" t="s">
        <v>2726</v>
      </c>
      <c r="F91" s="319" t="str">
        <f>VLOOKUP(E91,TaskValues_ref!E:F,2,FALSE)</f>
        <v>Awareness of eye glasses</v>
      </c>
      <c r="G91" s="321" t="str">
        <f>VLOOKUP($E91,TaskValues_ref!$E:$Z,3,FALSE)</f>
        <v>Clinical</v>
      </c>
      <c r="H91" s="321" t="str">
        <f>VLOOKUP($E91,TaskValues_ref!$E:$Z,4,FALSE)</f>
        <v>Public health</v>
      </c>
      <c r="I91" s="321" t="str">
        <f>VLOOKUP($E91,TaskValues_ref!$E:$Z,5,FALSE)</f>
        <v>NCDs</v>
      </c>
      <c r="J91" s="320" t="str">
        <f>VLOOKUP($E91,TaskValues_ref!$E:$Z,6,FALSE)</f>
        <v>-</v>
      </c>
      <c r="K91" s="321" t="str">
        <f>VLOOKUP($E91,TaskValues_ref!$E:$Z,10,FALSE)</f>
        <v>Ethiopia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7" t="s">
        <v>2339</v>
      </c>
      <c r="B92" s="357" t="s">
        <v>2380</v>
      </c>
      <c r="C92" s="357" t="s">
        <v>2397</v>
      </c>
      <c r="D92" s="66">
        <v>140</v>
      </c>
      <c r="E92" s="64" t="s">
        <v>2729</v>
      </c>
      <c r="F92" s="319" t="str">
        <f>VLOOKUP(E92,TaskValues_ref!E:F,2,FALSE)</f>
        <v>Awareness &amp; screening for glaucoma</v>
      </c>
      <c r="G92" s="321" t="str">
        <f>VLOOKUP($E92,TaskValues_ref!$E:$Z,3,FALSE)</f>
        <v>Clinical</v>
      </c>
      <c r="H92" s="321" t="str">
        <f>VLOOKUP($E92,TaskValues_ref!$E:$Z,4,FALSE)</f>
        <v>Preventive</v>
      </c>
      <c r="I92" s="321" t="str">
        <f>VLOOKUP($E92,TaskValues_ref!$E:$Z,5,FALSE)</f>
        <v>NCDs</v>
      </c>
      <c r="J92" s="320" t="str">
        <f>VLOOKUP($E92,TaskValues_ref!$E:$Z,6,FALSE)</f>
        <v>50 yo adults</v>
      </c>
      <c r="K92" s="321" t="str">
        <f>VLOOKUP($E92,TaskValues_ref!$E:$Z,10,FALSE)</f>
        <v>Ethiopia</v>
      </c>
      <c r="L92" s="195" t="str">
        <f>IF(VLOOKUP($E92,TaskValues_ref!$E:$Z,11,FALSE)=0,"",VLOOKUP($E92,TaskValues_ref!$E:$Z,11,FALSE))</f>
        <v/>
      </c>
      <c r="M92" s="321" t="str">
        <f>IF(VLOOKUP($E92,TaskValues_ref!$E:$Z,13,FALSE)=0,"",VLOOKUP($E92,TaskValues_ref!$E:$Z,13,FALSE))</f>
        <v/>
      </c>
      <c r="N92" s="89">
        <f>IF(VLOOKUP($E92,TaskValues_ref!$E:$Z,15,FALSE)=0,"",VLOOKUP($E92,TaskValues_ref!$E:$Z,15,FALSE))</f>
        <v>1</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66" t="s">
        <v>2339</v>
      </c>
      <c r="B93" s="66" t="s">
        <v>528</v>
      </c>
      <c r="D93" s="66">
        <v>156</v>
      </c>
      <c r="E93" s="64" t="s">
        <v>2453</v>
      </c>
      <c r="F93" s="319" t="str">
        <f>VLOOKUP(E93,TaskValues_ref!E:F,2,FALSE)</f>
        <v>Surveillance for NTDs</v>
      </c>
      <c r="G93" s="321" t="str">
        <f>VLOOKUP($E93,TaskValues_ref!$E:$Z,3,FALSE)</f>
        <v>Non-productive</v>
      </c>
      <c r="H93" s="321" t="str">
        <f>VLOOKUP($E93,TaskValues_ref!$E:$Z,4,FALSE)</f>
        <v>Public Health</v>
      </c>
      <c r="I93" s="321" t="str">
        <f>VLOOKUP($E93,TaskValues_ref!$E:$Z,5,FALSE)</f>
        <v>-</v>
      </c>
      <c r="J93" s="320" t="str">
        <f>VLOOKUP($E93,TaskValues_ref!$E:$Z,6,FALSE)</f>
        <v>-</v>
      </c>
      <c r="K93" s="321" t="str">
        <f>VLOOKUP($E93,TaskValues_ref!$E:$Z,10,FALSE)</f>
        <v>Ethiopia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66" t="s">
        <v>2339</v>
      </c>
      <c r="B94" s="66" t="s">
        <v>528</v>
      </c>
      <c r="C94" s="66" t="s">
        <v>2455</v>
      </c>
      <c r="D94" s="66">
        <v>157</v>
      </c>
      <c r="E94" s="64" t="s">
        <v>2732</v>
      </c>
      <c r="F94" s="319" t="str">
        <f>VLOOKUP(E94,TaskValues_ref!E:F,2,FALSE)</f>
        <v>LF screening &amp; referral</v>
      </c>
      <c r="G94" s="321" t="str">
        <f>VLOOKUP($E94,TaskValues_ref!$E:$Z,3,FALSE)</f>
        <v>Clinical</v>
      </c>
      <c r="H94" s="321" t="str">
        <f>VLOOKUP($E94,TaskValues_ref!$E:$Z,4,FALSE)</f>
        <v>Acute</v>
      </c>
      <c r="I94" s="321" t="str">
        <f>VLOOKUP($E94,TaskValues_ref!$E:$Z,5,FALSE)</f>
        <v>NTDs</v>
      </c>
      <c r="J94" s="320" t="str">
        <f>VLOOKUP($E94,TaskValues_ref!$E:$Z,6,FALSE)</f>
        <v>adults 18+</v>
      </c>
      <c r="K94" s="321" t="str">
        <f>VLOOKUP($E94,TaskValues_ref!$E:$Z,10,FALSE)</f>
        <v>Ethiopia</v>
      </c>
      <c r="L94" s="195">
        <f>IF(VLOOKUP($E94,TaskValues_ref!$E:$Z,11,FALSE)=0,"",VLOOKUP($E94,TaskValues_ref!$E:$Z,11,FALSE))</f>
        <v>4.6529294056327089E-3</v>
      </c>
      <c r="M94" s="321" t="str">
        <f>IF(VLOOKUP($E94,TaskValues_ref!$E:$Z,13,FALSE)=0,"",VLOOKUP($E94,TaskValues_ref!$E:$Z,13,FALSE))</f>
        <v/>
      </c>
      <c r="N94" s="89">
        <f>IF(VLOOKUP($E94,TaskValues_ref!$E:$Z,15,FALSE)=0,"",VLOOKUP($E94,TaskValues_ref!$E:$Z,15,FALSE))</f>
        <v>0.98</v>
      </c>
      <c r="O94">
        <f>IF(VLOOKUP($E94,TaskValues_ref!$E:$Z,16,FALSE)=0,"",VLOOKUP($E94,TaskValues_ref!$E:$Z,16,FALSE))</f>
        <v>1</v>
      </c>
      <c r="P94" t="str">
        <f>IF(VLOOKUP($E94,TaskValues_ref!$E:$Z,17,FALSE)=0,"",VLOOKUP($E94,TaskValues_ref!$E:$Z,17,FALSE))</f>
        <v/>
      </c>
      <c r="Q94">
        <f>IF(VLOOKUP($E94,TaskValues_ref!$E:$Z,18,FALSE)=0,"",VLOOKUP($E94,TaskValues_ref!$E:$Z,18,FALSE))</f>
        <v>5</v>
      </c>
      <c r="R94" t="str">
        <f>IF(VLOOKUP($E94,TaskValues_ref!$E:$Z,19,FALSE)=0,"",VLOOKUP($E94,TaskValues_ref!$E:$Z,19,FALSE))</f>
        <v/>
      </c>
      <c r="S94" t="str">
        <f>IF(VLOOKUP($E94,TaskValues_ref!$E:$Z,20,FALSE)=0,"",VLOOKUP($E94,TaskValues_ref!$E:$Z,20,FALSE))</f>
        <v/>
      </c>
    </row>
    <row r="95" spans="1:19" x14ac:dyDescent="0.25">
      <c r="A95" s="66" t="s">
        <v>2339</v>
      </c>
      <c r="B95" s="66" t="s">
        <v>528</v>
      </c>
      <c r="C95" s="66" t="s">
        <v>2455</v>
      </c>
      <c r="D95" s="66">
        <v>159</v>
      </c>
      <c r="E95" s="64" t="s">
        <v>2734</v>
      </c>
      <c r="F95" s="319" t="str">
        <f>VLOOKUP(E95,TaskValues_ref!E:F,2,FALSE)</f>
        <v>LLINs and IRS</v>
      </c>
      <c r="G95" s="321" t="str">
        <f>VLOOKUP($E95,TaskValues_ref!$E:$Z,3,FALSE)</f>
        <v>Non-clinical</v>
      </c>
      <c r="H95" s="321" t="str">
        <f>VLOOKUP($E95,TaskValues_ref!$E:$Z,4,FALSE)</f>
        <v>Public Health</v>
      </c>
      <c r="I95" s="321" t="str">
        <f>VLOOKUP($E95,TaskValues_ref!$E:$Z,5,FALSE)</f>
        <v>NTDs</v>
      </c>
      <c r="J95" s="320" t="str">
        <f>VLOOKUP($E95,TaskValues_ref!$E:$Z,6,FALSE)</f>
        <v>all</v>
      </c>
      <c r="K95" s="321" t="str">
        <f>VLOOKUP($E95,TaskValues_ref!$E:$Z,10,FALSE)</f>
        <v>Ethiopia</v>
      </c>
      <c r="L95" s="195">
        <f>IF(VLOOKUP($E95,TaskValues_ref!$E:$Z,11,FALSE)=0,"",VLOOKUP($E95,TaskValues_ref!$E:$Z,11,FALSE))</f>
        <v>0.21276595744680851</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f>IF(VLOOKUP($E95,TaskValues_ref!$E:$Z,17,FALSE)=0,"",VLOOKUP($E95,TaskValues_ref!$E:$Z,17,FALSE))</f>
        <v>1</v>
      </c>
      <c r="Q95">
        <f>IF(VLOOKUP($E95,TaskValues_ref!$E:$Z,18,FALSE)=0,"",VLOOKUP($E95,TaskValues_ref!$E:$Z,18,FALSE))</f>
        <v>5</v>
      </c>
      <c r="R95" t="str">
        <f>IF(VLOOKUP($E95,TaskValues_ref!$E:$Z,19,FALSE)=0,"",VLOOKUP($E95,TaskValues_ref!$E:$Z,19,FALSE))</f>
        <v/>
      </c>
      <c r="S95" t="str">
        <f>IF(VLOOKUP($E95,TaskValues_ref!$E:$Z,20,FALSE)=0,"",VLOOKUP($E95,TaskValues_ref!$E:$Z,20,FALSE))</f>
        <v/>
      </c>
    </row>
    <row r="96" spans="1:19" x14ac:dyDescent="0.25">
      <c r="A96" s="66" t="s">
        <v>2339</v>
      </c>
      <c r="B96" s="66" t="s">
        <v>528</v>
      </c>
      <c r="C96" s="66" t="s">
        <v>406</v>
      </c>
      <c r="D96" s="66">
        <v>160</v>
      </c>
      <c r="E96" s="64" t="s">
        <v>2735</v>
      </c>
      <c r="F96" s="319" t="str">
        <f>VLOOKUP(E96,TaskValues_ref!E:F,2,FALSE)</f>
        <v>LF behavior change</v>
      </c>
      <c r="G96" s="321" t="str">
        <f>VLOOKUP($E96,TaskValues_ref!$E:$Z,3,FALSE)</f>
        <v>Non-clinical</v>
      </c>
      <c r="H96" s="321" t="str">
        <f>VLOOKUP($E96,TaskValues_ref!$E:$Z,4,FALSE)</f>
        <v>Public Health</v>
      </c>
      <c r="I96" s="321" t="str">
        <f>VLOOKUP($E96,TaskValues_ref!$E:$Z,5,FALSE)</f>
        <v>NTDs</v>
      </c>
      <c r="J96" s="320" t="str">
        <f>VLOOKUP($E96,TaskValues_ref!$E:$Z,6,FALSE)</f>
        <v>-</v>
      </c>
      <c r="K96" s="321" t="str">
        <f>VLOOKUP($E96,TaskValues_ref!$E:$Z,10,FALSE)</f>
        <v>Ethiopia</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25">
      <c r="A97" s="66" t="s">
        <v>2339</v>
      </c>
      <c r="B97" s="66" t="s">
        <v>528</v>
      </c>
      <c r="C97" s="66" t="s">
        <v>410</v>
      </c>
      <c r="D97" s="66">
        <v>162</v>
      </c>
      <c r="E97" s="64" t="s">
        <v>2737</v>
      </c>
      <c r="F97" s="319" t="str">
        <f>VLOOKUP(E97,TaskValues_ref!E:F,2,FALSE)</f>
        <v>Oncho behavior change</v>
      </c>
      <c r="G97" s="321" t="str">
        <f>VLOOKUP($E97,TaskValues_ref!$E:$Z,3,FALSE)</f>
        <v>Non-clinical</v>
      </c>
      <c r="H97" s="321" t="str">
        <f>VLOOKUP($E97,TaskValues_ref!$E:$Z,4,FALSE)</f>
        <v>Public Health</v>
      </c>
      <c r="I97" s="321" t="str">
        <f>VLOOKUP($E97,TaskValues_ref!$E:$Z,5,FALSE)</f>
        <v>NTDs</v>
      </c>
      <c r="J97" s="320" t="str">
        <f>VLOOKUP($E97,TaskValues_ref!$E:$Z,6,FALSE)</f>
        <v>-</v>
      </c>
      <c r="K97" s="321" t="str">
        <f>VLOOKUP($E97,TaskValues_ref!$E:$Z,10,FALSE)</f>
        <v>Ethiopia</v>
      </c>
      <c r="L97" s="195" t="str">
        <f>IF(VLOOKUP($E97,TaskValues_ref!$E:$Z,11,FALSE)=0,"",VLOOKUP($E97,TaskValues_ref!$E:$Z,11,FALSE))</f>
        <v/>
      </c>
      <c r="M97" s="321" t="str">
        <f>IF(VLOOKUP($E97,TaskValues_ref!$E:$Z,13,FALSE)=0,"",VLOOKUP($E97,TaskValues_ref!$E:$Z,13,FALSE))</f>
        <v/>
      </c>
      <c r="N97" s="89" t="str">
        <f>IF(VLOOKUP($E97,TaskValues_ref!$E:$Z,15,FALSE)=0,"",VLOOKUP($E97,TaskValues_ref!$E:$Z,15,FALSE))</f>
        <v/>
      </c>
      <c r="O97" t="str">
        <f>IF(VLOOKUP($E97,TaskValues_ref!$E:$Z,16,FALSE)=0,"",VLOOKUP($E97,TaskValues_ref!$E:$Z,16,FALSE))</f>
        <v/>
      </c>
      <c r="P97" t="str">
        <f>IF(VLOOKUP($E97,TaskValues_ref!$E:$Z,17,FALSE)=0,"",VLOOKUP($E97,TaskValues_ref!$E:$Z,17,FALSE))</f>
        <v/>
      </c>
      <c r="Q97" t="str">
        <f>IF(VLOOKUP($E97,TaskValues_ref!$E:$Z,18,FALSE)=0,"",VLOOKUP($E97,TaskValues_ref!$E:$Z,18,FALSE))</f>
        <v/>
      </c>
      <c r="R97" t="str">
        <f>IF(VLOOKUP($E97,TaskValues_ref!$E:$Z,19,FALSE)=0,"",VLOOKUP($E97,TaskValues_ref!$E:$Z,19,FALSE))</f>
        <v/>
      </c>
      <c r="S97" t="str">
        <f>IF(VLOOKUP($E97,TaskValues_ref!$E:$Z,20,FALSE)=0,"",VLOOKUP($E97,TaskValues_ref!$E:$Z,20,FALSE))</f>
        <v/>
      </c>
    </row>
    <row r="98" spans="1:19" x14ac:dyDescent="0.25">
      <c r="A98" s="66" t="s">
        <v>2339</v>
      </c>
      <c r="B98" s="66" t="s">
        <v>528</v>
      </c>
      <c r="C98" s="66" t="s">
        <v>410</v>
      </c>
      <c r="D98" s="66">
        <v>163</v>
      </c>
      <c r="E98" s="64" t="s">
        <v>2738</v>
      </c>
      <c r="F98" s="319" t="str">
        <f>VLOOKUP(E98,TaskValues_ref!E:F,2,FALSE)</f>
        <v>Trachoma behavior change</v>
      </c>
      <c r="G98" s="321" t="str">
        <f>VLOOKUP($E98,TaskValues_ref!$E:$Z,3,FALSE)</f>
        <v>Non-clinical</v>
      </c>
      <c r="H98" s="321" t="str">
        <f>VLOOKUP($E98,TaskValues_ref!$E:$Z,4,FALSE)</f>
        <v>Public Health</v>
      </c>
      <c r="I98" s="321" t="str">
        <f>VLOOKUP($E98,TaskValues_ref!$E:$Z,5,FALSE)</f>
        <v>NTDs</v>
      </c>
      <c r="J98" s="320" t="str">
        <f>VLOOKUP($E98,TaskValues_ref!$E:$Z,6,FALSE)</f>
        <v>-</v>
      </c>
      <c r="K98" s="321" t="str">
        <f>VLOOKUP($E98,TaskValues_ref!$E:$Z,10,FALSE)</f>
        <v>Ethiopia</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25">
      <c r="A99" s="66" t="s">
        <v>2339</v>
      </c>
      <c r="B99" s="66" t="s">
        <v>528</v>
      </c>
      <c r="C99" s="66" t="s">
        <v>410</v>
      </c>
      <c r="D99" s="66">
        <v>164</v>
      </c>
      <c r="E99" s="64" t="s">
        <v>2739</v>
      </c>
      <c r="F99" s="319" t="str">
        <f>VLOOKUP(E99,TaskValues_ref!E:F,2,FALSE)</f>
        <v>Promote water and sanitation</v>
      </c>
      <c r="G99" s="321" t="str">
        <f>VLOOKUP($E99,TaskValues_ref!$E:$Z,3,FALSE)</f>
        <v>Non-clinical</v>
      </c>
      <c r="H99" s="321" t="str">
        <f>VLOOKUP($E99,TaskValues_ref!$E:$Z,4,FALSE)</f>
        <v>Public Health</v>
      </c>
      <c r="I99" s="321" t="str">
        <f>VLOOKUP($E99,TaskValues_ref!$E:$Z,5,FALSE)</f>
        <v>NTDs</v>
      </c>
      <c r="J99" s="320" t="str">
        <f>VLOOKUP($E99,TaskValues_ref!$E:$Z,6,FALSE)</f>
        <v>-</v>
      </c>
      <c r="K99" s="321" t="str">
        <f>VLOOKUP($E99,TaskValues_ref!$E:$Z,10,FALSE)</f>
        <v>Ethiopia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66" t="s">
        <v>2339</v>
      </c>
      <c r="B100" s="66" t="s">
        <v>528</v>
      </c>
      <c r="C100" s="66" t="s">
        <v>2457</v>
      </c>
      <c r="D100" s="66">
        <v>168</v>
      </c>
      <c r="E100" s="64" t="s">
        <v>2743</v>
      </c>
      <c r="F100" s="319" t="str">
        <f>VLOOKUP(E100,TaskValues_ref!E:F,2,FALSE)</f>
        <v>Promote face washing</v>
      </c>
      <c r="G100" s="321" t="str">
        <f>VLOOKUP($E100,TaskValues_ref!$E:$Z,3,FALSE)</f>
        <v>Non-clinical</v>
      </c>
      <c r="H100" s="321" t="str">
        <f>VLOOKUP($E100,TaskValues_ref!$E:$Z,4,FALSE)</f>
        <v>Public Health</v>
      </c>
      <c r="I100" s="321" t="str">
        <f>VLOOKUP($E100,TaskValues_ref!$E:$Z,5,FALSE)</f>
        <v>NTDs</v>
      </c>
      <c r="J100" s="320" t="str">
        <f>VLOOKUP($E100,TaskValues_ref!$E:$Z,6,FALSE)</f>
        <v>-</v>
      </c>
      <c r="K100" s="321" t="str">
        <f>VLOOKUP($E100,TaskValues_ref!$E:$Z,10,FALSE)</f>
        <v>Ethiopia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66" t="s">
        <v>2339</v>
      </c>
      <c r="B101" s="66" t="s">
        <v>528</v>
      </c>
      <c r="C101" s="66" t="s">
        <v>2238</v>
      </c>
      <c r="D101" s="66">
        <v>169</v>
      </c>
      <c r="E101" s="64" t="s">
        <v>2744</v>
      </c>
      <c r="F101" s="319" t="str">
        <f>VLOOKUP(E101,TaskValues_ref!E:F,2,FALSE)</f>
        <v>Schisto behavior change</v>
      </c>
      <c r="G101" s="321" t="str">
        <f>VLOOKUP($E101,TaskValues_ref!$E:$Z,3,FALSE)</f>
        <v>Non-clinical</v>
      </c>
      <c r="H101" s="321" t="str">
        <f>VLOOKUP($E101,TaskValues_ref!$E:$Z,4,FALSE)</f>
        <v>Public Health</v>
      </c>
      <c r="I101" s="321" t="str">
        <f>VLOOKUP($E101,TaskValues_ref!$E:$Z,5,FALSE)</f>
        <v>NTDs</v>
      </c>
      <c r="J101" s="320" t="str">
        <f>VLOOKUP($E101,TaskValues_ref!$E:$Z,6,FALSE)</f>
        <v>-</v>
      </c>
      <c r="K101" s="321" t="str">
        <f>VLOOKUP($E101,TaskValues_ref!$E:$Z,10,FALSE)</f>
        <v>Ethiopia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66" t="s">
        <v>2339</v>
      </c>
      <c r="B102" s="66" t="s">
        <v>528</v>
      </c>
      <c r="C102" s="66" t="s">
        <v>2458</v>
      </c>
      <c r="D102" s="66">
        <v>171</v>
      </c>
      <c r="E102" s="64" t="s">
        <v>2746</v>
      </c>
      <c r="F102" s="319" t="str">
        <f>VLOOKUP(E102,TaskValues_ref!E:F,2,FALSE)</f>
        <v>Schisto MDA</v>
      </c>
      <c r="G102" s="321" t="str">
        <f>VLOOKUP($E102,TaskValues_ref!$E:$Z,3,FALSE)</f>
        <v>Non-clinical</v>
      </c>
      <c r="H102" s="321" t="str">
        <f>VLOOKUP($E102,TaskValues_ref!$E:$Z,4,FALSE)</f>
        <v>Public Health</v>
      </c>
      <c r="I102" s="321" t="str">
        <f>VLOOKUP($E102,TaskValues_ref!$E:$Z,5,FALSE)</f>
        <v>NTDs</v>
      </c>
      <c r="J102" s="320" t="str">
        <f>VLOOKUP($E102,TaskValues_ref!$E:$Z,6,FALSE)</f>
        <v>all</v>
      </c>
      <c r="K102" s="321" t="str">
        <f>VLOOKUP($E102,TaskValues_ref!$E:$Z,10,FALSE)</f>
        <v>Ethiopia</v>
      </c>
      <c r="L102" s="195">
        <f>IF(VLOOKUP($E102,TaskValues_ref!$E:$Z,11,FALSE)=0,"",VLOOKUP($E102,TaskValues_ref!$E:$Z,11,FALSE))</f>
        <v>0.21276595744680851</v>
      </c>
      <c r="M102" s="321" t="str">
        <f>IF(VLOOKUP($E102,TaskValues_ref!$E:$Z,13,FALSE)=0,"",VLOOKUP($E102,TaskValues_ref!$E:$Z,13,FALSE))</f>
        <v/>
      </c>
      <c r="N102" s="89" t="str">
        <f>IF(VLOOKUP($E102,TaskValues_ref!$E:$Z,15,FALSE)=0,"",VLOOKUP($E102,TaskValues_ref!$E:$Z,15,FALSE))</f>
        <v/>
      </c>
      <c r="O102" t="str">
        <f>IF(VLOOKUP($E102,TaskValues_ref!$E:$Z,16,FALSE)=0,"",VLOOKUP($E102,TaskValues_ref!$E:$Z,16,FALSE))</f>
        <v/>
      </c>
      <c r="P102">
        <f>IF(VLOOKUP($E102,TaskValues_ref!$E:$Z,17,FALSE)=0,"",VLOOKUP($E102,TaskValues_ref!$E:$Z,17,FALSE))</f>
        <v>1</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25">
      <c r="A103" s="66" t="s">
        <v>2339</v>
      </c>
      <c r="B103" s="66" t="s">
        <v>528</v>
      </c>
      <c r="C103" s="66" t="s">
        <v>2458</v>
      </c>
      <c r="D103" s="66">
        <v>172</v>
      </c>
      <c r="E103" s="64" t="s">
        <v>2747</v>
      </c>
      <c r="F103" s="319" t="str">
        <f>VLOOKUP(E103,TaskValues_ref!E:F,2,FALSE)</f>
        <v>STH behavior change</v>
      </c>
      <c r="G103" s="321" t="str">
        <f>VLOOKUP($E103,TaskValues_ref!$E:$Z,3,FALSE)</f>
        <v>Non-clinical</v>
      </c>
      <c r="H103" s="321" t="str">
        <f>VLOOKUP($E103,TaskValues_ref!$E:$Z,4,FALSE)</f>
        <v>Public Health</v>
      </c>
      <c r="I103" s="321" t="str">
        <f>VLOOKUP($E103,TaskValues_ref!$E:$Z,5,FALSE)</f>
        <v>NTDs</v>
      </c>
      <c r="J103" s="320" t="str">
        <f>VLOOKUP($E103,TaskValues_ref!$E:$Z,6,FALSE)</f>
        <v>-</v>
      </c>
      <c r="K103" s="321" t="str">
        <f>VLOOKUP($E103,TaskValues_ref!$E:$Z,10,FALSE)</f>
        <v>Ethiopia</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25">
      <c r="A104" s="66" t="s">
        <v>2339</v>
      </c>
      <c r="B104" s="66" t="s">
        <v>528</v>
      </c>
      <c r="C104" s="66" t="s">
        <v>2484</v>
      </c>
      <c r="D104" s="66">
        <v>175</v>
      </c>
      <c r="E104" s="64" t="s">
        <v>2750</v>
      </c>
      <c r="F104" s="319" t="str">
        <f>VLOOKUP(E104,TaskValues_ref!E:F,2,FALSE)</f>
        <v>Scabies behavior change</v>
      </c>
      <c r="G104" s="321" t="str">
        <f>VLOOKUP($E104,TaskValues_ref!$E:$Z,3,FALSE)</f>
        <v>Non-clinical</v>
      </c>
      <c r="H104" s="321" t="str">
        <f>VLOOKUP($E104,TaskValues_ref!$E:$Z,4,FALSE)</f>
        <v>Public Health</v>
      </c>
      <c r="I104" s="321" t="str">
        <f>VLOOKUP($E104,TaskValues_ref!$E:$Z,5,FALSE)</f>
        <v>NTDs</v>
      </c>
      <c r="J104" s="320" t="str">
        <f>VLOOKUP($E104,TaskValues_ref!$E:$Z,6,FALSE)</f>
        <v>-</v>
      </c>
      <c r="K104" s="321" t="str">
        <f>VLOOKUP($E104,TaskValues_ref!$E:$Z,10,FALSE)</f>
        <v>Ethiopia</v>
      </c>
      <c r="L104" s="195" t="str">
        <f>IF(VLOOKUP($E104,TaskValues_ref!$E:$Z,11,FALSE)=0,"",VLOOKUP($E104,TaskValues_ref!$E:$Z,11,FALSE))</f>
        <v/>
      </c>
      <c r="M104" s="321"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x14ac:dyDescent="0.25">
      <c r="A105" s="66" t="s">
        <v>2486</v>
      </c>
      <c r="D105" s="66" t="s">
        <v>2488</v>
      </c>
      <c r="E105" s="64" t="s">
        <v>2627</v>
      </c>
      <c r="F105" s="319" t="str">
        <f>VLOOKUP(E105,TaskValues_ref!E:F,2,FALSE)</f>
        <v>Model household program</v>
      </c>
      <c r="G105" s="321" t="str">
        <f>VLOOKUP($E105,TaskValues_ref!$E:$Z,3,FALSE)</f>
        <v>Non-clinical</v>
      </c>
      <c r="H105" s="321" t="str">
        <f>VLOOKUP($E105,TaskValues_ref!$E:$Z,4,FALSE)</f>
        <v>-</v>
      </c>
      <c r="I105" s="321" t="str">
        <f>VLOOKUP($E105,TaskValues_ref!$E:$Z,5,FALSE)</f>
        <v>-</v>
      </c>
      <c r="J105" s="320" t="str">
        <f>VLOOKUP($E105,TaskValues_ref!$E:$Z,6,FALSE)</f>
        <v>all</v>
      </c>
      <c r="K105" s="321" t="str">
        <f>VLOOKUP($E105,TaskValues_ref!$E:$Z,10,FALSE)</f>
        <v>Ethiopia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f>IF(VLOOKUP($E105,TaskValues_ref!$E:$Z,19,FALSE)=0,"",VLOOKUP($E105,TaskValues_ref!$E:$Z,19,FALSE))</f>
        <v>7</v>
      </c>
      <c r="S105" t="str">
        <f>IF(VLOOKUP($E105,TaskValues_ref!$E:$Z,20,FALSE)=0,"",VLOOKUP($E105,TaskValues_ref!$E:$Z,20,FALSE))</f>
        <v/>
      </c>
    </row>
    <row r="106" spans="1:19" x14ac:dyDescent="0.25">
      <c r="A106" s="66" t="s">
        <v>2489</v>
      </c>
      <c r="D106" s="66" t="s">
        <v>2490</v>
      </c>
      <c r="E106" s="64" t="s">
        <v>2628</v>
      </c>
      <c r="F106" s="319" t="str">
        <f>VLOOKUP(E106,TaskValues_ref!E:F,2,FALSE)</f>
        <v>Model household program</v>
      </c>
      <c r="G106" s="321" t="str">
        <f>VLOOKUP($E106,TaskValues_ref!$E:$Z,3,FALSE)</f>
        <v>Non-clinical</v>
      </c>
      <c r="H106" s="321" t="str">
        <f>VLOOKUP($E106,TaskValues_ref!$E:$Z,4,FALSE)</f>
        <v>-</v>
      </c>
      <c r="I106" s="321" t="str">
        <f>VLOOKUP($E106,TaskValues_ref!$E:$Z,5,FALSE)</f>
        <v>-</v>
      </c>
      <c r="J106" s="320" t="str">
        <f>VLOOKUP($E106,TaskValues_ref!$E:$Z,6,FALSE)</f>
        <v>all</v>
      </c>
      <c r="K106" s="321" t="str">
        <f>VLOOKUP($E106,TaskValues_ref!$E:$Z,10,FALSE)</f>
        <v>Ethiopia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f>IF(VLOOKUP($E106,TaskValues_ref!$E:$Z,19,FALSE)=0,"",VLOOKUP($E106,TaskValues_ref!$E:$Z,19,FALSE))</f>
        <v>7</v>
      </c>
      <c r="S106" t="str">
        <f>IF(VLOOKUP($E106,TaskValues_ref!$E:$Z,20,FALSE)=0,"",VLOOKUP($E106,TaskValues_ref!$E:$Z,20,FALSE))</f>
        <v/>
      </c>
    </row>
    <row r="107" spans="1:19" x14ac:dyDescent="0.25">
      <c r="A107" s="319" t="s">
        <v>1953</v>
      </c>
      <c r="E107" s="64" t="s">
        <v>1953</v>
      </c>
      <c r="F107" s="319" t="str">
        <f>VLOOKUP(E107,TaskValues_ref!E:F,2,FALSE)</f>
        <v>Record keeping</v>
      </c>
      <c r="G107" s="321" t="str">
        <f>VLOOKUP($E107,TaskValues_ref!$E:$Z,3,FALSE)</f>
        <v>Non-productive</v>
      </c>
      <c r="H107" s="321" t="str">
        <f>VLOOKUP($E107,TaskValues_ref!$E:$Z,4,FALSE)</f>
        <v>-</v>
      </c>
      <c r="I107" s="321" t="str">
        <f>VLOOKUP($E107,TaskValues_ref!$E:$Z,5,FALSE)</f>
        <v>-</v>
      </c>
      <c r="J107" s="320" t="str">
        <f>VLOOKUP($E107,TaskValues_ref!$E:$Z,6,FALSE)</f>
        <v>all</v>
      </c>
      <c r="K107" s="321" t="str">
        <f>VLOOKUP($E107,TaskValues_ref!$E:$Z,10,FALSE)</f>
        <v>Ethiopia</v>
      </c>
      <c r="L107" s="195">
        <f>IF(VLOOKUP($E107,TaskValues_ref!$E:$Z,11,FALSE)=0,"",VLOOKUP($E107,TaskValues_ref!$E:$Z,11,FALSE))</f>
        <v>0.1</v>
      </c>
      <c r="M107" s="321" t="str">
        <f>IF(VLOOKUP($E107,TaskValues_ref!$E:$Z,13,FALSE)=0,"",VLOOKUP($E107,TaskValues_ref!$E:$Z,13,FALSE))</f>
        <v/>
      </c>
      <c r="N107" s="89">
        <f>IF(VLOOKUP($E107,TaskValues_ref!$E:$Z,15,FALSE)=0,"",VLOOKUP($E107,TaskValues_ref!$E:$Z,15,FALSE))</f>
        <v>1</v>
      </c>
      <c r="O107">
        <f>IF(VLOOKUP($E107,TaskValues_ref!$E:$Z,16,FALSE)=0,"",VLOOKUP($E107,TaskValues_ref!$E:$Z,16,FALSE))</f>
        <v>1</v>
      </c>
      <c r="P107" t="str">
        <f>IF(VLOOKUP($E107,TaskValues_ref!$E:$Z,17,FALSE)=0,"",VLOOKUP($E107,TaskValues_ref!$E:$Z,17,FALSE))</f>
        <v/>
      </c>
      <c r="Q107">
        <f>IF(VLOOKUP($E107,TaskValues_ref!$E:$Z,18,FALSE)=0,"",VLOOKUP($E107,TaskValues_ref!$E:$Z,18,FALSE))</f>
        <v>45.844447190612613</v>
      </c>
      <c r="R107" t="str">
        <f>IF(VLOOKUP($E107,TaskValues_ref!$E:$Z,19,FALSE)=0,"",VLOOKUP($E107,TaskValues_ref!$E:$Z,19,FALSE))</f>
        <v/>
      </c>
      <c r="S107" t="str">
        <f>IF(VLOOKUP($E107,TaskValues_ref!$E:$Z,20,FALSE)=0,"",VLOOKUP($E107,TaskValues_ref!$E:$Z,20,FALSE))</f>
        <v/>
      </c>
    </row>
    <row r="108" spans="1:19" s="127" customFormat="1" x14ac:dyDescent="0.25">
      <c r="A108" s="373" t="s">
        <v>2772</v>
      </c>
      <c r="B108" s="373"/>
      <c r="C108" s="373"/>
      <c r="D108" s="373"/>
      <c r="E108" s="373" t="s">
        <v>2772</v>
      </c>
      <c r="F108" s="374" t="str">
        <f>VLOOKUP(E108,TaskValues_ref!E:F,2,FALSE)</f>
        <v>Test additional</v>
      </c>
      <c r="G108" s="374"/>
      <c r="H108" s="374"/>
      <c r="I108" s="374"/>
      <c r="J108" s="376"/>
      <c r="K108" s="127" t="str">
        <f>VLOOKUP($E108,TaskValues_ref!$E:$Z,10,FALSE)</f>
        <v>Ethiopia</v>
      </c>
      <c r="L108" s="335"/>
      <c r="N108" s="377"/>
      <c r="Q108" s="258"/>
      <c r="S108" s="127">
        <v>1E-3</v>
      </c>
    </row>
    <row r="109" spans="1:19" s="127" customFormat="1" x14ac:dyDescent="0.25">
      <c r="A109" s="373"/>
      <c r="B109" s="373"/>
      <c r="C109" s="373"/>
      <c r="D109" s="373"/>
      <c r="E109" s="127" t="s">
        <v>2180</v>
      </c>
      <c r="F109" s="374" t="str">
        <f>VLOOKUP(E109,TaskValues_ref!E:F,2,FALSE)</f>
        <v>Normal labor management</v>
      </c>
      <c r="G109" s="374" t="s">
        <v>154</v>
      </c>
      <c r="H109" s="374" t="s">
        <v>155</v>
      </c>
      <c r="I109" s="375" t="s">
        <v>65</v>
      </c>
      <c r="J109" s="376" t="s">
        <v>156</v>
      </c>
      <c r="K109" s="375" t="str">
        <f>VLOOKUP($E109,TaskValues_ref!$E:$Z,10,FALSE)</f>
        <v>Ethiopia</v>
      </c>
      <c r="L109" s="335">
        <v>1</v>
      </c>
      <c r="N109" s="377">
        <v>1</v>
      </c>
      <c r="O109" s="127">
        <v>1</v>
      </c>
      <c r="Q109" s="378">
        <v>0</v>
      </c>
    </row>
    <row r="110" spans="1:19" s="127" customFormat="1" x14ac:dyDescent="0.25">
      <c r="A110" s="373"/>
      <c r="B110" s="373"/>
      <c r="C110" s="373"/>
      <c r="D110" s="373"/>
      <c r="E110" s="127" t="s">
        <v>2182</v>
      </c>
      <c r="F110" s="374" t="str">
        <f>VLOOKUP(E110,TaskValues_ref!E:F,2,FALSE)</f>
        <v>Emergency OB</v>
      </c>
      <c r="G110" s="374" t="s">
        <v>154</v>
      </c>
      <c r="H110" s="374" t="s">
        <v>155</v>
      </c>
      <c r="I110" s="375" t="s">
        <v>65</v>
      </c>
      <c r="J110" s="376" t="s">
        <v>156</v>
      </c>
      <c r="K110" s="375" t="str">
        <f>VLOOKUP($E110,TaskValues_ref!$E:$Z,10,FALSE)</f>
        <v>Ethiopia</v>
      </c>
      <c r="L110" s="335">
        <v>1</v>
      </c>
      <c r="N110" s="377">
        <v>1</v>
      </c>
      <c r="O110" s="127">
        <v>1</v>
      </c>
      <c r="Q110" s="378">
        <v>0</v>
      </c>
    </row>
    <row r="111" spans="1:19" s="127" customFormat="1" x14ac:dyDescent="0.25">
      <c r="A111" s="373"/>
      <c r="B111" s="373"/>
      <c r="C111" s="373"/>
      <c r="D111" s="373"/>
      <c r="E111" s="127" t="s">
        <v>2181</v>
      </c>
      <c r="F111" s="374" t="str">
        <f>VLOOKUP(E111,TaskValues_ref!E:F,2,FALSE)</f>
        <v>Active management 3rd stage</v>
      </c>
      <c r="G111" s="374" t="s">
        <v>154</v>
      </c>
      <c r="H111" s="374" t="s">
        <v>155</v>
      </c>
      <c r="I111" s="375" t="s">
        <v>65</v>
      </c>
      <c r="J111" s="376" t="s">
        <v>156</v>
      </c>
      <c r="K111" s="375" t="str">
        <f>VLOOKUP($E111,TaskValues_ref!$E:$Z,10,FALSE)</f>
        <v>Ethiopia</v>
      </c>
      <c r="L111" s="335">
        <v>1</v>
      </c>
      <c r="N111" s="377">
        <v>1</v>
      </c>
      <c r="O111" s="127">
        <v>1</v>
      </c>
      <c r="Q111" s="378">
        <v>0</v>
      </c>
    </row>
    <row r="112" spans="1:19" s="127" customFormat="1" x14ac:dyDescent="0.25">
      <c r="A112" s="373"/>
      <c r="B112" s="373"/>
      <c r="C112" s="373"/>
      <c r="D112" s="373"/>
      <c r="E112" s="127" t="s">
        <v>2193</v>
      </c>
      <c r="F112" s="374" t="str">
        <f>VLOOKUP(E112,TaskValues_ref!E:F,2,FALSE)</f>
        <v>Maternal sepsis</v>
      </c>
      <c r="G112" s="374" t="s">
        <v>154</v>
      </c>
      <c r="H112" s="374" t="s">
        <v>155</v>
      </c>
      <c r="I112" s="375" t="s">
        <v>65</v>
      </c>
      <c r="J112" s="376" t="s">
        <v>156</v>
      </c>
      <c r="K112" s="375" t="str">
        <f>VLOOKUP($E112,TaskValues_ref!$E:$Z,10,FALSE)</f>
        <v>Ethiopia</v>
      </c>
      <c r="L112" s="335">
        <v>1</v>
      </c>
      <c r="N112" s="377">
        <v>1</v>
      </c>
      <c r="O112" s="127">
        <v>1</v>
      </c>
      <c r="Q112" s="378">
        <v>0</v>
      </c>
    </row>
    <row r="113" spans="1:19" s="127" customFormat="1" x14ac:dyDescent="0.25">
      <c r="A113" s="382" t="s">
        <v>2164</v>
      </c>
      <c r="B113" s="382" t="s">
        <v>2165</v>
      </c>
      <c r="C113" s="383" t="s">
        <v>153</v>
      </c>
      <c r="D113" s="384">
        <v>2</v>
      </c>
      <c r="E113" s="381" t="s">
        <v>2199</v>
      </c>
      <c r="F113" s="374" t="str">
        <f>VLOOKUP(E113,TaskValues_ref!E:F,2,FALSE)</f>
        <v>ANC rapid testing</v>
      </c>
      <c r="G113" s="374" t="s">
        <v>154</v>
      </c>
      <c r="H113" s="374" t="s">
        <v>155</v>
      </c>
      <c r="I113" s="375" t="s">
        <v>65</v>
      </c>
      <c r="J113" s="376" t="s">
        <v>156</v>
      </c>
      <c r="K113" s="375" t="str">
        <f>VLOOKUP($E113,TaskValues_ref!$E:$Z,10,FALSE)</f>
        <v>Ethiopia</v>
      </c>
      <c r="L113" s="335">
        <v>1</v>
      </c>
      <c r="N113" s="377">
        <v>1</v>
      </c>
      <c r="O113" s="127">
        <v>1</v>
      </c>
      <c r="Q113" s="378">
        <v>0</v>
      </c>
    </row>
    <row r="114" spans="1:19" s="127" customFormat="1" x14ac:dyDescent="0.25">
      <c r="A114" s="382" t="s">
        <v>2164</v>
      </c>
      <c r="B114" s="383" t="s">
        <v>70</v>
      </c>
      <c r="C114" s="383"/>
      <c r="D114" s="384">
        <v>68</v>
      </c>
      <c r="E114" s="381" t="s">
        <v>2673</v>
      </c>
      <c r="F114" s="374" t="str">
        <f>VLOOKUP(E114,TaskValues_ref!E:F,2,FALSE)</f>
        <v>Treat malnourished mothers</v>
      </c>
      <c r="G114" s="375" t="str">
        <f>VLOOKUP($E114,TaskValues_ref!$E:$Z,3,FALSE)</f>
        <v>Clinical</v>
      </c>
      <c r="H114" s="375" t="str">
        <f>VLOOKUP($E114,TaskValues_ref!$E:$Z,4,FALSE)</f>
        <v>Acute</v>
      </c>
      <c r="I114" s="375" t="str">
        <f>VLOOKUP($E114,TaskValues_ref!$E:$Z,5,FALSE)</f>
        <v>Nutrition</v>
      </c>
      <c r="J114" s="376" t="str">
        <f>VLOOKUP($E114,TaskValues_ref!$E:$Z,6,FALSE)</f>
        <v>births</v>
      </c>
      <c r="K114" s="375" t="str">
        <f>VLOOKUP($E114,TaskValues_ref!$E:$Z,10,FALSE)</f>
        <v>Ethiopia</v>
      </c>
      <c r="L114" s="335">
        <v>1</v>
      </c>
      <c r="N114" s="377">
        <v>1</v>
      </c>
      <c r="O114" s="127">
        <v>1</v>
      </c>
      <c r="Q114" s="378">
        <v>0</v>
      </c>
      <c r="R114" s="127" t="str">
        <f>IF(VLOOKUP($E114,TaskValues_ref!$E:$Z,19,FALSE)=0,"",VLOOKUP($E114,TaskValues_ref!$E:$Z,19,FALSE))</f>
        <v/>
      </c>
      <c r="S114" s="127" t="str">
        <f>IF(VLOOKUP($E114,TaskValues_ref!$E:$Z,20,FALSE)=0,"",VLOOKUP($E114,TaskValues_ref!$E:$Z,20,FALSE))</f>
        <v/>
      </c>
    </row>
    <row r="115" spans="1:19" s="127" customFormat="1" x14ac:dyDescent="0.25">
      <c r="A115" s="382" t="s">
        <v>2164</v>
      </c>
      <c r="B115" s="383" t="s">
        <v>2214</v>
      </c>
      <c r="C115" s="383"/>
      <c r="D115" s="384">
        <v>21</v>
      </c>
      <c r="E115" s="381" t="s">
        <v>2227</v>
      </c>
      <c r="F115" s="374" t="str">
        <f>VLOOKUP(E115,TaskValues_ref!E:F,2,FALSE)</f>
        <v>Well child check &amp; growth monitoring</v>
      </c>
      <c r="G115" s="375" t="str">
        <f>VLOOKUP($E115,TaskValues_ref!$E:$Z,3,FALSE)</f>
        <v>Clinical</v>
      </c>
      <c r="H115" s="375" t="str">
        <f>VLOOKUP($E115,TaskValues_ref!$E:$Z,4,FALSE)</f>
        <v>Preventive</v>
      </c>
      <c r="I115" s="375" t="str">
        <f>VLOOKUP($E115,TaskValues_ref!$E:$Z,5,FALSE)</f>
        <v>Nutrition</v>
      </c>
      <c r="J115" s="376" t="str">
        <f>VLOOKUP($E115,TaskValues_ref!$E:$Z,6,FALSE)</f>
        <v>1-4</v>
      </c>
      <c r="K115" s="375" t="str">
        <f>VLOOKUP($E115,TaskValues_ref!$E:$Z,10,FALSE)</f>
        <v>Ethiopia</v>
      </c>
      <c r="L115" s="335">
        <v>1</v>
      </c>
      <c r="N115" s="377">
        <v>1</v>
      </c>
      <c r="O115" s="127">
        <v>1</v>
      </c>
      <c r="Q115" s="378">
        <v>0</v>
      </c>
      <c r="R115" s="127" t="str">
        <f>IF(VLOOKUP($E115,TaskValues_ref!$E:$Z,19,FALSE)=0,"",VLOOKUP($E115,TaskValues_ref!$E:$Z,19,FALSE))</f>
        <v/>
      </c>
      <c r="S115" s="127" t="str">
        <f>IF(VLOOKUP($E115,TaskValues_ref!$E:$Z,20,FALSE)=0,"",VLOOKUP($E115,TaskValues_ref!$E:$Z,20,FALSE))</f>
        <v/>
      </c>
    </row>
    <row r="116" spans="1:19" s="127" customFormat="1" x14ac:dyDescent="0.25">
      <c r="A116" s="382" t="s">
        <v>2164</v>
      </c>
      <c r="B116" s="383" t="s">
        <v>2214</v>
      </c>
      <c r="C116" s="383"/>
      <c r="D116" s="384">
        <v>21</v>
      </c>
      <c r="E116" s="381" t="s">
        <v>2637</v>
      </c>
      <c r="F116" s="374" t="str">
        <f>VLOOKUP(E116,TaskValues_ref!E:F,2,FALSE)</f>
        <v>Treat severe malnutrition</v>
      </c>
      <c r="G116" s="375" t="str">
        <f>VLOOKUP($E116,TaskValues_ref!$E:$Z,3,FALSE)</f>
        <v>Clinical</v>
      </c>
      <c r="H116" s="375" t="str">
        <f>VLOOKUP($E116,TaskValues_ref!$E:$Z,4,FALSE)</f>
        <v>Acute</v>
      </c>
      <c r="I116" s="375" t="str">
        <f>VLOOKUP($E116,TaskValues_ref!$E:$Z,5,FALSE)</f>
        <v>Nutrition</v>
      </c>
      <c r="J116" s="376" t="str">
        <f>VLOOKUP($E116,TaskValues_ref!$E:$Z,6,FALSE)</f>
        <v>1-4</v>
      </c>
      <c r="K116" s="375" t="str">
        <f>VLOOKUP($E116,TaskValues_ref!$E:$Z,10,FALSE)</f>
        <v>Ethiopia</v>
      </c>
      <c r="L116" s="335">
        <v>1</v>
      </c>
      <c r="N116" s="377">
        <v>1</v>
      </c>
      <c r="O116" s="127">
        <v>1</v>
      </c>
      <c r="Q116" s="378">
        <v>0</v>
      </c>
      <c r="R116" s="127" t="str">
        <f>IF(VLOOKUP($E116,TaskValues_ref!$E:$Z,19,FALSE)=0,"",VLOOKUP($E116,TaskValues_ref!$E:$Z,19,FALSE))</f>
        <v/>
      </c>
      <c r="S116" s="127" t="str">
        <f>IF(VLOOKUP($E116,TaskValues_ref!$E:$Z,20,FALSE)=0,"",VLOOKUP($E116,TaskValues_ref!$E:$Z,20,FALSE))</f>
        <v/>
      </c>
    </row>
    <row r="117" spans="1:19" s="127" customFormat="1" x14ac:dyDescent="0.25">
      <c r="A117" s="382" t="s">
        <v>2164</v>
      </c>
      <c r="B117" s="383" t="s">
        <v>2214</v>
      </c>
      <c r="C117" s="383"/>
      <c r="D117" s="384">
        <v>22</v>
      </c>
      <c r="E117" s="381" t="s">
        <v>2638</v>
      </c>
      <c r="F117" s="374" t="str">
        <f>VLOOKUP(E117,TaskValues_ref!E:F,2,FALSE)</f>
        <v>Treat moderate malnutrition</v>
      </c>
      <c r="G117" s="375" t="str">
        <f>VLOOKUP($E117,TaskValues_ref!$E:$Z,3,FALSE)</f>
        <v>Clinical</v>
      </c>
      <c r="H117" s="375" t="str">
        <f>VLOOKUP($E117,TaskValues_ref!$E:$Z,4,FALSE)</f>
        <v>Acute</v>
      </c>
      <c r="I117" s="375" t="str">
        <f>VLOOKUP($E117,TaskValues_ref!$E:$Z,5,FALSE)</f>
        <v>Nutrition</v>
      </c>
      <c r="J117" s="376" t="str">
        <f>VLOOKUP($E117,TaskValues_ref!$E:$Z,6,FALSE)</f>
        <v>1-4</v>
      </c>
      <c r="K117" s="375" t="str">
        <f>VLOOKUP($E117,TaskValues_ref!$E:$Z,10,FALSE)</f>
        <v>Ethiopia</v>
      </c>
      <c r="L117" s="335">
        <v>1</v>
      </c>
      <c r="N117" s="377">
        <v>1</v>
      </c>
      <c r="O117" s="127">
        <v>1</v>
      </c>
      <c r="Q117" s="378">
        <v>0</v>
      </c>
      <c r="R117" s="127" t="str">
        <f>IF(VLOOKUP($E117,TaskValues_ref!$E:$Z,19,FALSE)=0,"",VLOOKUP($E117,TaskValues_ref!$E:$Z,19,FALSE))</f>
        <v/>
      </c>
      <c r="S117" s="127" t="str">
        <f>IF(VLOOKUP($E117,TaskValues_ref!$E:$Z,20,FALSE)=0,"",VLOOKUP($E117,TaskValues_ref!$E:$Z,20,FALSE))</f>
        <v/>
      </c>
    </row>
    <row r="118" spans="1:19" s="127" customFormat="1" x14ac:dyDescent="0.25">
      <c r="A118" s="385" t="s">
        <v>2339</v>
      </c>
      <c r="B118" s="385" t="s">
        <v>2337</v>
      </c>
      <c r="C118" s="385" t="s">
        <v>69</v>
      </c>
      <c r="D118" s="373">
        <v>103</v>
      </c>
      <c r="E118" s="381" t="s">
        <v>2356</v>
      </c>
      <c r="F118" s="374" t="str">
        <f>VLOOKUP(E118,TaskValues_ref!E:F,2,FALSE)</f>
        <v>Uncomplicated malaria in adults</v>
      </c>
      <c r="G118" s="375" t="str">
        <f>VLOOKUP($E118,TaskValues_ref!$E:$Z,3,FALSE)</f>
        <v>Clinical</v>
      </c>
      <c r="H118" s="375" t="str">
        <f>VLOOKUP($E118,TaskValues_ref!$E:$Z,4,FALSE)</f>
        <v>Acute</v>
      </c>
      <c r="I118" s="375" t="str">
        <f>VLOOKUP($E118,TaskValues_ref!$E:$Z,5,FALSE)</f>
        <v>Malaria</v>
      </c>
      <c r="J118" s="376" t="str">
        <f>VLOOKUP($E118,TaskValues_ref!$E:$Z,6,FALSE)</f>
        <v>adults 18+</v>
      </c>
      <c r="K118" s="375" t="str">
        <f>VLOOKUP($E118,TaskValues_ref!$E:$Z,10,FALSE)</f>
        <v>Ethiopia</v>
      </c>
      <c r="L118" s="335">
        <v>1</v>
      </c>
      <c r="N118" s="377">
        <v>1</v>
      </c>
      <c r="O118" s="127">
        <v>1</v>
      </c>
      <c r="Q118" s="378">
        <v>0</v>
      </c>
      <c r="R118" s="127" t="str">
        <f>IF(VLOOKUP($E118,TaskValues_ref!$E:$Z,19,FALSE)=0,"",VLOOKUP($E118,TaskValues_ref!$E:$Z,19,FALSE))</f>
        <v/>
      </c>
      <c r="S118" s="127" t="str">
        <f>IF(VLOOKUP($E118,TaskValues_ref!$E:$Z,20,FALSE)=0,"",VLOOKUP($E118,TaskValues_ref!$E:$Z,20,FALSE))</f>
        <v/>
      </c>
    </row>
    <row r="119" spans="1:19" s="127" customFormat="1" x14ac:dyDescent="0.25">
      <c r="A119" s="385" t="s">
        <v>2339</v>
      </c>
      <c r="B119" s="385" t="s">
        <v>2337</v>
      </c>
      <c r="C119" s="385" t="s">
        <v>69</v>
      </c>
      <c r="D119" s="373">
        <v>103</v>
      </c>
      <c r="E119" s="381" t="s">
        <v>2357</v>
      </c>
      <c r="F119" s="374" t="str">
        <f>VLOOKUP(E119,TaskValues_ref!E:F,2,FALSE)</f>
        <v>Uncomplicated malaria in children</v>
      </c>
      <c r="G119" s="375" t="str">
        <f>VLOOKUP($E119,TaskValues_ref!$E:$Z,3,FALSE)</f>
        <v>Clinical</v>
      </c>
      <c r="H119" s="375" t="str">
        <f>VLOOKUP($E119,TaskValues_ref!$E:$Z,4,FALSE)</f>
        <v>Acute</v>
      </c>
      <c r="I119" s="375" t="str">
        <f>VLOOKUP($E119,TaskValues_ref!$E:$Z,5,FALSE)</f>
        <v>Malaria</v>
      </c>
      <c r="J119" s="376" t="str">
        <f>VLOOKUP($E119,TaskValues_ref!$E:$Z,6,FALSE)</f>
        <v>1-18</v>
      </c>
      <c r="K119" s="375" t="str">
        <f>VLOOKUP($E119,TaskValues_ref!$E:$Z,10,FALSE)</f>
        <v>Ethiopia</v>
      </c>
      <c r="L119" s="335">
        <v>1</v>
      </c>
      <c r="N119" s="377">
        <v>1</v>
      </c>
      <c r="O119" s="127">
        <v>1</v>
      </c>
      <c r="Q119" s="378">
        <v>0</v>
      </c>
      <c r="R119" s="127" t="str">
        <f>IF(VLOOKUP($E119,TaskValues_ref!$E:$Z,19,FALSE)=0,"",VLOOKUP($E119,TaskValues_ref!$E:$Z,19,FALSE))</f>
        <v/>
      </c>
      <c r="S119" s="127" t="str">
        <f>IF(VLOOKUP($E119,TaskValues_ref!$E:$Z,20,FALSE)=0,"",VLOOKUP($E119,TaskValues_ref!$E:$Z,20,FALSE))</f>
        <v/>
      </c>
    </row>
    <row r="120" spans="1:19" s="127" customFormat="1" x14ac:dyDescent="0.25">
      <c r="A120" s="385" t="s">
        <v>2339</v>
      </c>
      <c r="B120" s="385" t="s">
        <v>2337</v>
      </c>
      <c r="C120" s="385" t="s">
        <v>69</v>
      </c>
      <c r="D120" s="373">
        <v>103</v>
      </c>
      <c r="E120" s="381" t="s">
        <v>2360</v>
      </c>
      <c r="F120" s="374" t="str">
        <f>VLOOKUP(E120,TaskValues_ref!E:F,2,FALSE)</f>
        <v>Testing non-malaria cases</v>
      </c>
      <c r="G120" s="375" t="str">
        <f>VLOOKUP($E120,TaskValues_ref!$E:$Z,3,FALSE)</f>
        <v>Clinical</v>
      </c>
      <c r="H120" s="375" t="str">
        <f>VLOOKUP($E120,TaskValues_ref!$E:$Z,4,FALSE)</f>
        <v>Public Health</v>
      </c>
      <c r="I120" s="375" t="str">
        <f>VLOOKUP($E120,TaskValues_ref!$E:$Z,5,FALSE)</f>
        <v>Malaria</v>
      </c>
      <c r="J120" s="376" t="str">
        <f>VLOOKUP($E120,TaskValues_ref!$E:$Z,6,FALSE)</f>
        <v>all</v>
      </c>
      <c r="K120" s="375" t="str">
        <f>VLOOKUP($E120,TaskValues_ref!$E:$Z,10,FALSE)</f>
        <v>Ethiopia</v>
      </c>
      <c r="L120" s="335">
        <v>1</v>
      </c>
      <c r="N120" s="377">
        <v>1</v>
      </c>
      <c r="O120" s="127">
        <v>1</v>
      </c>
      <c r="Q120" s="378">
        <v>0</v>
      </c>
      <c r="R120" s="127" t="str">
        <f>IF(VLOOKUP($E120,TaskValues_ref!$E:$Z,19,FALSE)=0,"",VLOOKUP($E120,TaskValues_ref!$E:$Z,19,FALSE))</f>
        <v/>
      </c>
      <c r="S120" s="127" t="str">
        <f>IF(VLOOKUP($E120,TaskValues_ref!$E:$Z,20,FALSE)=0,"",VLOOKUP($E120,TaskValues_ref!$E:$Z,20,FALSE))</f>
        <v/>
      </c>
    </row>
    <row r="121" spans="1:19" s="127" customFormat="1" x14ac:dyDescent="0.25">
      <c r="A121" s="385" t="s">
        <v>2339</v>
      </c>
      <c r="B121" s="385" t="s">
        <v>2337</v>
      </c>
      <c r="C121" s="385" t="s">
        <v>69</v>
      </c>
      <c r="D121" s="373">
        <v>104</v>
      </c>
      <c r="E121" s="381" t="s">
        <v>2358</v>
      </c>
      <c r="F121" s="374" t="str">
        <f>VLOOKUP(E121,TaskValues_ref!E:F,2,FALSE)</f>
        <v>Severe malaria in adults</v>
      </c>
      <c r="G121" s="375" t="str">
        <f>VLOOKUP($E121,TaskValues_ref!$E:$Z,3,FALSE)</f>
        <v>Clinical</v>
      </c>
      <c r="H121" s="375" t="str">
        <f>VLOOKUP($E121,TaskValues_ref!$E:$Z,4,FALSE)</f>
        <v>Acute</v>
      </c>
      <c r="I121" s="375" t="str">
        <f>VLOOKUP($E121,TaskValues_ref!$E:$Z,5,FALSE)</f>
        <v>Malaria</v>
      </c>
      <c r="J121" s="376" t="str">
        <f>VLOOKUP($E121,TaskValues_ref!$E:$Z,6,FALSE)</f>
        <v>adults 18+</v>
      </c>
      <c r="K121" s="375" t="str">
        <f>VLOOKUP($E121,TaskValues_ref!$E:$Z,10,FALSE)</f>
        <v>Ethiopia</v>
      </c>
      <c r="L121" s="335">
        <v>1</v>
      </c>
      <c r="N121" s="377">
        <v>1</v>
      </c>
      <c r="O121" s="127">
        <v>1</v>
      </c>
      <c r="Q121" s="378">
        <v>0</v>
      </c>
      <c r="R121" s="127" t="str">
        <f>IF(VLOOKUP($E121,TaskValues_ref!$E:$Z,19,FALSE)=0,"",VLOOKUP($E121,TaskValues_ref!$E:$Z,19,FALSE))</f>
        <v/>
      </c>
      <c r="S121" s="127" t="str">
        <f>IF(VLOOKUP($E121,TaskValues_ref!$E:$Z,20,FALSE)=0,"",VLOOKUP($E121,TaskValues_ref!$E:$Z,20,FALSE))</f>
        <v/>
      </c>
    </row>
    <row r="122" spans="1:19" s="127" customFormat="1" x14ac:dyDescent="0.25">
      <c r="A122" s="385" t="s">
        <v>2339</v>
      </c>
      <c r="B122" s="385" t="s">
        <v>2337</v>
      </c>
      <c r="C122" s="385" t="s">
        <v>69</v>
      </c>
      <c r="D122" s="373">
        <v>104</v>
      </c>
      <c r="E122" s="381" t="s">
        <v>2359</v>
      </c>
      <c r="F122" s="374" t="str">
        <f>VLOOKUP(E122,TaskValues_ref!E:F,2,FALSE)</f>
        <v>Severe malaria in children</v>
      </c>
      <c r="G122" s="375" t="str">
        <f>VLOOKUP($E122,TaskValues_ref!$E:$Z,3,FALSE)</f>
        <v>Clinical</v>
      </c>
      <c r="H122" s="375" t="str">
        <f>VLOOKUP($E122,TaskValues_ref!$E:$Z,4,FALSE)</f>
        <v>Acute</v>
      </c>
      <c r="I122" s="375" t="str">
        <f>VLOOKUP($E122,TaskValues_ref!$E:$Z,5,FALSE)</f>
        <v>Malaria</v>
      </c>
      <c r="J122" s="376" t="str">
        <f>VLOOKUP($E122,TaskValues_ref!$E:$Z,6,FALSE)</f>
        <v>1-18</v>
      </c>
      <c r="K122" s="375" t="str">
        <f>VLOOKUP($E122,TaskValues_ref!$E:$Z,10,FALSE)</f>
        <v>Ethiopia</v>
      </c>
      <c r="L122" s="335">
        <v>1</v>
      </c>
      <c r="N122" s="377">
        <v>1</v>
      </c>
      <c r="O122" s="127">
        <v>1</v>
      </c>
      <c r="Q122" s="378">
        <v>0</v>
      </c>
      <c r="R122" s="127" t="str">
        <f>IF(VLOOKUP($E122,TaskValues_ref!$E:$Z,19,FALSE)=0,"",VLOOKUP($E122,TaskValues_ref!$E:$Z,19,FALSE))</f>
        <v/>
      </c>
      <c r="S122" s="127" t="str">
        <f>IF(VLOOKUP($E122,TaskValues_ref!$E:$Z,20,FALSE)=0,"",VLOOKUP($E122,TaskValues_ref!$E:$Z,20,FALSE))</f>
        <v/>
      </c>
    </row>
    <row r="123" spans="1:19" x14ac:dyDescent="0.25">
      <c r="A123" s="66" t="s">
        <v>192</v>
      </c>
      <c r="E123" s="64" t="s">
        <v>2795</v>
      </c>
      <c r="F123" s="319" t="str">
        <f>VLOOKUP(E123,TaskValues_ref!E:F,2,FALSE)</f>
        <v>Travel HEH</v>
      </c>
      <c r="G123" s="321" t="str">
        <f>VLOOKUP($E123,TaskValues_ref!$E:$Z,3,FALSE)</f>
        <v>Non-productive</v>
      </c>
      <c r="H123" s="321" t="str">
        <f>VLOOKUP($E123,TaskValues_ref!$E:$Z,4,FALSE)</f>
        <v>-</v>
      </c>
      <c r="I123" s="321" t="str">
        <f>VLOOKUP($E123,TaskValues_ref!$E:$Z,5,FALSE)</f>
        <v>-</v>
      </c>
      <c r="J123" s="320" t="str">
        <f>VLOOKUP($E123,TaskValues_ref!$E:$Z,6,FALSE)</f>
        <v>all</v>
      </c>
      <c r="K123" s="321" t="str">
        <f>VLOOKUP($E123,TaskValues_ref!$E:$Z,10,FALSE)</f>
        <v>Ethiopia</v>
      </c>
      <c r="L123" s="195">
        <f>IF(VLOOKUP($E123,TaskValues_ref!$E:$Z,11,FALSE)=0,"",VLOOKUP($E123,TaskValues_ref!$E:$Z,11,FALSE))</f>
        <v>0.05</v>
      </c>
      <c r="M123" s="321"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x14ac:dyDescent="0.25">
      <c r="A124" s="66" t="s">
        <v>192</v>
      </c>
      <c r="E124" s="64" t="s">
        <v>2796</v>
      </c>
      <c r="F124" s="319" t="str">
        <f>VLOOKUP(E124,TaskValues_ref!E:F,2,FALSE)</f>
        <v>Travel HEP</v>
      </c>
      <c r="G124" s="321" t="str">
        <f>VLOOKUP($E124,TaskValues_ref!$E:$Z,3,FALSE)</f>
        <v>Non-productive</v>
      </c>
      <c r="H124" s="321" t="str">
        <f>VLOOKUP($E124,TaskValues_ref!$E:$Z,4,FALSE)</f>
        <v>-</v>
      </c>
      <c r="I124" s="321" t="str">
        <f>VLOOKUP($E124,TaskValues_ref!$E:$Z,5,FALSE)</f>
        <v>-</v>
      </c>
      <c r="J124" s="320" t="str">
        <f>VLOOKUP($E124,TaskValues_ref!$E:$Z,6,FALSE)</f>
        <v>all</v>
      </c>
      <c r="K124" s="321" t="str">
        <f>VLOOKUP($E124,TaskValues_ref!$E:$Z,10,FALSE)</f>
        <v>Ethiopia</v>
      </c>
      <c r="L124" s="195">
        <f>IF(VLOOKUP($E124,TaskValues_ref!$E:$Z,11,FALSE)=0,"",VLOOKUP($E124,TaskValues_ref!$E:$Z,11,FALSE))</f>
        <v>0.05</v>
      </c>
      <c r="M124" s="321" t="str">
        <f>IF(VLOOKUP($E124,TaskValues_ref!$E:$Z,13,FALSE)=0,"",VLOOKUP($E124,TaskValues_ref!$E:$Z,13,FALSE))</f>
        <v/>
      </c>
      <c r="N124" s="89">
        <f>IF(VLOOKUP($E124,TaskValues_ref!$E:$Z,15,FALSE)=0,"",VLOOKUP($E124,TaskValues_ref!$E:$Z,15,FALSE))</f>
        <v>0.98</v>
      </c>
      <c r="O124">
        <f>IF(VLOOKUP($E124,TaskValues_ref!$E:$Z,16,FALSE)=0,"",VLOOKUP($E124,TaskValues_ref!$E:$Z,16,FALSE))</f>
        <v>1</v>
      </c>
      <c r="P124" t="str">
        <f>IF(VLOOKUP($E124,TaskValues_ref!$E:$Z,17,FALSE)=0,"",VLOOKUP($E124,TaskValues_ref!$E:$Z,17,FALSE))</f>
        <v/>
      </c>
      <c r="Q124">
        <f>IF(VLOOKUP($E124,TaskValues_ref!$E:$Z,18,FALSE)=0,"",VLOOKUP($E124,TaskValues_ref!$E:$Z,18,FALSE))</f>
        <v>53.832494807158753</v>
      </c>
      <c r="R124" t="str">
        <f>IF(VLOOKUP($E124,TaskValues_ref!$E:$Z,19,FALSE)=0,"",VLOOKUP($E124,TaskValues_ref!$E:$Z,19,FALSE))</f>
        <v/>
      </c>
      <c r="S124" t="str">
        <f>IF(VLOOKUP($E124,TaskValues_ref!$E:$Z,20,FALSE)=0,"",VLOOKUP($E124,TaskValues_ref!$E:$Z,20,FALSE))</f>
        <v/>
      </c>
    </row>
    <row r="125" spans="1:19" x14ac:dyDescent="0.25">
      <c r="E125" s="64" t="s">
        <v>2813</v>
      </c>
      <c r="F125" s="321" t="s">
        <v>2819</v>
      </c>
      <c r="G125" s="321" t="str">
        <f>VLOOKUP($E125,TaskValues_ref!$E:$Z,3,FALSE)</f>
        <v>Non-productive</v>
      </c>
      <c r="H125" s="321" t="str">
        <f>VLOOKUP($E125,TaskValues_ref!$E:$Z,4,FALSE)</f>
        <v>-</v>
      </c>
      <c r="I125" s="321" t="str">
        <f>VLOOKUP($E125,TaskValues_ref!$E:$Z,5,FALSE)</f>
        <v>-</v>
      </c>
      <c r="J125" s="320" t="str">
        <f>VLOOKUP($E125,TaskValues_ref!$E:$Z,6,FALSE)</f>
        <v>-</v>
      </c>
      <c r="K125" s="321" t="str">
        <f>VLOOKUP($E125,TaskValues_ref!$E:$Z,10,FALSE)</f>
        <v>Ethiopia</v>
      </c>
      <c r="L125" s="195" t="str">
        <f>IF(VLOOKUP($E125,TaskValues_ref!$E:$Z,11,FALSE)=0,"",VLOOKUP($E125,TaskValues_ref!$E:$Z,11,FALSE))</f>
        <v/>
      </c>
      <c r="M125" s="321"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row r="126" spans="1:19" x14ac:dyDescent="0.25">
      <c r="E126" s="64" t="s">
        <v>2814</v>
      </c>
      <c r="F126" s="321" t="s">
        <v>2820</v>
      </c>
      <c r="G126" s="321" t="str">
        <f>VLOOKUP($E126,TaskValues_ref!$E:$Z,3,FALSE)</f>
        <v>Non-productive</v>
      </c>
      <c r="H126" s="321" t="str">
        <f>VLOOKUP($E126,TaskValues_ref!$E:$Z,4,FALSE)</f>
        <v>-</v>
      </c>
      <c r="I126" s="321" t="str">
        <f>VLOOKUP($E126,TaskValues_ref!$E:$Z,5,FALSE)</f>
        <v>-</v>
      </c>
      <c r="J126" s="320" t="str">
        <f>VLOOKUP($E126,TaskValues_ref!$E:$Z,6,FALSE)</f>
        <v>-</v>
      </c>
      <c r="K126" s="321" t="str">
        <f>VLOOKUP($E126,TaskValues_ref!$E:$Z,10,FALSE)</f>
        <v>Ethiopia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f>IF(VLOOKUP($E126,TaskValues_ref!$E:$Z,19,FALSE)=0,"",VLOOKUP($E126,TaskValues_ref!$E:$Z,19,FALSE))</f>
        <v>4.5120000000000005</v>
      </c>
      <c r="S126" t="str">
        <f>IF(VLOOKUP($E126,TaskValues_ref!$E:$Z,20,FALSE)=0,"",VLOOKUP($E126,TaskValues_ref!$E:$Z,20,FALSE))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lookups!$B$2:$B$9</xm:f>
          </x14:formula1>
          <xm:sqref>H108:H122 H127:H328</xm:sqref>
        </x14:dataValidation>
        <x14:dataValidation type="list" allowBlank="1" showInputMessage="1" showErrorMessage="1" xr:uid="{8D8007AD-CB0B-468B-83B5-C2695482895C}">
          <x14:formula1>
            <xm:f>lookups!$D$2:$D$15</xm:f>
          </x14:formula1>
          <xm:sqref>I108:I122 I127:I427</xm:sqref>
        </x14:dataValidation>
        <x14:dataValidation type="list" allowBlank="1" showInputMessage="1" showErrorMessage="1" xr:uid="{9CD67D9B-2247-4CF6-A5EF-2043133EFEFF}">
          <x14:formula1>
            <xm:f>lookups!$F$2:$F$25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84"/>
  <sheetViews>
    <sheetView zoomScale="80" zoomScaleNormal="80" workbookViewId="0">
      <pane ySplit="1" topLeftCell="A1048554" activePane="bottomLeft" state="frozen"/>
      <selection activeCell="B15" sqref="B15"/>
      <selection pane="bottomLeft" activeCell="I1" sqref="I1"/>
    </sheetView>
  </sheetViews>
  <sheetFormatPr defaultRowHeight="15" x14ac:dyDescent="0.25"/>
  <cols>
    <col min="1" max="1" width="15.140625" style="319" customWidth="1"/>
    <col min="2" max="2" width="42" style="319" bestFit="1" customWidth="1"/>
    <col min="3" max="4" width="3.85546875" style="319" customWidth="1"/>
    <col min="5" max="5" width="3.85546875" style="320" customWidth="1"/>
    <col min="6" max="6" width="3.85546875" style="64" customWidth="1"/>
    <col min="7" max="9" width="3.85546875" style="319" customWidth="1"/>
    <col min="10" max="10" width="3.85546875" style="320" customWidth="1"/>
    <col min="11" max="11" width="3.85546875" style="64" customWidth="1"/>
    <col min="12" max="17" width="3.85546875" style="319" customWidth="1"/>
    <col min="18" max="18" width="3.85546875" style="320" customWidth="1"/>
    <col min="19" max="19" width="3.85546875" style="64" customWidth="1"/>
    <col min="20" max="24" width="3.85546875" style="319" customWidth="1"/>
    <col min="25" max="25" width="3.85546875" style="320" customWidth="1"/>
  </cols>
  <sheetData>
    <row r="1" spans="1:25" s="177" customFormat="1" ht="87.6" customHeight="1" x14ac:dyDescent="0.25">
      <c r="A1" s="328" t="s">
        <v>135</v>
      </c>
      <c r="B1" s="328" t="s">
        <v>136</v>
      </c>
      <c r="C1" s="364" t="s">
        <v>2629</v>
      </c>
      <c r="D1" s="364" t="s">
        <v>2631</v>
      </c>
      <c r="E1" s="365" t="s">
        <v>2630</v>
      </c>
      <c r="F1" s="363" t="s">
        <v>2792</v>
      </c>
      <c r="G1" s="364" t="s">
        <v>2752</v>
      </c>
      <c r="H1" s="364" t="s">
        <v>2753</v>
      </c>
      <c r="I1" s="364" t="s">
        <v>2756</v>
      </c>
      <c r="J1" s="365" t="s">
        <v>2757</v>
      </c>
      <c r="K1" s="363" t="s">
        <v>2793</v>
      </c>
      <c r="L1" s="364" t="s">
        <v>2758</v>
      </c>
      <c r="M1" s="364" t="s">
        <v>2759</v>
      </c>
      <c r="N1" s="364" t="s">
        <v>2754</v>
      </c>
      <c r="O1" s="364" t="s">
        <v>2760</v>
      </c>
      <c r="P1" s="364" t="s">
        <v>2761</v>
      </c>
      <c r="Q1" s="364" t="s">
        <v>2762</v>
      </c>
      <c r="R1" s="365" t="s">
        <v>2763</v>
      </c>
      <c r="S1" s="363" t="s">
        <v>2794</v>
      </c>
      <c r="T1" s="364" t="s">
        <v>2764</v>
      </c>
      <c r="U1" s="364" t="s">
        <v>2765</v>
      </c>
      <c r="V1" s="364" t="s">
        <v>2766</v>
      </c>
      <c r="W1" s="364" t="s">
        <v>2767</v>
      </c>
      <c r="X1" s="364" t="s">
        <v>2768</v>
      </c>
      <c r="Y1" s="365" t="s">
        <v>2769</v>
      </c>
    </row>
    <row r="2" spans="1:25" x14ac:dyDescent="0.25">
      <c r="A2" s="319" t="s">
        <v>2166</v>
      </c>
      <c r="B2" s="319" t="str">
        <f>VLOOKUP(A2,TaskValues_ref!E:F,2,FALSE)</f>
        <v>ANC visits</v>
      </c>
      <c r="C2" s="388">
        <v>100</v>
      </c>
      <c r="D2" s="374"/>
      <c r="E2" s="389">
        <f t="shared" ref="E2:E33" si="0">SUM(C2:D2)</f>
        <v>100</v>
      </c>
      <c r="F2" s="387">
        <v>100</v>
      </c>
      <c r="G2" s="388"/>
      <c r="H2" s="388"/>
      <c r="I2" s="388"/>
      <c r="J2" s="389">
        <f>SUM(F2:I2)</f>
        <v>100</v>
      </c>
      <c r="K2" s="387">
        <v>100</v>
      </c>
      <c r="L2" s="388"/>
      <c r="M2" s="388"/>
      <c r="N2" s="388"/>
      <c r="O2" s="388"/>
      <c r="P2" s="388"/>
      <c r="Q2" s="388"/>
      <c r="R2" s="389">
        <f>SUM(K2:Q2)</f>
        <v>100</v>
      </c>
      <c r="S2" s="387">
        <v>100</v>
      </c>
      <c r="T2" s="388"/>
      <c r="U2" s="388"/>
      <c r="V2" s="388"/>
      <c r="W2" s="388"/>
      <c r="X2" s="388"/>
      <c r="Y2" s="389">
        <f>SUM(S2:X2)</f>
        <v>100</v>
      </c>
    </row>
    <row r="3" spans="1:25" x14ac:dyDescent="0.25">
      <c r="A3" s="319" t="s">
        <v>2199</v>
      </c>
      <c r="B3" s="319" t="str">
        <f>VLOOKUP(A3,TaskValues_ref!E:F,2,FALSE)</f>
        <v>ANC rapid testing</v>
      </c>
      <c r="C3" s="388">
        <v>100</v>
      </c>
      <c r="D3" s="374"/>
      <c r="E3" s="389">
        <f t="shared" si="0"/>
        <v>100</v>
      </c>
      <c r="F3" s="387">
        <v>100</v>
      </c>
      <c r="G3" s="388"/>
      <c r="H3" s="388"/>
      <c r="I3" s="388"/>
      <c r="J3" s="389">
        <f t="shared" ref="J3:J66" si="1">SUM(F3:I3)</f>
        <v>100</v>
      </c>
      <c r="K3" s="387">
        <v>100</v>
      </c>
      <c r="L3" s="388"/>
      <c r="M3" s="388"/>
      <c r="N3" s="388"/>
      <c r="O3" s="388"/>
      <c r="P3" s="388"/>
      <c r="Q3" s="388"/>
      <c r="R3" s="389">
        <f t="shared" ref="R3:R66" si="2">SUM(K3:Q3)</f>
        <v>100</v>
      </c>
      <c r="S3" s="387">
        <v>100</v>
      </c>
      <c r="T3" s="388"/>
      <c r="U3" s="388"/>
      <c r="V3" s="388"/>
      <c r="W3" s="388"/>
      <c r="X3" s="388"/>
      <c r="Y3" s="389">
        <f t="shared" ref="Y3:Y66" si="3">SUM(S3:X3)</f>
        <v>100</v>
      </c>
    </row>
    <row r="4" spans="1:25" x14ac:dyDescent="0.25">
      <c r="A4" s="319" t="s">
        <v>2180</v>
      </c>
      <c r="B4" s="319" t="str">
        <f>VLOOKUP(A4,TaskValues_ref!E:F,2,FALSE)</f>
        <v>Normal labor management</v>
      </c>
      <c r="C4" s="388">
        <v>100</v>
      </c>
      <c r="D4" s="374"/>
      <c r="E4" s="389">
        <f t="shared" si="0"/>
        <v>100</v>
      </c>
      <c r="F4" s="387">
        <v>100</v>
      </c>
      <c r="G4" s="388"/>
      <c r="H4" s="388"/>
      <c r="I4" s="388"/>
      <c r="J4" s="389">
        <f t="shared" si="1"/>
        <v>100</v>
      </c>
      <c r="K4" s="387">
        <v>100</v>
      </c>
      <c r="L4" s="388"/>
      <c r="M4" s="388"/>
      <c r="N4" s="388"/>
      <c r="O4" s="388"/>
      <c r="P4" s="388"/>
      <c r="Q4" s="388"/>
      <c r="R4" s="389">
        <f t="shared" si="2"/>
        <v>100</v>
      </c>
      <c r="S4" s="387">
        <v>100</v>
      </c>
      <c r="T4" s="388"/>
      <c r="U4" s="388"/>
      <c r="V4" s="388"/>
      <c r="W4" s="388"/>
      <c r="X4" s="388"/>
      <c r="Y4" s="389">
        <f t="shared" si="3"/>
        <v>100</v>
      </c>
    </row>
    <row r="5" spans="1:25" x14ac:dyDescent="0.25">
      <c r="A5" s="319" t="s">
        <v>2181</v>
      </c>
      <c r="B5" s="319" t="str">
        <f>VLOOKUP(A5,TaskValues_ref!E:F,2,FALSE)</f>
        <v>Active management 3rd stage</v>
      </c>
      <c r="C5" s="388">
        <v>100</v>
      </c>
      <c r="D5" s="374"/>
      <c r="E5" s="389">
        <f t="shared" si="0"/>
        <v>100</v>
      </c>
      <c r="F5" s="387">
        <v>100</v>
      </c>
      <c r="G5" s="388"/>
      <c r="H5" s="388"/>
      <c r="I5" s="388"/>
      <c r="J5" s="389">
        <f t="shared" si="1"/>
        <v>100</v>
      </c>
      <c r="K5" s="387">
        <v>100</v>
      </c>
      <c r="L5" s="388"/>
      <c r="M5" s="388"/>
      <c r="N5" s="388"/>
      <c r="O5" s="388"/>
      <c r="P5" s="388"/>
      <c r="Q5" s="388"/>
      <c r="R5" s="389">
        <f t="shared" si="2"/>
        <v>100</v>
      </c>
      <c r="S5" s="387">
        <v>100</v>
      </c>
      <c r="T5" s="388"/>
      <c r="U5" s="388"/>
      <c r="V5" s="388"/>
      <c r="W5" s="388"/>
      <c r="X5" s="388"/>
      <c r="Y5" s="389">
        <f t="shared" si="3"/>
        <v>100</v>
      </c>
    </row>
    <row r="6" spans="1:25" x14ac:dyDescent="0.25">
      <c r="A6" s="319" t="s">
        <v>2182</v>
      </c>
      <c r="B6" s="319" t="str">
        <f>VLOOKUP(A6,TaskValues_ref!E:F,2,FALSE)</f>
        <v>Emergency OB</v>
      </c>
      <c r="C6" s="388">
        <v>100</v>
      </c>
      <c r="D6" s="374"/>
      <c r="E6" s="389">
        <f t="shared" si="0"/>
        <v>100</v>
      </c>
      <c r="F6" s="387">
        <v>100</v>
      </c>
      <c r="G6" s="388"/>
      <c r="H6" s="388"/>
      <c r="I6" s="388"/>
      <c r="J6" s="389">
        <f t="shared" si="1"/>
        <v>100</v>
      </c>
      <c r="K6" s="387">
        <v>100</v>
      </c>
      <c r="L6" s="388"/>
      <c r="M6" s="388"/>
      <c r="N6" s="388"/>
      <c r="O6" s="388"/>
      <c r="P6" s="388"/>
      <c r="Q6" s="388"/>
      <c r="R6" s="389">
        <f t="shared" si="2"/>
        <v>100</v>
      </c>
      <c r="S6" s="387">
        <v>100</v>
      </c>
      <c r="T6" s="388"/>
      <c r="U6" s="388"/>
      <c r="V6" s="388"/>
      <c r="W6" s="388"/>
      <c r="X6" s="388"/>
      <c r="Y6" s="389">
        <f t="shared" si="3"/>
        <v>100</v>
      </c>
    </row>
    <row r="7" spans="1:25" x14ac:dyDescent="0.25">
      <c r="A7" s="319" t="s">
        <v>2183</v>
      </c>
      <c r="B7" s="319" t="str">
        <f>VLOOKUP(A7,TaskValues_ref!E:F,2,FALSE)</f>
        <v>Pre-referral for complications</v>
      </c>
      <c r="C7" s="388">
        <v>100</v>
      </c>
      <c r="D7" s="374"/>
      <c r="E7" s="389">
        <f t="shared" si="0"/>
        <v>100</v>
      </c>
      <c r="F7" s="387">
        <v>100</v>
      </c>
      <c r="G7" s="388"/>
      <c r="H7" s="388"/>
      <c r="I7" s="388"/>
      <c r="J7" s="389">
        <f t="shared" si="1"/>
        <v>100</v>
      </c>
      <c r="K7" s="387">
        <v>100</v>
      </c>
      <c r="L7" s="388"/>
      <c r="M7" s="388"/>
      <c r="N7" s="388"/>
      <c r="O7" s="388"/>
      <c r="P7" s="388"/>
      <c r="Q7" s="388"/>
      <c r="R7" s="389">
        <f t="shared" si="2"/>
        <v>100</v>
      </c>
      <c r="S7" s="387">
        <v>100</v>
      </c>
      <c r="T7" s="388"/>
      <c r="U7" s="388"/>
      <c r="V7" s="388"/>
      <c r="W7" s="388"/>
      <c r="X7" s="388"/>
      <c r="Y7" s="389">
        <f t="shared" si="3"/>
        <v>100</v>
      </c>
    </row>
    <row r="8" spans="1:25" x14ac:dyDescent="0.25">
      <c r="A8" s="319" t="s">
        <v>2192</v>
      </c>
      <c r="B8" s="319" t="str">
        <f>VLOOKUP(A8,TaskValues_ref!E:F,2,FALSE)</f>
        <v>PNC home visits</v>
      </c>
      <c r="C8" s="388">
        <v>100</v>
      </c>
      <c r="D8" s="374"/>
      <c r="E8" s="389">
        <f t="shared" si="0"/>
        <v>100</v>
      </c>
      <c r="F8" s="387">
        <v>100</v>
      </c>
      <c r="G8" s="388"/>
      <c r="H8" s="388"/>
      <c r="I8" s="388"/>
      <c r="J8" s="389">
        <f t="shared" si="1"/>
        <v>100</v>
      </c>
      <c r="K8" s="387">
        <v>100</v>
      </c>
      <c r="L8" s="388"/>
      <c r="M8" s="388"/>
      <c r="N8" s="388"/>
      <c r="O8" s="388"/>
      <c r="P8" s="388"/>
      <c r="Q8" s="388"/>
      <c r="R8" s="389">
        <f t="shared" si="2"/>
        <v>100</v>
      </c>
      <c r="S8" s="387">
        <v>100</v>
      </c>
      <c r="T8" s="388"/>
      <c r="U8" s="388"/>
      <c r="V8" s="388"/>
      <c r="W8" s="388"/>
      <c r="X8" s="388"/>
      <c r="Y8" s="389">
        <f t="shared" si="3"/>
        <v>100</v>
      </c>
    </row>
    <row r="9" spans="1:25" x14ac:dyDescent="0.25">
      <c r="A9" s="319" t="s">
        <v>2193</v>
      </c>
      <c r="B9" s="319" t="str">
        <f>VLOOKUP(A9,TaskValues_ref!E:F,2,FALSE)</f>
        <v>Maternal sepsis</v>
      </c>
      <c r="C9" s="388">
        <v>100</v>
      </c>
      <c r="D9" s="374"/>
      <c r="E9" s="389">
        <f t="shared" si="0"/>
        <v>100</v>
      </c>
      <c r="F9" s="387">
        <v>100</v>
      </c>
      <c r="G9" s="388"/>
      <c r="H9" s="388"/>
      <c r="I9" s="388"/>
      <c r="J9" s="389">
        <f t="shared" si="1"/>
        <v>100</v>
      </c>
      <c r="K9" s="387">
        <v>100</v>
      </c>
      <c r="L9" s="388"/>
      <c r="M9" s="388"/>
      <c r="N9" s="388"/>
      <c r="O9" s="388"/>
      <c r="P9" s="388"/>
      <c r="Q9" s="388"/>
      <c r="R9" s="389">
        <f t="shared" si="2"/>
        <v>100</v>
      </c>
      <c r="S9" s="387">
        <v>100</v>
      </c>
      <c r="T9" s="388"/>
      <c r="U9" s="388"/>
      <c r="V9" s="388"/>
      <c r="W9" s="388"/>
      <c r="X9" s="388"/>
      <c r="Y9" s="389">
        <f t="shared" si="3"/>
        <v>100</v>
      </c>
    </row>
    <row r="10" spans="1:25" x14ac:dyDescent="0.25">
      <c r="A10" s="319" t="s">
        <v>2194</v>
      </c>
      <c r="B10" s="319" t="str">
        <f>VLOOKUP(A10,TaskValues_ref!E:F,2,FALSE)</f>
        <v>Mastitis</v>
      </c>
      <c r="C10" s="388">
        <v>100</v>
      </c>
      <c r="D10" s="374"/>
      <c r="E10" s="389">
        <f t="shared" si="0"/>
        <v>100</v>
      </c>
      <c r="F10" s="387">
        <v>100</v>
      </c>
      <c r="G10" s="388"/>
      <c r="H10" s="388"/>
      <c r="I10" s="388"/>
      <c r="J10" s="389">
        <f t="shared" si="1"/>
        <v>100</v>
      </c>
      <c r="K10" s="387">
        <v>100</v>
      </c>
      <c r="L10" s="388"/>
      <c r="M10" s="388"/>
      <c r="N10" s="388"/>
      <c r="O10" s="388"/>
      <c r="P10" s="388"/>
      <c r="Q10" s="388"/>
      <c r="R10" s="389">
        <f t="shared" si="2"/>
        <v>100</v>
      </c>
      <c r="S10" s="387">
        <v>100</v>
      </c>
      <c r="T10" s="388"/>
      <c r="U10" s="388"/>
      <c r="V10" s="388"/>
      <c r="W10" s="388"/>
      <c r="X10" s="388"/>
      <c r="Y10" s="389">
        <f t="shared" si="3"/>
        <v>100</v>
      </c>
    </row>
    <row r="11" spans="1:25" x14ac:dyDescent="0.25">
      <c r="A11" s="319" t="s">
        <v>2195</v>
      </c>
      <c r="B11" s="319" t="str">
        <f>VLOOKUP(A11,TaskValues_ref!E:F,2,FALSE)</f>
        <v>Postpartum haemorrhage</v>
      </c>
      <c r="C11" s="388">
        <v>100</v>
      </c>
      <c r="D11" s="374"/>
      <c r="E11" s="389">
        <f t="shared" si="0"/>
        <v>100</v>
      </c>
      <c r="F11" s="387">
        <v>100</v>
      </c>
      <c r="G11" s="388"/>
      <c r="H11" s="388"/>
      <c r="I11" s="388"/>
      <c r="J11" s="389">
        <f t="shared" si="1"/>
        <v>100</v>
      </c>
      <c r="K11" s="387">
        <v>100</v>
      </c>
      <c r="L11" s="388"/>
      <c r="M11" s="388"/>
      <c r="N11" s="388"/>
      <c r="O11" s="388"/>
      <c r="P11" s="388"/>
      <c r="Q11" s="388"/>
      <c r="R11" s="389">
        <f t="shared" si="2"/>
        <v>100</v>
      </c>
      <c r="S11" s="387">
        <v>100</v>
      </c>
      <c r="T11" s="388"/>
      <c r="U11" s="388"/>
      <c r="V11" s="388"/>
      <c r="W11" s="388"/>
      <c r="X11" s="388"/>
      <c r="Y11" s="389">
        <f t="shared" si="3"/>
        <v>100</v>
      </c>
    </row>
    <row r="12" spans="1:25" x14ac:dyDescent="0.25">
      <c r="A12" s="319" t="s">
        <v>2203</v>
      </c>
      <c r="B12" s="319" t="str">
        <f>VLOOKUP(A12,TaskValues_ref!E:F,2,FALSE)</f>
        <v>Pre-referral PPH</v>
      </c>
      <c r="C12" s="388">
        <v>100</v>
      </c>
      <c r="D12" s="374"/>
      <c r="E12" s="389">
        <f t="shared" si="0"/>
        <v>100</v>
      </c>
      <c r="F12" s="387">
        <v>100</v>
      </c>
      <c r="G12" s="388"/>
      <c r="H12" s="388"/>
      <c r="I12" s="388"/>
      <c r="J12" s="389">
        <f t="shared" si="1"/>
        <v>100</v>
      </c>
      <c r="K12" s="387">
        <v>100</v>
      </c>
      <c r="L12" s="388"/>
      <c r="M12" s="388"/>
      <c r="N12" s="388"/>
      <c r="O12" s="388"/>
      <c r="P12" s="388"/>
      <c r="Q12" s="388"/>
      <c r="R12" s="389">
        <f t="shared" si="2"/>
        <v>100</v>
      </c>
      <c r="S12" s="387">
        <v>100</v>
      </c>
      <c r="T12" s="388"/>
      <c r="U12" s="388"/>
      <c r="V12" s="388"/>
      <c r="W12" s="388"/>
      <c r="X12" s="388"/>
      <c r="Y12" s="389">
        <f t="shared" si="3"/>
        <v>100</v>
      </c>
    </row>
    <row r="13" spans="1:25" x14ac:dyDescent="0.25">
      <c r="A13" s="319" t="s">
        <v>2208</v>
      </c>
      <c r="B13" s="319" t="str">
        <f>VLOOKUP(A13,TaskValues_ref!E:F,2,FALSE)</f>
        <v>Mortality surveillance</v>
      </c>
      <c r="C13" s="388">
        <v>100</v>
      </c>
      <c r="D13" s="374"/>
      <c r="E13" s="389">
        <f t="shared" si="0"/>
        <v>100</v>
      </c>
      <c r="F13" s="387">
        <v>100</v>
      </c>
      <c r="G13" s="388"/>
      <c r="H13" s="388"/>
      <c r="I13" s="388"/>
      <c r="J13" s="389">
        <f t="shared" si="1"/>
        <v>100</v>
      </c>
      <c r="K13" s="387">
        <v>100</v>
      </c>
      <c r="L13" s="388"/>
      <c r="M13" s="388"/>
      <c r="N13" s="388"/>
      <c r="O13" s="388"/>
      <c r="P13" s="388"/>
      <c r="Q13" s="388"/>
      <c r="R13" s="389">
        <f t="shared" si="2"/>
        <v>100</v>
      </c>
      <c r="S13" s="387">
        <v>100</v>
      </c>
      <c r="T13" s="388"/>
      <c r="U13" s="388"/>
      <c r="V13" s="388"/>
      <c r="W13" s="388"/>
      <c r="X13" s="388"/>
      <c r="Y13" s="389">
        <f t="shared" si="3"/>
        <v>100</v>
      </c>
    </row>
    <row r="14" spans="1:25" x14ac:dyDescent="0.25">
      <c r="A14" s="319" t="s">
        <v>2770</v>
      </c>
      <c r="B14" s="319" t="str">
        <f>VLOOKUP(A14,TaskValues_ref!E:F,2,FALSE)</f>
        <v>ID fistula and prolapse</v>
      </c>
      <c r="C14" s="388">
        <v>100</v>
      </c>
      <c r="D14" s="374"/>
      <c r="E14" s="389">
        <f t="shared" si="0"/>
        <v>100</v>
      </c>
      <c r="F14" s="387">
        <v>100</v>
      </c>
      <c r="G14" s="388"/>
      <c r="H14" s="388"/>
      <c r="I14" s="388"/>
      <c r="J14" s="389">
        <f t="shared" si="1"/>
        <v>100</v>
      </c>
      <c r="K14" s="387">
        <v>100</v>
      </c>
      <c r="L14" s="388"/>
      <c r="M14" s="388"/>
      <c r="N14" s="388"/>
      <c r="O14" s="388"/>
      <c r="P14" s="388"/>
      <c r="Q14" s="388"/>
      <c r="R14" s="389">
        <f t="shared" si="2"/>
        <v>100</v>
      </c>
      <c r="S14" s="387">
        <v>100</v>
      </c>
      <c r="T14" s="388"/>
      <c r="U14" s="388"/>
      <c r="V14" s="388"/>
      <c r="W14" s="388"/>
      <c r="X14" s="388"/>
      <c r="Y14" s="389">
        <f t="shared" si="3"/>
        <v>100</v>
      </c>
    </row>
    <row r="15" spans="1:25" x14ac:dyDescent="0.25">
      <c r="A15" s="319" t="s">
        <v>2771</v>
      </c>
      <c r="B15" s="319" t="str">
        <f>VLOOKUP(A15,TaskValues_ref!E:F,2,FALSE)</f>
        <v>Promote cervical cancer ID and treat</v>
      </c>
      <c r="C15" s="388">
        <v>100</v>
      </c>
      <c r="D15" s="374"/>
      <c r="E15" s="389">
        <f t="shared" si="0"/>
        <v>100</v>
      </c>
      <c r="F15" s="387">
        <v>100</v>
      </c>
      <c r="G15" s="388"/>
      <c r="H15" s="388"/>
      <c r="I15" s="388"/>
      <c r="J15" s="389">
        <f t="shared" si="1"/>
        <v>100</v>
      </c>
      <c r="K15" s="387">
        <v>100</v>
      </c>
      <c r="L15" s="388"/>
      <c r="M15" s="388"/>
      <c r="N15" s="388"/>
      <c r="O15" s="388"/>
      <c r="P15" s="388"/>
      <c r="Q15" s="388"/>
      <c r="R15" s="389">
        <f t="shared" si="2"/>
        <v>100</v>
      </c>
      <c r="S15" s="387">
        <v>100</v>
      </c>
      <c r="T15" s="388"/>
      <c r="U15" s="388"/>
      <c r="V15" s="388"/>
      <c r="W15" s="388"/>
      <c r="X15" s="388"/>
      <c r="Y15" s="389">
        <f t="shared" si="3"/>
        <v>100</v>
      </c>
    </row>
    <row r="16" spans="1:25" x14ac:dyDescent="0.25">
      <c r="A16" s="319" t="s">
        <v>2632</v>
      </c>
      <c r="B16" s="319" t="str">
        <f>VLOOKUP(A16,TaskValues_ref!E:F,2,FALSE)</f>
        <v>Newborn care</v>
      </c>
      <c r="C16" s="388">
        <v>100</v>
      </c>
      <c r="D16" s="374"/>
      <c r="E16" s="389">
        <f t="shared" si="0"/>
        <v>100</v>
      </c>
      <c r="F16" s="387">
        <v>100</v>
      </c>
      <c r="G16" s="388"/>
      <c r="H16" s="388"/>
      <c r="I16" s="388"/>
      <c r="J16" s="389">
        <f t="shared" si="1"/>
        <v>100</v>
      </c>
      <c r="K16" s="387">
        <v>100</v>
      </c>
      <c r="L16" s="388"/>
      <c r="M16" s="388"/>
      <c r="N16" s="388"/>
      <c r="O16" s="388"/>
      <c r="P16" s="388"/>
      <c r="Q16" s="388"/>
      <c r="R16" s="389">
        <f t="shared" si="2"/>
        <v>100</v>
      </c>
      <c r="S16" s="387">
        <v>100</v>
      </c>
      <c r="T16" s="388"/>
      <c r="U16" s="388"/>
      <c r="V16" s="388"/>
      <c r="W16" s="388"/>
      <c r="X16" s="388"/>
      <c r="Y16" s="389">
        <f t="shared" si="3"/>
        <v>100</v>
      </c>
    </row>
    <row r="17" spans="1:26" x14ac:dyDescent="0.25">
      <c r="A17" s="319" t="s">
        <v>2633</v>
      </c>
      <c r="B17" s="319" t="str">
        <f>VLOOKUP(A17,TaskValues_ref!E:F,2,FALSE)</f>
        <v>Chlorhexidine</v>
      </c>
      <c r="C17" s="388">
        <v>100</v>
      </c>
      <c r="D17" s="374"/>
      <c r="E17" s="389">
        <f t="shared" si="0"/>
        <v>100</v>
      </c>
      <c r="F17" s="387">
        <v>100</v>
      </c>
      <c r="G17" s="388"/>
      <c r="H17" s="388"/>
      <c r="I17" s="388"/>
      <c r="J17" s="389">
        <f t="shared" si="1"/>
        <v>100</v>
      </c>
      <c r="K17" s="387">
        <v>100</v>
      </c>
      <c r="L17" s="388"/>
      <c r="M17" s="388"/>
      <c r="N17" s="388"/>
      <c r="O17" s="388"/>
      <c r="P17" s="388"/>
      <c r="Q17" s="388"/>
      <c r="R17" s="389">
        <f t="shared" si="2"/>
        <v>100</v>
      </c>
      <c r="S17" s="387">
        <v>100</v>
      </c>
      <c r="T17" s="388"/>
      <c r="U17" s="388"/>
      <c r="V17" s="388"/>
      <c r="W17" s="388"/>
      <c r="X17" s="388"/>
      <c r="Y17" s="389">
        <f t="shared" si="3"/>
        <v>100</v>
      </c>
    </row>
    <row r="18" spans="1:26" x14ac:dyDescent="0.25">
      <c r="A18" s="319" t="s">
        <v>2634</v>
      </c>
      <c r="B18" s="319" t="str">
        <f>VLOOKUP(A18,TaskValues_ref!E:F,2,FALSE)</f>
        <v>Kangaroo care</v>
      </c>
      <c r="C18" s="388">
        <v>100</v>
      </c>
      <c r="D18" s="374"/>
      <c r="E18" s="389">
        <f t="shared" si="0"/>
        <v>100</v>
      </c>
      <c r="F18" s="387">
        <v>100</v>
      </c>
      <c r="G18" s="388"/>
      <c r="H18" s="388"/>
      <c r="I18" s="388"/>
      <c r="J18" s="389">
        <f t="shared" si="1"/>
        <v>100</v>
      </c>
      <c r="K18" s="387">
        <v>100</v>
      </c>
      <c r="L18" s="388"/>
      <c r="M18" s="388"/>
      <c r="N18" s="388"/>
      <c r="O18" s="388"/>
      <c r="P18" s="388"/>
      <c r="Q18" s="388"/>
      <c r="R18" s="389">
        <f t="shared" si="2"/>
        <v>100</v>
      </c>
      <c r="S18" s="387">
        <v>100</v>
      </c>
      <c r="T18" s="388"/>
      <c r="U18" s="388"/>
      <c r="V18" s="388"/>
      <c r="W18" s="388"/>
      <c r="X18" s="388"/>
      <c r="Y18" s="389">
        <f t="shared" si="3"/>
        <v>100</v>
      </c>
    </row>
    <row r="19" spans="1:26" x14ac:dyDescent="0.25">
      <c r="A19" s="319" t="s">
        <v>2635</v>
      </c>
      <c r="B19" s="319" t="str">
        <f>VLOOKUP(A19,TaskValues_ref!E:F,2,FALSE)</f>
        <v>Refer congenital anomalies</v>
      </c>
      <c r="C19" s="388">
        <v>100</v>
      </c>
      <c r="D19" s="374"/>
      <c r="E19" s="389">
        <f t="shared" si="0"/>
        <v>100</v>
      </c>
      <c r="F19" s="387">
        <v>100</v>
      </c>
      <c r="G19" s="388"/>
      <c r="H19" s="388"/>
      <c r="I19" s="388"/>
      <c r="J19" s="389">
        <f t="shared" si="1"/>
        <v>100</v>
      </c>
      <c r="K19" s="387">
        <v>100</v>
      </c>
      <c r="L19" s="388"/>
      <c r="M19" s="388"/>
      <c r="N19" s="388"/>
      <c r="O19" s="388"/>
      <c r="P19" s="388"/>
      <c r="Q19" s="388"/>
      <c r="R19" s="389">
        <f t="shared" si="2"/>
        <v>100</v>
      </c>
      <c r="S19" s="387">
        <v>100</v>
      </c>
      <c r="T19" s="388"/>
      <c r="U19" s="388"/>
      <c r="V19" s="388"/>
      <c r="W19" s="388"/>
      <c r="X19" s="388"/>
      <c r="Y19" s="389">
        <f t="shared" si="3"/>
        <v>100</v>
      </c>
    </row>
    <row r="20" spans="1:26" x14ac:dyDescent="0.25">
      <c r="A20" s="319" t="s">
        <v>2226</v>
      </c>
      <c r="B20" s="319" t="str">
        <f>VLOOKUP(A20,TaskValues_ref!E:F,2,FALSE)</f>
        <v>Pneumonia (ARI)</v>
      </c>
      <c r="C20" s="388">
        <v>100</v>
      </c>
      <c r="D20" s="374"/>
      <c r="E20" s="389">
        <f t="shared" si="0"/>
        <v>100</v>
      </c>
      <c r="F20" s="387"/>
      <c r="G20" s="388">
        <v>10</v>
      </c>
      <c r="H20" s="388">
        <v>90</v>
      </c>
      <c r="I20" s="388"/>
      <c r="J20" s="389">
        <f t="shared" si="1"/>
        <v>100</v>
      </c>
      <c r="K20" s="387"/>
      <c r="L20" s="388">
        <v>10</v>
      </c>
      <c r="M20" s="388">
        <v>45</v>
      </c>
      <c r="N20" s="388">
        <v>45</v>
      </c>
      <c r="O20" s="388"/>
      <c r="P20" s="388"/>
      <c r="Q20" s="388"/>
      <c r="R20" s="389">
        <f t="shared" si="2"/>
        <v>100</v>
      </c>
      <c r="S20" s="387"/>
      <c r="T20" s="388">
        <v>10</v>
      </c>
      <c r="U20" s="388">
        <v>45</v>
      </c>
      <c r="V20" s="388">
        <v>45</v>
      </c>
      <c r="W20" s="388"/>
      <c r="X20" s="388"/>
      <c r="Y20" s="389">
        <f t="shared" si="3"/>
        <v>100</v>
      </c>
      <c r="Z20" s="58"/>
    </row>
    <row r="21" spans="1:26" x14ac:dyDescent="0.25">
      <c r="A21" s="319" t="s">
        <v>2228</v>
      </c>
      <c r="B21" s="319" t="str">
        <f>VLOOKUP(A21,TaskValues_ref!E:F,2,FALSE)</f>
        <v>Diarrhea</v>
      </c>
      <c r="C21" s="388">
        <v>100</v>
      </c>
      <c r="D21" s="374"/>
      <c r="E21" s="389">
        <f t="shared" si="0"/>
        <v>100</v>
      </c>
      <c r="F21" s="387"/>
      <c r="G21" s="388">
        <v>10</v>
      </c>
      <c r="H21" s="388">
        <v>90</v>
      </c>
      <c r="I21" s="388"/>
      <c r="J21" s="389">
        <f t="shared" si="1"/>
        <v>100</v>
      </c>
      <c r="K21" s="387"/>
      <c r="L21" s="388">
        <v>10</v>
      </c>
      <c r="M21" s="388">
        <v>45</v>
      </c>
      <c r="N21" s="388">
        <v>45</v>
      </c>
      <c r="O21" s="388"/>
      <c r="P21" s="388"/>
      <c r="Q21" s="388"/>
      <c r="R21" s="389">
        <f t="shared" si="2"/>
        <v>100</v>
      </c>
      <c r="S21" s="387"/>
      <c r="T21" s="388">
        <v>10</v>
      </c>
      <c r="U21" s="388">
        <v>45</v>
      </c>
      <c r="V21" s="388">
        <v>45</v>
      </c>
      <c r="W21" s="388"/>
      <c r="X21" s="388"/>
      <c r="Y21" s="389">
        <f t="shared" si="3"/>
        <v>100</v>
      </c>
      <c r="Z21" s="58"/>
    </row>
    <row r="22" spans="1:26" x14ac:dyDescent="0.25">
      <c r="A22" s="319" t="s">
        <v>2229</v>
      </c>
      <c r="B22" s="319" t="str">
        <f>VLOOKUP(A22,TaskValues_ref!E:F,2,FALSE)</f>
        <v>Parasites</v>
      </c>
      <c r="C22" s="388">
        <v>100</v>
      </c>
      <c r="D22" s="374"/>
      <c r="E22" s="389">
        <f t="shared" si="0"/>
        <v>100</v>
      </c>
      <c r="F22" s="387"/>
      <c r="G22" s="388">
        <v>10</v>
      </c>
      <c r="H22" s="388">
        <v>90</v>
      </c>
      <c r="I22" s="388"/>
      <c r="J22" s="389">
        <f t="shared" si="1"/>
        <v>100</v>
      </c>
      <c r="K22" s="387"/>
      <c r="L22" s="388">
        <v>10</v>
      </c>
      <c r="M22" s="388">
        <v>45</v>
      </c>
      <c r="N22" s="388">
        <v>45</v>
      </c>
      <c r="O22" s="388"/>
      <c r="P22" s="388"/>
      <c r="Q22" s="388"/>
      <c r="R22" s="389">
        <f t="shared" si="2"/>
        <v>100</v>
      </c>
      <c r="S22" s="387"/>
      <c r="T22" s="388">
        <v>10</v>
      </c>
      <c r="U22" s="388">
        <v>45</v>
      </c>
      <c r="V22" s="388">
        <v>45</v>
      </c>
      <c r="W22" s="388"/>
      <c r="X22" s="388"/>
      <c r="Y22" s="389">
        <f t="shared" si="3"/>
        <v>100</v>
      </c>
      <c r="Z22" s="58"/>
    </row>
    <row r="23" spans="1:26" x14ac:dyDescent="0.25">
      <c r="A23" s="319" t="s">
        <v>2636</v>
      </c>
      <c r="B23" s="319" t="str">
        <f>VLOOKUP(A23,TaskValues_ref!E:F,2,FALSE)</f>
        <v>IMNCI</v>
      </c>
      <c r="C23" s="388">
        <v>100</v>
      </c>
      <c r="D23" s="374"/>
      <c r="E23" s="389">
        <f t="shared" si="0"/>
        <v>100</v>
      </c>
      <c r="F23" s="387"/>
      <c r="G23" s="388">
        <v>10</v>
      </c>
      <c r="H23" s="388">
        <v>90</v>
      </c>
      <c r="I23" s="388"/>
      <c r="J23" s="389">
        <f t="shared" si="1"/>
        <v>100</v>
      </c>
      <c r="K23" s="387"/>
      <c r="L23" s="388">
        <v>10</v>
      </c>
      <c r="M23" s="388">
        <v>45</v>
      </c>
      <c r="N23" s="388">
        <v>45</v>
      </c>
      <c r="O23" s="388"/>
      <c r="P23" s="388"/>
      <c r="Q23" s="388"/>
      <c r="R23" s="389">
        <f t="shared" si="2"/>
        <v>100</v>
      </c>
      <c r="S23" s="387"/>
      <c r="T23" s="388">
        <v>10</v>
      </c>
      <c r="U23" s="388">
        <v>45</v>
      </c>
      <c r="V23" s="388">
        <v>45</v>
      </c>
      <c r="W23" s="388"/>
      <c r="X23" s="388"/>
      <c r="Y23" s="389">
        <f t="shared" si="3"/>
        <v>100</v>
      </c>
      <c r="Z23" s="58"/>
    </row>
    <row r="24" spans="1:26" s="58" customFormat="1" x14ac:dyDescent="0.25">
      <c r="A24" s="388" t="s">
        <v>2227</v>
      </c>
      <c r="B24" s="388" t="str">
        <f>VLOOKUP(A24,TaskValues_ref!E:F,2,FALSE)</f>
        <v>Well child check &amp; growth monitoring</v>
      </c>
      <c r="C24" s="388">
        <v>100</v>
      </c>
      <c r="D24" s="388"/>
      <c r="E24" s="389">
        <f t="shared" si="0"/>
        <v>100</v>
      </c>
      <c r="F24" s="387"/>
      <c r="G24" s="388"/>
      <c r="H24" s="388">
        <v>100</v>
      </c>
      <c r="I24" s="388"/>
      <c r="J24" s="389">
        <f t="shared" si="1"/>
        <v>100</v>
      </c>
      <c r="K24" s="387"/>
      <c r="L24" s="388"/>
      <c r="M24" s="388">
        <v>40</v>
      </c>
      <c r="N24" s="388">
        <v>40</v>
      </c>
      <c r="O24" s="388">
        <v>20</v>
      </c>
      <c r="P24" s="388"/>
      <c r="Q24" s="388"/>
      <c r="R24" s="389">
        <f t="shared" si="2"/>
        <v>100</v>
      </c>
      <c r="S24" s="387"/>
      <c r="T24" s="388"/>
      <c r="U24" s="388">
        <v>80</v>
      </c>
      <c r="V24" s="388">
        <v>20</v>
      </c>
      <c r="W24" s="388"/>
      <c r="X24" s="388"/>
      <c r="Y24" s="389">
        <f t="shared" si="3"/>
        <v>100</v>
      </c>
    </row>
    <row r="25" spans="1:26" s="58" customFormat="1" x14ac:dyDescent="0.25">
      <c r="A25" s="388" t="s">
        <v>2637</v>
      </c>
      <c r="B25" s="388" t="str">
        <f>VLOOKUP(A25,TaskValues_ref!E:F,2,FALSE)</f>
        <v>Treat severe malnutrition</v>
      </c>
      <c r="C25" s="388">
        <v>100</v>
      </c>
      <c r="D25" s="388"/>
      <c r="E25" s="389">
        <f t="shared" si="0"/>
        <v>100</v>
      </c>
      <c r="F25" s="387"/>
      <c r="G25" s="388">
        <v>100</v>
      </c>
      <c r="H25" s="388"/>
      <c r="I25" s="388"/>
      <c r="J25" s="389">
        <f t="shared" si="1"/>
        <v>100</v>
      </c>
      <c r="K25" s="387"/>
      <c r="L25" s="388">
        <v>100</v>
      </c>
      <c r="M25" s="388"/>
      <c r="N25" s="388"/>
      <c r="O25" s="388"/>
      <c r="P25" s="388"/>
      <c r="Q25" s="388"/>
      <c r="R25" s="389">
        <f t="shared" si="2"/>
        <v>100</v>
      </c>
      <c r="S25" s="387"/>
      <c r="T25" s="388">
        <v>100</v>
      </c>
      <c r="U25" s="388"/>
      <c r="V25" s="388"/>
      <c r="W25" s="388"/>
      <c r="X25" s="388"/>
      <c r="Y25" s="389">
        <f t="shared" si="3"/>
        <v>100</v>
      </c>
    </row>
    <row r="26" spans="1:26" s="58" customFormat="1" x14ac:dyDescent="0.25">
      <c r="A26" s="388" t="s">
        <v>2638</v>
      </c>
      <c r="B26" s="388" t="str">
        <f>VLOOKUP(A26,TaskValues_ref!E:F,2,FALSE)</f>
        <v>Treat moderate malnutrition</v>
      </c>
      <c r="C26" s="388">
        <v>100</v>
      </c>
      <c r="D26" s="388"/>
      <c r="E26" s="389">
        <f t="shared" si="0"/>
        <v>100</v>
      </c>
      <c r="F26" s="387"/>
      <c r="G26" s="388"/>
      <c r="H26" s="388">
        <v>100</v>
      </c>
      <c r="I26" s="388"/>
      <c r="J26" s="389">
        <f t="shared" si="1"/>
        <v>100</v>
      </c>
      <c r="K26" s="387"/>
      <c r="L26" s="388"/>
      <c r="M26" s="388">
        <v>20</v>
      </c>
      <c r="N26" s="388">
        <v>40</v>
      </c>
      <c r="O26" s="388">
        <v>40</v>
      </c>
      <c r="P26" s="388"/>
      <c r="Q26" s="388"/>
      <c r="R26" s="389">
        <f t="shared" si="2"/>
        <v>100</v>
      </c>
      <c r="S26" s="387"/>
      <c r="T26" s="388"/>
      <c r="U26" s="388">
        <v>60</v>
      </c>
      <c r="V26" s="388">
        <v>40</v>
      </c>
      <c r="W26" s="388"/>
      <c r="X26" s="388"/>
      <c r="Y26" s="389">
        <f t="shared" si="3"/>
        <v>100</v>
      </c>
    </row>
    <row r="27" spans="1:26" s="58" customFormat="1" x14ac:dyDescent="0.25">
      <c r="A27" s="388" t="s">
        <v>2639</v>
      </c>
      <c r="B27" s="388" t="str">
        <f>VLOOKUP(A27,TaskValues_ref!E:F,2,FALSE)</f>
        <v>Deworming &amp; VitA</v>
      </c>
      <c r="C27" s="388">
        <v>100</v>
      </c>
      <c r="D27" s="388"/>
      <c r="E27" s="389">
        <f t="shared" si="0"/>
        <v>100</v>
      </c>
      <c r="F27" s="387"/>
      <c r="G27" s="388"/>
      <c r="H27" s="388">
        <v>100</v>
      </c>
      <c r="I27" s="388"/>
      <c r="J27" s="389">
        <f t="shared" si="1"/>
        <v>100</v>
      </c>
      <c r="K27" s="387"/>
      <c r="L27" s="388"/>
      <c r="M27" s="388">
        <v>50</v>
      </c>
      <c r="N27" s="388">
        <v>50</v>
      </c>
      <c r="O27" s="388"/>
      <c r="P27" s="388"/>
      <c r="Q27" s="388"/>
      <c r="R27" s="389">
        <f t="shared" si="2"/>
        <v>100</v>
      </c>
      <c r="S27" s="387"/>
      <c r="T27" s="388"/>
      <c r="U27" s="388">
        <v>100</v>
      </c>
      <c r="V27" s="388"/>
      <c r="W27" s="388"/>
      <c r="X27" s="388"/>
      <c r="Y27" s="389">
        <f t="shared" si="3"/>
        <v>100</v>
      </c>
    </row>
    <row r="28" spans="1:26" s="58" customFormat="1" x14ac:dyDescent="0.25">
      <c r="A28" s="388" t="s">
        <v>2640</v>
      </c>
      <c r="B28" s="388" t="str">
        <f>VLOOKUP(A28,TaskValues_ref!E:F,2,FALSE)</f>
        <v>Paediatric palliative</v>
      </c>
      <c r="C28" s="388">
        <v>100</v>
      </c>
      <c r="D28" s="388"/>
      <c r="E28" s="389">
        <f t="shared" si="0"/>
        <v>100</v>
      </c>
      <c r="F28" s="387"/>
      <c r="G28" s="388">
        <v>100</v>
      </c>
      <c r="H28" s="388"/>
      <c r="I28" s="388"/>
      <c r="J28" s="389">
        <f t="shared" si="1"/>
        <v>100</v>
      </c>
      <c r="K28" s="387"/>
      <c r="L28" s="388">
        <v>100</v>
      </c>
      <c r="M28" s="388"/>
      <c r="N28" s="388"/>
      <c r="O28" s="388"/>
      <c r="P28" s="388"/>
      <c r="Q28" s="388"/>
      <c r="R28" s="389">
        <f t="shared" si="2"/>
        <v>100</v>
      </c>
      <c r="S28" s="387"/>
      <c r="T28" s="388">
        <v>100</v>
      </c>
      <c r="U28" s="388"/>
      <c r="V28" s="388"/>
      <c r="W28" s="388"/>
      <c r="X28" s="388"/>
      <c r="Y28" s="389">
        <f t="shared" si="3"/>
        <v>100</v>
      </c>
    </row>
    <row r="29" spans="1:26" s="58" customFormat="1" x14ac:dyDescent="0.25">
      <c r="A29" s="388" t="s">
        <v>2641</v>
      </c>
      <c r="B29" s="388" t="str">
        <f>VLOOKUP(A29,TaskValues_ref!E:F,2,FALSE)</f>
        <v>Pharyngitis, tonsillitis, sinusitis</v>
      </c>
      <c r="C29" s="388">
        <v>100</v>
      </c>
      <c r="D29" s="388"/>
      <c r="E29" s="389">
        <f t="shared" si="0"/>
        <v>100</v>
      </c>
      <c r="F29" s="387"/>
      <c r="G29" s="388">
        <v>20</v>
      </c>
      <c r="H29" s="388">
        <v>80</v>
      </c>
      <c r="I29" s="388"/>
      <c r="J29" s="389">
        <f t="shared" si="1"/>
        <v>100</v>
      </c>
      <c r="K29" s="387"/>
      <c r="L29" s="388">
        <v>20</v>
      </c>
      <c r="M29" s="388">
        <v>20</v>
      </c>
      <c r="N29" s="388">
        <v>30</v>
      </c>
      <c r="O29" s="388">
        <v>30</v>
      </c>
      <c r="P29" s="388"/>
      <c r="Q29" s="388"/>
      <c r="R29" s="389">
        <f t="shared" si="2"/>
        <v>100</v>
      </c>
      <c r="S29" s="387"/>
      <c r="T29" s="388">
        <v>20</v>
      </c>
      <c r="U29" s="388">
        <v>40</v>
      </c>
      <c r="V29" s="388">
        <v>40</v>
      </c>
      <c r="W29" s="388"/>
      <c r="X29" s="388"/>
      <c r="Y29" s="389">
        <f t="shared" si="3"/>
        <v>100</v>
      </c>
    </row>
    <row r="30" spans="1:26" s="58" customFormat="1" x14ac:dyDescent="0.25">
      <c r="A30" s="388" t="s">
        <v>2642</v>
      </c>
      <c r="B30" s="388" t="str">
        <f>VLOOKUP(A30,TaskValues_ref!E:F,2,FALSE)</f>
        <v>Scabies</v>
      </c>
      <c r="C30" s="388">
        <v>100</v>
      </c>
      <c r="D30" s="388"/>
      <c r="E30" s="389">
        <f t="shared" si="0"/>
        <v>100</v>
      </c>
      <c r="F30" s="387"/>
      <c r="G30" s="388"/>
      <c r="H30" s="388">
        <v>100</v>
      </c>
      <c r="I30" s="388"/>
      <c r="J30" s="389">
        <f t="shared" si="1"/>
        <v>100</v>
      </c>
      <c r="K30" s="387"/>
      <c r="L30" s="388"/>
      <c r="M30" s="388">
        <v>50</v>
      </c>
      <c r="N30" s="388">
        <v>50</v>
      </c>
      <c r="O30" s="388"/>
      <c r="P30" s="388"/>
      <c r="Q30" s="388"/>
      <c r="R30" s="389">
        <f t="shared" si="2"/>
        <v>100</v>
      </c>
      <c r="S30" s="387"/>
      <c r="T30" s="388"/>
      <c r="U30" s="388">
        <v>100</v>
      </c>
      <c r="V30" s="388"/>
      <c r="W30" s="388"/>
      <c r="X30" s="388"/>
      <c r="Y30" s="389">
        <f t="shared" si="3"/>
        <v>100</v>
      </c>
    </row>
    <row r="31" spans="1:26" x14ac:dyDescent="0.25">
      <c r="A31" s="321" t="s">
        <v>2643</v>
      </c>
      <c r="B31" s="319" t="str">
        <f>VLOOKUP(A31,TaskValues_ref!E:F,2,FALSE)</f>
        <v>Child abuse</v>
      </c>
      <c r="C31" s="388">
        <v>100</v>
      </c>
      <c r="D31" s="388"/>
      <c r="E31" s="389">
        <f t="shared" si="0"/>
        <v>100</v>
      </c>
      <c r="F31" s="387"/>
      <c r="G31" s="388">
        <v>50</v>
      </c>
      <c r="H31" s="388">
        <v>50</v>
      </c>
      <c r="I31" s="388"/>
      <c r="J31" s="389">
        <f t="shared" si="1"/>
        <v>100</v>
      </c>
      <c r="K31" s="387"/>
      <c r="L31" s="388">
        <v>25</v>
      </c>
      <c r="M31" s="388">
        <v>25</v>
      </c>
      <c r="N31" s="388">
        <v>50</v>
      </c>
      <c r="O31" s="388"/>
      <c r="P31" s="388"/>
      <c r="Q31" s="388"/>
      <c r="R31" s="389">
        <f t="shared" si="2"/>
        <v>100</v>
      </c>
      <c r="S31" s="387"/>
      <c r="T31" s="388">
        <v>25</v>
      </c>
      <c r="U31" s="388">
        <v>75</v>
      </c>
      <c r="V31" s="388"/>
      <c r="W31" s="388"/>
      <c r="X31" s="388"/>
      <c r="Y31" s="389">
        <f t="shared" si="3"/>
        <v>100</v>
      </c>
    </row>
    <row r="32" spans="1:26" x14ac:dyDescent="0.25">
      <c r="A32" s="321" t="s">
        <v>2644</v>
      </c>
      <c r="B32" s="319" t="str">
        <f>VLOOKUP(A32,TaskValues_ref!E:F,2,FALSE)</f>
        <v>Social services</v>
      </c>
      <c r="C32" s="388">
        <v>100</v>
      </c>
      <c r="D32" s="388"/>
      <c r="E32" s="389">
        <f t="shared" si="0"/>
        <v>100</v>
      </c>
      <c r="F32" s="387"/>
      <c r="G32" s="388">
        <v>50</v>
      </c>
      <c r="H32" s="388">
        <v>50</v>
      </c>
      <c r="I32" s="388"/>
      <c r="J32" s="389">
        <f t="shared" ref="J32:J33" si="4">SUM(F32:I32)</f>
        <v>100</v>
      </c>
      <c r="K32" s="387"/>
      <c r="L32" s="388">
        <v>25</v>
      </c>
      <c r="M32" s="388">
        <v>25</v>
      </c>
      <c r="N32" s="388">
        <v>50</v>
      </c>
      <c r="O32" s="388"/>
      <c r="P32" s="388"/>
      <c r="Q32" s="388"/>
      <c r="R32" s="389">
        <f t="shared" ref="R32:R33" si="5">SUM(K32:Q32)</f>
        <v>100</v>
      </c>
      <c r="S32" s="387"/>
      <c r="T32" s="388">
        <v>25</v>
      </c>
      <c r="U32" s="388">
        <v>75</v>
      </c>
      <c r="V32" s="388"/>
      <c r="W32" s="388"/>
      <c r="X32" s="388"/>
      <c r="Y32" s="389">
        <f t="shared" ref="Y32:Y33" si="6">SUM(S32:X32)</f>
        <v>100</v>
      </c>
    </row>
    <row r="33" spans="1:25" x14ac:dyDescent="0.25">
      <c r="A33" s="319" t="s">
        <v>2254</v>
      </c>
      <c r="B33" s="319" t="str">
        <f>VLOOKUP(A33,TaskValues_ref!E:F,2,FALSE)</f>
        <v>Promotion of immunization</v>
      </c>
      <c r="C33" s="388">
        <v>100</v>
      </c>
      <c r="D33" s="388"/>
      <c r="E33" s="389">
        <f t="shared" si="0"/>
        <v>100</v>
      </c>
      <c r="F33" s="387"/>
      <c r="G33" s="388"/>
      <c r="H33" s="388">
        <v>100</v>
      </c>
      <c r="I33" s="388"/>
      <c r="J33" s="389">
        <f t="shared" si="4"/>
        <v>100</v>
      </c>
      <c r="K33" s="387"/>
      <c r="L33" s="388"/>
      <c r="M33" s="388">
        <v>50</v>
      </c>
      <c r="N33" s="388">
        <v>50</v>
      </c>
      <c r="O33" s="388"/>
      <c r="P33" s="388"/>
      <c r="Q33" s="388"/>
      <c r="R33" s="389">
        <f t="shared" si="5"/>
        <v>100</v>
      </c>
      <c r="S33" s="387"/>
      <c r="T33" s="388"/>
      <c r="U33" s="388">
        <v>100</v>
      </c>
      <c r="V33" s="388"/>
      <c r="W33" s="388"/>
      <c r="X33" s="388"/>
      <c r="Y33" s="389">
        <f t="shared" si="6"/>
        <v>100</v>
      </c>
    </row>
    <row r="34" spans="1:25" s="58" customFormat="1" x14ac:dyDescent="0.25">
      <c r="A34" s="388" t="s">
        <v>2260</v>
      </c>
      <c r="B34" s="388" t="str">
        <f>VLOOKUP(A34,TaskValues_ref!E:F,2,FALSE)</f>
        <v>RI birth</v>
      </c>
      <c r="C34" s="388">
        <v>100</v>
      </c>
      <c r="D34" s="388"/>
      <c r="E34" s="389">
        <f t="shared" ref="E34:E65" si="7">SUM(C34:D34)</f>
        <v>100</v>
      </c>
      <c r="F34" s="387">
        <v>100</v>
      </c>
      <c r="G34" s="388"/>
      <c r="H34" s="388"/>
      <c r="I34" s="388"/>
      <c r="J34" s="389">
        <f t="shared" si="1"/>
        <v>100</v>
      </c>
      <c r="K34" s="387">
        <v>100</v>
      </c>
      <c r="L34" s="388"/>
      <c r="M34" s="388"/>
      <c r="N34" s="388"/>
      <c r="O34" s="388"/>
      <c r="P34" s="388"/>
      <c r="Q34" s="388"/>
      <c r="R34" s="389">
        <f t="shared" si="2"/>
        <v>100</v>
      </c>
      <c r="S34" s="387">
        <v>100</v>
      </c>
      <c r="T34" s="388"/>
      <c r="U34" s="388"/>
      <c r="V34" s="388"/>
      <c r="W34" s="388"/>
      <c r="X34" s="388"/>
      <c r="Y34" s="389">
        <f t="shared" si="3"/>
        <v>100</v>
      </c>
    </row>
    <row r="35" spans="1:25" s="58" customFormat="1" x14ac:dyDescent="0.25">
      <c r="A35" s="388" t="s">
        <v>2261</v>
      </c>
      <c r="B35" s="388" t="str">
        <f>VLOOKUP(A35,TaskValues_ref!E:F,2,FALSE)</f>
        <v>RI 1st year</v>
      </c>
      <c r="C35" s="388">
        <v>100</v>
      </c>
      <c r="D35" s="388"/>
      <c r="E35" s="389">
        <f t="shared" si="7"/>
        <v>100</v>
      </c>
      <c r="F35" s="387"/>
      <c r="G35" s="388"/>
      <c r="H35" s="388">
        <v>100</v>
      </c>
      <c r="I35" s="388"/>
      <c r="J35" s="389">
        <f t="shared" si="1"/>
        <v>100</v>
      </c>
      <c r="K35" s="387"/>
      <c r="L35" s="388"/>
      <c r="M35" s="388">
        <v>50</v>
      </c>
      <c r="N35" s="388">
        <v>50</v>
      </c>
      <c r="O35" s="388"/>
      <c r="P35" s="388"/>
      <c r="Q35" s="388"/>
      <c r="R35" s="389">
        <f t="shared" si="2"/>
        <v>100</v>
      </c>
      <c r="S35" s="387"/>
      <c r="T35" s="388"/>
      <c r="U35" s="388">
        <v>100</v>
      </c>
      <c r="V35" s="388"/>
      <c r="W35" s="388"/>
      <c r="X35" s="388"/>
      <c r="Y35" s="389">
        <f t="shared" si="3"/>
        <v>100</v>
      </c>
    </row>
    <row r="36" spans="1:25" s="58" customFormat="1" x14ac:dyDescent="0.25">
      <c r="A36" s="388" t="s">
        <v>2262</v>
      </c>
      <c r="B36" s="388" t="str">
        <f>VLOOKUP(A36,TaskValues_ref!E:F,2,FALSE)</f>
        <v>RI 2nd year</v>
      </c>
      <c r="C36" s="388">
        <v>100</v>
      </c>
      <c r="D36" s="388"/>
      <c r="E36" s="389">
        <f t="shared" si="7"/>
        <v>100</v>
      </c>
      <c r="F36" s="387"/>
      <c r="G36" s="388"/>
      <c r="H36" s="388">
        <v>100</v>
      </c>
      <c r="I36" s="388"/>
      <c r="J36" s="389">
        <f t="shared" si="1"/>
        <v>100</v>
      </c>
      <c r="K36" s="387"/>
      <c r="L36" s="388"/>
      <c r="M36" s="388">
        <v>50</v>
      </c>
      <c r="N36" s="388">
        <v>50</v>
      </c>
      <c r="O36" s="388"/>
      <c r="P36" s="388"/>
      <c r="Q36" s="388"/>
      <c r="R36" s="389">
        <f t="shared" si="2"/>
        <v>100</v>
      </c>
      <c r="S36" s="387"/>
      <c r="T36" s="388"/>
      <c r="U36" s="388">
        <v>100</v>
      </c>
      <c r="V36" s="388"/>
      <c r="W36" s="388"/>
      <c r="X36" s="388"/>
      <c r="Y36" s="389">
        <f t="shared" si="3"/>
        <v>100</v>
      </c>
    </row>
    <row r="37" spans="1:25" s="58" customFormat="1" x14ac:dyDescent="0.25">
      <c r="A37" s="388" t="s">
        <v>2263</v>
      </c>
      <c r="B37" s="388" t="str">
        <f>VLOOKUP(A37,TaskValues_ref!E:F,2,FALSE)</f>
        <v>RI Td CBA</v>
      </c>
      <c r="C37" s="388">
        <v>100</v>
      </c>
      <c r="D37" s="388"/>
      <c r="E37" s="389">
        <f t="shared" si="7"/>
        <v>100</v>
      </c>
      <c r="F37" s="387"/>
      <c r="G37" s="388"/>
      <c r="H37" s="388">
        <v>100</v>
      </c>
      <c r="I37" s="388"/>
      <c r="J37" s="389">
        <f t="shared" si="1"/>
        <v>100</v>
      </c>
      <c r="K37" s="387"/>
      <c r="L37" s="388"/>
      <c r="M37" s="388">
        <v>50</v>
      </c>
      <c r="N37" s="388">
        <v>50</v>
      </c>
      <c r="O37" s="388"/>
      <c r="P37" s="388"/>
      <c r="Q37" s="388"/>
      <c r="R37" s="389">
        <f t="shared" si="2"/>
        <v>100</v>
      </c>
      <c r="S37" s="387"/>
      <c r="T37" s="388"/>
      <c r="U37" s="388">
        <v>100</v>
      </c>
      <c r="V37" s="388"/>
      <c r="W37" s="388"/>
      <c r="X37" s="388"/>
      <c r="Y37" s="389">
        <f t="shared" si="3"/>
        <v>100</v>
      </c>
    </row>
    <row r="38" spans="1:25" s="58" customFormat="1" x14ac:dyDescent="0.25">
      <c r="A38" s="388" t="s">
        <v>2255</v>
      </c>
      <c r="B38" s="388" t="str">
        <f>VLOOKUP(A38,TaskValues_ref!E:F,2,FALSE)</f>
        <v>SIAs</v>
      </c>
      <c r="C38" s="388">
        <v>100</v>
      </c>
      <c r="D38" s="388"/>
      <c r="E38" s="389">
        <f t="shared" si="7"/>
        <v>100</v>
      </c>
      <c r="F38" s="387"/>
      <c r="G38" s="388"/>
      <c r="H38" s="388">
        <v>100</v>
      </c>
      <c r="I38" s="388"/>
      <c r="J38" s="389">
        <f t="shared" si="1"/>
        <v>100</v>
      </c>
      <c r="K38" s="387"/>
      <c r="L38" s="388"/>
      <c r="M38" s="388">
        <v>50</v>
      </c>
      <c r="N38" s="388">
        <v>50</v>
      </c>
      <c r="O38" s="388"/>
      <c r="P38" s="388"/>
      <c r="Q38" s="388"/>
      <c r="R38" s="389">
        <f t="shared" si="2"/>
        <v>100</v>
      </c>
      <c r="S38" s="387"/>
      <c r="T38" s="388"/>
      <c r="U38" s="388">
        <v>100</v>
      </c>
      <c r="V38" s="388"/>
      <c r="W38" s="388"/>
      <c r="X38" s="388"/>
      <c r="Y38" s="389">
        <f t="shared" si="3"/>
        <v>100</v>
      </c>
    </row>
    <row r="39" spans="1:25" s="58" customFormat="1" x14ac:dyDescent="0.25">
      <c r="A39" s="388" t="s">
        <v>2256</v>
      </c>
      <c r="B39" s="388" t="str">
        <f>VLOOKUP(A39,TaskValues_ref!E:F,2,FALSE)</f>
        <v>RI adverse effects</v>
      </c>
      <c r="C39" s="388">
        <v>100</v>
      </c>
      <c r="D39" s="388"/>
      <c r="E39" s="389">
        <f t="shared" si="7"/>
        <v>100</v>
      </c>
      <c r="F39" s="387"/>
      <c r="G39" s="388">
        <v>50</v>
      </c>
      <c r="H39" s="388">
        <v>50</v>
      </c>
      <c r="I39" s="388"/>
      <c r="J39" s="389">
        <f t="shared" si="1"/>
        <v>100</v>
      </c>
      <c r="K39" s="387"/>
      <c r="L39" s="388"/>
      <c r="M39" s="388"/>
      <c r="N39" s="388">
        <v>50</v>
      </c>
      <c r="O39" s="388">
        <v>50</v>
      </c>
      <c r="P39" s="388"/>
      <c r="Q39" s="388"/>
      <c r="R39" s="389">
        <f t="shared" si="2"/>
        <v>100</v>
      </c>
      <c r="S39" s="387"/>
      <c r="T39" s="388"/>
      <c r="U39" s="388">
        <v>50</v>
      </c>
      <c r="V39" s="388">
        <v>50</v>
      </c>
      <c r="W39" s="388"/>
      <c r="X39" s="388"/>
      <c r="Y39" s="389">
        <f t="shared" si="3"/>
        <v>100</v>
      </c>
    </row>
    <row r="40" spans="1:25" s="58" customFormat="1" x14ac:dyDescent="0.25">
      <c r="A40" s="388" t="s">
        <v>2257</v>
      </c>
      <c r="B40" s="388" t="str">
        <f>VLOOKUP(A40,TaskValues_ref!E:F,2,FALSE)</f>
        <v>Outbreak detection &amp; response</v>
      </c>
      <c r="C40" s="388">
        <v>100</v>
      </c>
      <c r="D40" s="388"/>
      <c r="E40" s="389">
        <f t="shared" si="7"/>
        <v>100</v>
      </c>
      <c r="F40" s="387"/>
      <c r="G40" s="388">
        <v>25</v>
      </c>
      <c r="H40" s="388">
        <v>75</v>
      </c>
      <c r="I40" s="388"/>
      <c r="J40" s="389">
        <f t="shared" si="1"/>
        <v>100</v>
      </c>
      <c r="K40" s="387"/>
      <c r="L40" s="388">
        <v>25</v>
      </c>
      <c r="M40" s="388">
        <v>75</v>
      </c>
      <c r="N40" s="388"/>
      <c r="O40" s="388"/>
      <c r="P40" s="388"/>
      <c r="Q40" s="388"/>
      <c r="R40" s="389">
        <f t="shared" si="2"/>
        <v>100</v>
      </c>
      <c r="S40" s="387"/>
      <c r="T40" s="388">
        <v>25</v>
      </c>
      <c r="U40" s="388">
        <v>75</v>
      </c>
      <c r="V40" s="388"/>
      <c r="W40" s="388"/>
      <c r="X40" s="388"/>
      <c r="Y40" s="389">
        <f t="shared" si="3"/>
        <v>100</v>
      </c>
    </row>
    <row r="41" spans="1:25" x14ac:dyDescent="0.25">
      <c r="A41" s="319" t="s">
        <v>2258</v>
      </c>
      <c r="B41" s="319" t="str">
        <f>VLOOKUP(A41,TaskValues_ref!E:F,2,FALSE)</f>
        <v>Mobiliation &amp; promotion of EPI</v>
      </c>
      <c r="C41" s="388">
        <v>100</v>
      </c>
      <c r="D41" s="388"/>
      <c r="E41" s="389">
        <f t="shared" si="7"/>
        <v>100</v>
      </c>
      <c r="F41" s="387"/>
      <c r="G41" s="388"/>
      <c r="H41" s="388">
        <v>100</v>
      </c>
      <c r="I41" s="388"/>
      <c r="J41" s="389">
        <f t="shared" si="1"/>
        <v>100</v>
      </c>
      <c r="K41" s="387"/>
      <c r="L41" s="388"/>
      <c r="M41" s="388">
        <v>50</v>
      </c>
      <c r="N41" s="388">
        <v>50</v>
      </c>
      <c r="O41" s="388"/>
      <c r="P41" s="388"/>
      <c r="Q41" s="388"/>
      <c r="R41" s="389">
        <f t="shared" si="2"/>
        <v>100</v>
      </c>
      <c r="S41" s="387"/>
      <c r="T41" s="388"/>
      <c r="U41" s="388">
        <v>100</v>
      </c>
      <c r="V41" s="388"/>
      <c r="W41" s="388"/>
      <c r="X41" s="388"/>
      <c r="Y41" s="389">
        <f t="shared" si="3"/>
        <v>100</v>
      </c>
    </row>
    <row r="42" spans="1:25" x14ac:dyDescent="0.25">
      <c r="A42" s="319" t="s">
        <v>2259</v>
      </c>
      <c r="B42" s="319" t="str">
        <f>VLOOKUP(A42,TaskValues_ref!E:F,2,FALSE)</f>
        <v>VPD surveillance</v>
      </c>
      <c r="C42" s="388">
        <v>100</v>
      </c>
      <c r="D42" s="388"/>
      <c r="E42" s="389">
        <f t="shared" si="7"/>
        <v>100</v>
      </c>
      <c r="F42" s="387"/>
      <c r="G42" s="388"/>
      <c r="H42" s="388">
        <v>100</v>
      </c>
      <c r="I42" s="388"/>
      <c r="J42" s="389">
        <f t="shared" si="1"/>
        <v>100</v>
      </c>
      <c r="K42" s="387"/>
      <c r="L42" s="388"/>
      <c r="M42" s="388">
        <v>50</v>
      </c>
      <c r="N42" s="388">
        <v>50</v>
      </c>
      <c r="O42" s="388"/>
      <c r="P42" s="388"/>
      <c r="Q42" s="388"/>
      <c r="R42" s="389">
        <f t="shared" si="2"/>
        <v>100</v>
      </c>
      <c r="S42" s="387"/>
      <c r="T42" s="388"/>
      <c r="U42" s="388">
        <v>100</v>
      </c>
      <c r="V42" s="388"/>
      <c r="W42" s="388"/>
      <c r="X42" s="388"/>
      <c r="Y42" s="389">
        <f t="shared" si="3"/>
        <v>100</v>
      </c>
    </row>
    <row r="43" spans="1:25" s="58" customFormat="1" x14ac:dyDescent="0.25">
      <c r="A43" s="388" t="s">
        <v>2294</v>
      </c>
      <c r="B43" s="388" t="str">
        <f>VLOOKUP(A43,TaskValues_ref!E:F,2,FALSE)</f>
        <v>FP consult first time</v>
      </c>
      <c r="C43" s="388">
        <v>100</v>
      </c>
      <c r="D43" s="388"/>
      <c r="E43" s="389">
        <f t="shared" si="7"/>
        <v>100</v>
      </c>
      <c r="F43" s="387">
        <v>80</v>
      </c>
      <c r="G43" s="388"/>
      <c r="H43" s="388">
        <v>20</v>
      </c>
      <c r="I43" s="388"/>
      <c r="J43" s="389">
        <f t="shared" si="1"/>
        <v>100</v>
      </c>
      <c r="K43" s="387">
        <v>80</v>
      </c>
      <c r="L43" s="388"/>
      <c r="M43" s="388">
        <v>20</v>
      </c>
      <c r="N43" s="388"/>
      <c r="O43" s="388"/>
      <c r="P43" s="388"/>
      <c r="Q43" s="388"/>
      <c r="R43" s="389">
        <f t="shared" si="2"/>
        <v>100</v>
      </c>
      <c r="S43" s="387">
        <v>80</v>
      </c>
      <c r="T43" s="388"/>
      <c r="U43" s="388">
        <v>20</v>
      </c>
      <c r="V43" s="388"/>
      <c r="W43" s="388"/>
      <c r="X43" s="388"/>
      <c r="Y43" s="389">
        <f t="shared" si="3"/>
        <v>100</v>
      </c>
    </row>
    <row r="44" spans="1:25" s="58" customFormat="1" x14ac:dyDescent="0.25">
      <c r="A44" s="388" t="s">
        <v>2295</v>
      </c>
      <c r="B44" s="388" t="str">
        <f>VLOOKUP(A44,TaskValues_ref!E:F,2,FALSE)</f>
        <v>FP consult postpartum</v>
      </c>
      <c r="C44" s="388">
        <v>100</v>
      </c>
      <c r="D44" s="388"/>
      <c r="E44" s="389">
        <f t="shared" si="7"/>
        <v>100</v>
      </c>
      <c r="F44" s="387">
        <v>80</v>
      </c>
      <c r="G44" s="388"/>
      <c r="H44" s="388">
        <v>20</v>
      </c>
      <c r="I44" s="388"/>
      <c r="J44" s="389">
        <f t="shared" si="1"/>
        <v>100</v>
      </c>
      <c r="K44" s="387">
        <v>80</v>
      </c>
      <c r="L44" s="388"/>
      <c r="M44" s="388">
        <v>20</v>
      </c>
      <c r="N44" s="388"/>
      <c r="O44" s="388"/>
      <c r="P44" s="388"/>
      <c r="Q44" s="388"/>
      <c r="R44" s="389">
        <f t="shared" si="2"/>
        <v>100</v>
      </c>
      <c r="S44" s="387">
        <v>80</v>
      </c>
      <c r="T44" s="388"/>
      <c r="U44" s="388">
        <v>20</v>
      </c>
      <c r="V44" s="388"/>
      <c r="W44" s="388"/>
      <c r="X44" s="388"/>
      <c r="Y44" s="389">
        <f t="shared" si="3"/>
        <v>100</v>
      </c>
    </row>
    <row r="45" spans="1:25" s="58" customFormat="1" x14ac:dyDescent="0.25">
      <c r="A45" s="388" t="s">
        <v>2296</v>
      </c>
      <c r="B45" s="388" t="str">
        <f>VLOOKUP(A45,TaskValues_ref!E:F,2,FALSE)</f>
        <v>FP consult switch</v>
      </c>
      <c r="C45" s="388">
        <v>100</v>
      </c>
      <c r="D45" s="388"/>
      <c r="E45" s="389">
        <f t="shared" si="7"/>
        <v>100</v>
      </c>
      <c r="F45" s="387">
        <v>80</v>
      </c>
      <c r="G45" s="388"/>
      <c r="H45" s="388">
        <v>20</v>
      </c>
      <c r="I45" s="388"/>
      <c r="J45" s="389">
        <f t="shared" si="1"/>
        <v>100</v>
      </c>
      <c r="K45" s="387">
        <v>80</v>
      </c>
      <c r="L45" s="388"/>
      <c r="M45" s="388">
        <v>20</v>
      </c>
      <c r="N45" s="388"/>
      <c r="O45" s="388"/>
      <c r="P45" s="388"/>
      <c r="Q45" s="388"/>
      <c r="R45" s="389">
        <f t="shared" si="2"/>
        <v>100</v>
      </c>
      <c r="S45" s="387">
        <v>80</v>
      </c>
      <c r="T45" s="388"/>
      <c r="U45" s="388">
        <v>20</v>
      </c>
      <c r="V45" s="388"/>
      <c r="W45" s="388"/>
      <c r="X45" s="388"/>
      <c r="Y45" s="389">
        <f t="shared" si="3"/>
        <v>100</v>
      </c>
    </row>
    <row r="46" spans="1:25" s="58" customFormat="1" x14ac:dyDescent="0.25">
      <c r="A46" s="388" t="s">
        <v>2297</v>
      </c>
      <c r="B46" s="388" t="e">
        <f>VLOOKUP(A46,TaskValues_ref!E:F,2,FALSE)</f>
        <v>#N/A</v>
      </c>
      <c r="C46" s="388">
        <v>100</v>
      </c>
      <c r="D46" s="388"/>
      <c r="E46" s="389">
        <f t="shared" si="7"/>
        <v>100</v>
      </c>
      <c r="F46" s="387">
        <v>80</v>
      </c>
      <c r="G46" s="388"/>
      <c r="H46" s="388">
        <v>20</v>
      </c>
      <c r="I46" s="388"/>
      <c r="J46" s="389">
        <f t="shared" si="1"/>
        <v>100</v>
      </c>
      <c r="K46" s="387">
        <v>80</v>
      </c>
      <c r="L46" s="388"/>
      <c r="M46" s="388">
        <v>20</v>
      </c>
      <c r="N46" s="388"/>
      <c r="O46" s="388"/>
      <c r="P46" s="388"/>
      <c r="Q46" s="388"/>
      <c r="R46" s="389">
        <f t="shared" si="2"/>
        <v>100</v>
      </c>
      <c r="S46" s="387">
        <v>80</v>
      </c>
      <c r="T46" s="388"/>
      <c r="U46" s="388">
        <v>20</v>
      </c>
      <c r="V46" s="388"/>
      <c r="W46" s="388"/>
      <c r="X46" s="388"/>
      <c r="Y46" s="389">
        <f t="shared" si="3"/>
        <v>100</v>
      </c>
    </row>
    <row r="47" spans="1:25" s="58" customFormat="1" x14ac:dyDescent="0.25">
      <c r="A47" s="388" t="s">
        <v>2645</v>
      </c>
      <c r="B47" s="388" t="str">
        <f>VLOOKUP(A47,TaskValues_ref!E:F,2,FALSE)</f>
        <v>Provision of contraceptives</v>
      </c>
      <c r="C47" s="388">
        <v>100</v>
      </c>
      <c r="D47" s="388"/>
      <c r="E47" s="389">
        <f t="shared" si="7"/>
        <v>100</v>
      </c>
      <c r="F47" s="387">
        <v>80</v>
      </c>
      <c r="G47" s="388"/>
      <c r="H47" s="388">
        <v>20</v>
      </c>
      <c r="I47" s="388"/>
      <c r="J47" s="389">
        <f t="shared" si="1"/>
        <v>100</v>
      </c>
      <c r="K47" s="387">
        <v>80</v>
      </c>
      <c r="L47" s="388"/>
      <c r="M47" s="388">
        <v>20</v>
      </c>
      <c r="N47" s="388"/>
      <c r="O47" s="388"/>
      <c r="P47" s="388"/>
      <c r="Q47" s="388"/>
      <c r="R47" s="389">
        <f t="shared" si="2"/>
        <v>100</v>
      </c>
      <c r="S47" s="387">
        <v>80</v>
      </c>
      <c r="T47" s="388"/>
      <c r="U47" s="388">
        <v>20</v>
      </c>
      <c r="V47" s="388"/>
      <c r="W47" s="388"/>
      <c r="X47" s="388"/>
      <c r="Y47" s="389">
        <f t="shared" si="3"/>
        <v>100</v>
      </c>
    </row>
    <row r="48" spans="1:25" s="58" customFormat="1" x14ac:dyDescent="0.25">
      <c r="A48" s="388" t="s">
        <v>2646</v>
      </c>
      <c r="B48" s="388" t="str">
        <f>VLOOKUP(A48,TaskValues_ref!E:F,2,FALSE)</f>
        <v>Provision of implants and IUCD</v>
      </c>
      <c r="C48" s="388">
        <v>100</v>
      </c>
      <c r="D48" s="388"/>
      <c r="E48" s="389">
        <f t="shared" si="7"/>
        <v>100</v>
      </c>
      <c r="F48" s="387"/>
      <c r="G48" s="388">
        <v>100</v>
      </c>
      <c r="H48" s="388"/>
      <c r="I48" s="388"/>
      <c r="J48" s="389">
        <f t="shared" si="1"/>
        <v>100</v>
      </c>
      <c r="K48" s="387"/>
      <c r="L48" s="388">
        <v>100</v>
      </c>
      <c r="M48" s="388"/>
      <c r="N48" s="388"/>
      <c r="O48" s="388"/>
      <c r="P48" s="388"/>
      <c r="Q48" s="388"/>
      <c r="R48" s="389">
        <f t="shared" si="2"/>
        <v>100</v>
      </c>
      <c r="S48" s="387"/>
      <c r="T48" s="388">
        <v>100</v>
      </c>
      <c r="U48" s="388"/>
      <c r="V48" s="388"/>
      <c r="W48" s="388"/>
      <c r="X48" s="388"/>
      <c r="Y48" s="389">
        <f t="shared" si="3"/>
        <v>100</v>
      </c>
    </row>
    <row r="49" spans="1:25" s="58" customFormat="1" x14ac:dyDescent="0.25">
      <c r="A49" s="388" t="s">
        <v>2647</v>
      </c>
      <c r="B49" s="388" t="str">
        <f>VLOOKUP(A49,TaskValues_ref!E:F,2,FALSE)</f>
        <v>Removal of implants and IUCD</v>
      </c>
      <c r="C49" s="388">
        <v>100</v>
      </c>
      <c r="D49" s="388"/>
      <c r="E49" s="389">
        <f t="shared" si="7"/>
        <v>100</v>
      </c>
      <c r="F49" s="387"/>
      <c r="G49" s="388">
        <v>100</v>
      </c>
      <c r="H49" s="388"/>
      <c r="I49" s="388"/>
      <c r="J49" s="389">
        <f t="shared" si="1"/>
        <v>100</v>
      </c>
      <c r="K49" s="387"/>
      <c r="L49" s="388">
        <v>100</v>
      </c>
      <c r="M49" s="388"/>
      <c r="N49" s="388"/>
      <c r="O49" s="388"/>
      <c r="P49" s="388"/>
      <c r="Q49" s="388"/>
      <c r="R49" s="389">
        <f t="shared" si="2"/>
        <v>100</v>
      </c>
      <c r="S49" s="387"/>
      <c r="T49" s="388">
        <v>100</v>
      </c>
      <c r="U49" s="388"/>
      <c r="V49" s="388"/>
      <c r="W49" s="388"/>
      <c r="X49" s="388"/>
      <c r="Y49" s="389">
        <f t="shared" si="3"/>
        <v>100</v>
      </c>
    </row>
    <row r="50" spans="1:25" s="58" customFormat="1" x14ac:dyDescent="0.25">
      <c r="A50" s="388" t="s">
        <v>2648</v>
      </c>
      <c r="B50" s="388" t="str">
        <f>VLOOKUP(A50,TaskValues_ref!E:F,2,FALSE)</f>
        <v>Psycho-social counseling</v>
      </c>
      <c r="C50" s="388">
        <v>100</v>
      </c>
      <c r="D50" s="388"/>
      <c r="E50" s="389">
        <f t="shared" si="7"/>
        <v>100</v>
      </c>
      <c r="F50" s="387">
        <v>50</v>
      </c>
      <c r="G50" s="388"/>
      <c r="H50" s="388">
        <v>50</v>
      </c>
      <c r="I50" s="388"/>
      <c r="J50" s="389">
        <f t="shared" si="1"/>
        <v>100</v>
      </c>
      <c r="K50" s="387">
        <v>50</v>
      </c>
      <c r="L50" s="388"/>
      <c r="M50" s="388">
        <v>25</v>
      </c>
      <c r="N50" s="388"/>
      <c r="O50" s="388">
        <v>25</v>
      </c>
      <c r="P50" s="388"/>
      <c r="Q50" s="388"/>
      <c r="R50" s="389">
        <f t="shared" si="2"/>
        <v>100</v>
      </c>
      <c r="S50" s="387">
        <v>50</v>
      </c>
      <c r="T50" s="388"/>
      <c r="U50" s="388">
        <v>25</v>
      </c>
      <c r="V50" s="388">
        <v>25</v>
      </c>
      <c r="W50" s="388"/>
      <c r="X50" s="388"/>
      <c r="Y50" s="389">
        <f t="shared" si="3"/>
        <v>100</v>
      </c>
    </row>
    <row r="51" spans="1:25" s="58" customFormat="1" x14ac:dyDescent="0.25">
      <c r="A51" s="388" t="s">
        <v>2649</v>
      </c>
      <c r="B51" s="388" t="str">
        <f>VLOOKUP(A51,TaskValues_ref!E:F,2,FALSE)</f>
        <v>Abortion care &amp; referral</v>
      </c>
      <c r="C51" s="388">
        <v>100</v>
      </c>
      <c r="D51" s="388"/>
      <c r="E51" s="389">
        <f t="shared" si="7"/>
        <v>100</v>
      </c>
      <c r="F51" s="387"/>
      <c r="G51" s="388">
        <v>100</v>
      </c>
      <c r="H51" s="388"/>
      <c r="I51" s="388"/>
      <c r="J51" s="389">
        <f t="shared" si="1"/>
        <v>100</v>
      </c>
      <c r="K51" s="387"/>
      <c r="L51" s="388">
        <v>100</v>
      </c>
      <c r="M51" s="388"/>
      <c r="N51" s="388"/>
      <c r="O51" s="388"/>
      <c r="P51" s="388"/>
      <c r="Q51" s="388"/>
      <c r="R51" s="389">
        <f t="shared" si="2"/>
        <v>100</v>
      </c>
      <c r="S51" s="387"/>
      <c r="T51" s="388">
        <v>100</v>
      </c>
      <c r="U51" s="388"/>
      <c r="V51" s="388"/>
      <c r="W51" s="388"/>
      <c r="X51" s="388"/>
      <c r="Y51" s="389">
        <f t="shared" si="3"/>
        <v>100</v>
      </c>
    </row>
    <row r="52" spans="1:25" s="58" customFormat="1" x14ac:dyDescent="0.25">
      <c r="A52" s="388" t="s">
        <v>2650</v>
      </c>
      <c r="B52" s="388" t="str">
        <f>VLOOKUP(A52,TaskValues_ref!E:F,2,FALSE)</f>
        <v>Post-abortion follow-up</v>
      </c>
      <c r="C52" s="388">
        <v>100</v>
      </c>
      <c r="D52" s="388"/>
      <c r="E52" s="389">
        <f t="shared" si="7"/>
        <v>100</v>
      </c>
      <c r="F52" s="387"/>
      <c r="G52" s="390">
        <v>50</v>
      </c>
      <c r="H52" s="388">
        <v>50</v>
      </c>
      <c r="I52" s="388"/>
      <c r="J52" s="389">
        <f t="shared" si="1"/>
        <v>100</v>
      </c>
      <c r="K52" s="387"/>
      <c r="L52" s="390">
        <v>25</v>
      </c>
      <c r="M52" s="388">
        <v>25</v>
      </c>
      <c r="N52" s="388">
        <v>50</v>
      </c>
      <c r="O52" s="388"/>
      <c r="P52" s="388"/>
      <c r="Q52" s="388"/>
      <c r="R52" s="389">
        <f t="shared" si="2"/>
        <v>100</v>
      </c>
      <c r="S52" s="387"/>
      <c r="T52" s="390">
        <v>25</v>
      </c>
      <c r="U52" s="388">
        <v>75</v>
      </c>
      <c r="V52" s="388"/>
      <c r="W52" s="388"/>
      <c r="X52" s="388"/>
      <c r="Y52" s="389">
        <f t="shared" si="3"/>
        <v>100</v>
      </c>
    </row>
    <row r="53" spans="1:25" x14ac:dyDescent="0.25">
      <c r="A53" s="319" t="s">
        <v>2651</v>
      </c>
      <c r="B53" s="319" t="str">
        <f>VLOOKUP(A53,TaskValues_ref!E:F,2,FALSE)</f>
        <v>Education on menstration</v>
      </c>
      <c r="C53" s="388">
        <v>100</v>
      </c>
      <c r="D53" s="388"/>
      <c r="E53" s="389">
        <f t="shared" si="7"/>
        <v>100</v>
      </c>
      <c r="F53" s="387"/>
      <c r="G53" s="388"/>
      <c r="H53" s="388">
        <v>100</v>
      </c>
      <c r="I53" s="388"/>
      <c r="J53" s="389">
        <f t="shared" si="1"/>
        <v>100</v>
      </c>
      <c r="K53" s="387"/>
      <c r="L53" s="388"/>
      <c r="M53" s="388">
        <v>50</v>
      </c>
      <c r="N53" s="388">
        <v>50</v>
      </c>
      <c r="O53" s="388"/>
      <c r="P53" s="388"/>
      <c r="Q53" s="388"/>
      <c r="R53" s="389">
        <f t="shared" si="2"/>
        <v>100</v>
      </c>
      <c r="S53" s="387"/>
      <c r="T53" s="388"/>
      <c r="U53" s="388">
        <v>100</v>
      </c>
      <c r="V53" s="388"/>
      <c r="W53" s="388"/>
      <c r="X53" s="388"/>
      <c r="Y53" s="389">
        <f t="shared" si="3"/>
        <v>100</v>
      </c>
    </row>
    <row r="54" spans="1:25" x14ac:dyDescent="0.25">
      <c r="A54" s="319" t="s">
        <v>2652</v>
      </c>
      <c r="B54" s="319" t="str">
        <f>VLOOKUP(A54,TaskValues_ref!E:F,2,FALSE)</f>
        <v>Treatment of menstrual problems</v>
      </c>
      <c r="C54" s="388">
        <v>100</v>
      </c>
      <c r="D54" s="388"/>
      <c r="E54" s="389">
        <f t="shared" si="7"/>
        <v>100</v>
      </c>
      <c r="F54" s="387"/>
      <c r="G54" s="388"/>
      <c r="H54" s="388">
        <v>100</v>
      </c>
      <c r="I54" s="388"/>
      <c r="J54" s="389">
        <f t="shared" ref="J54" si="8">SUM(F54:I54)</f>
        <v>100</v>
      </c>
      <c r="K54" s="387"/>
      <c r="L54" s="388"/>
      <c r="M54" s="388">
        <v>25</v>
      </c>
      <c r="N54" s="388">
        <v>25</v>
      </c>
      <c r="O54" s="388">
        <v>50</v>
      </c>
      <c r="P54" s="388"/>
      <c r="Q54" s="388"/>
      <c r="R54" s="389">
        <f t="shared" ref="R54" si="9">SUM(K54:Q54)</f>
        <v>100</v>
      </c>
      <c r="S54" s="387"/>
      <c r="T54" s="388"/>
      <c r="U54" s="388">
        <v>50</v>
      </c>
      <c r="V54" s="388">
        <v>50</v>
      </c>
      <c r="W54" s="388"/>
      <c r="X54" s="388"/>
      <c r="Y54" s="389">
        <f t="shared" ref="Y54" si="10">SUM(S54:X54)</f>
        <v>100</v>
      </c>
    </row>
    <row r="55" spans="1:25" x14ac:dyDescent="0.25">
      <c r="A55" s="319" t="s">
        <v>2653</v>
      </c>
      <c r="B55" s="319" t="str">
        <f>VLOOKUP(A55,TaskValues_ref!E:F,2,FALSE)</f>
        <v>Promote self-breast exam</v>
      </c>
      <c r="C55" s="388">
        <v>100</v>
      </c>
      <c r="D55" s="388"/>
      <c r="E55" s="389">
        <f t="shared" si="7"/>
        <v>100</v>
      </c>
      <c r="F55" s="387"/>
      <c r="G55" s="388"/>
      <c r="H55" s="388">
        <v>100</v>
      </c>
      <c r="I55" s="388"/>
      <c r="J55" s="389">
        <f t="shared" si="1"/>
        <v>100</v>
      </c>
      <c r="K55" s="387"/>
      <c r="L55" s="388"/>
      <c r="M55" s="388">
        <v>50</v>
      </c>
      <c r="N55" s="388">
        <v>50</v>
      </c>
      <c r="O55" s="388"/>
      <c r="P55" s="388"/>
      <c r="Q55" s="388"/>
      <c r="R55" s="389">
        <f t="shared" si="2"/>
        <v>100</v>
      </c>
      <c r="S55" s="387"/>
      <c r="T55" s="388"/>
      <c r="U55" s="388">
        <v>100</v>
      </c>
      <c r="V55" s="388"/>
      <c r="W55" s="388"/>
      <c r="X55" s="388"/>
      <c r="Y55" s="389">
        <f t="shared" si="3"/>
        <v>100</v>
      </c>
    </row>
    <row r="56" spans="1:25" s="58" customFormat="1" x14ac:dyDescent="0.25">
      <c r="A56" s="388" t="s">
        <v>2654</v>
      </c>
      <c r="B56" s="388" t="str">
        <f>VLOOKUP(A56,TaskValues_ref!E:F,2,FALSE)</f>
        <v>HPV vacination</v>
      </c>
      <c r="C56" s="388">
        <v>100</v>
      </c>
      <c r="D56" s="388"/>
      <c r="E56" s="389">
        <f t="shared" si="7"/>
        <v>100</v>
      </c>
      <c r="F56" s="387"/>
      <c r="G56" s="388"/>
      <c r="H56" s="388">
        <v>100</v>
      </c>
      <c r="I56" s="388"/>
      <c r="J56" s="389">
        <f t="shared" si="1"/>
        <v>100</v>
      </c>
      <c r="K56" s="387"/>
      <c r="L56" s="388"/>
      <c r="M56" s="388">
        <v>50</v>
      </c>
      <c r="N56" s="388">
        <v>50</v>
      </c>
      <c r="O56" s="388"/>
      <c r="P56" s="388"/>
      <c r="Q56" s="388"/>
      <c r="R56" s="389">
        <f t="shared" si="2"/>
        <v>100</v>
      </c>
      <c r="S56" s="387"/>
      <c r="T56" s="388"/>
      <c r="U56" s="388">
        <v>100</v>
      </c>
      <c r="V56" s="388"/>
      <c r="W56" s="388"/>
      <c r="X56" s="388"/>
      <c r="Y56" s="389">
        <f t="shared" si="3"/>
        <v>100</v>
      </c>
    </row>
    <row r="57" spans="1:25" s="58" customFormat="1" x14ac:dyDescent="0.25">
      <c r="A57" s="388" t="s">
        <v>2655</v>
      </c>
      <c r="B57" s="388" t="str">
        <f>VLOOKUP(A57,TaskValues_ref!E:F,2,FALSE)</f>
        <v>Education on health &amp; wellbeing</v>
      </c>
      <c r="C57" s="388">
        <v>100</v>
      </c>
      <c r="D57" s="388"/>
      <c r="E57" s="389">
        <f t="shared" si="7"/>
        <v>100</v>
      </c>
      <c r="F57" s="387"/>
      <c r="G57" s="388"/>
      <c r="H57" s="388">
        <v>100</v>
      </c>
      <c r="I57" s="388"/>
      <c r="J57" s="389">
        <f t="shared" si="1"/>
        <v>100</v>
      </c>
      <c r="K57" s="387"/>
      <c r="L57" s="388"/>
      <c r="M57" s="388">
        <v>50</v>
      </c>
      <c r="N57" s="388">
        <v>50</v>
      </c>
      <c r="O57" s="388"/>
      <c r="P57" s="388"/>
      <c r="Q57" s="388"/>
      <c r="R57" s="389">
        <f t="shared" si="2"/>
        <v>100</v>
      </c>
      <c r="S57" s="387"/>
      <c r="T57" s="388"/>
      <c r="U57" s="388">
        <v>100</v>
      </c>
      <c r="V57" s="388"/>
      <c r="W57" s="388"/>
      <c r="X57" s="388"/>
      <c r="Y57" s="389">
        <f t="shared" si="3"/>
        <v>100</v>
      </c>
    </row>
    <row r="58" spans="1:25" s="58" customFormat="1" x14ac:dyDescent="0.25">
      <c r="A58" s="388" t="s">
        <v>2656</v>
      </c>
      <c r="B58" s="388" t="str">
        <f>VLOOKUP(A58,TaskValues_ref!E:F,2,FALSE)</f>
        <v>Adolescent SRH</v>
      </c>
      <c r="C58" s="388">
        <v>100</v>
      </c>
      <c r="D58" s="388"/>
      <c r="E58" s="389">
        <f t="shared" si="7"/>
        <v>100</v>
      </c>
      <c r="F58" s="387">
        <v>100</v>
      </c>
      <c r="G58" s="388"/>
      <c r="H58" s="388"/>
      <c r="I58" s="388"/>
      <c r="J58" s="389">
        <f t="shared" si="1"/>
        <v>100</v>
      </c>
      <c r="K58" s="387">
        <v>100</v>
      </c>
      <c r="L58" s="388"/>
      <c r="M58" s="388"/>
      <c r="N58" s="388"/>
      <c r="O58" s="388"/>
      <c r="P58" s="388"/>
      <c r="Q58" s="388"/>
      <c r="R58" s="389">
        <f t="shared" si="2"/>
        <v>100</v>
      </c>
      <c r="S58" s="387">
        <v>100</v>
      </c>
      <c r="T58" s="388"/>
      <c r="U58" s="388"/>
      <c r="V58" s="388"/>
      <c r="W58" s="388"/>
      <c r="X58" s="388"/>
      <c r="Y58" s="389">
        <f t="shared" si="3"/>
        <v>100</v>
      </c>
    </row>
    <row r="59" spans="1:25" s="58" customFormat="1" x14ac:dyDescent="0.25">
      <c r="A59" s="388" t="s">
        <v>2657</v>
      </c>
      <c r="B59" s="388" t="str">
        <f>VLOOKUP(A59,TaskValues_ref!E:F,2,FALSE)</f>
        <v>Provision of adolescent-friendly contraceptives</v>
      </c>
      <c r="C59" s="388">
        <v>100</v>
      </c>
      <c r="D59" s="388"/>
      <c r="E59" s="389">
        <f t="shared" si="7"/>
        <v>100</v>
      </c>
      <c r="F59" s="387">
        <v>100</v>
      </c>
      <c r="G59" s="388"/>
      <c r="H59" s="388"/>
      <c r="I59" s="388"/>
      <c r="J59" s="389">
        <f t="shared" si="1"/>
        <v>100</v>
      </c>
      <c r="K59" s="387">
        <v>100</v>
      </c>
      <c r="L59" s="388"/>
      <c r="M59" s="388"/>
      <c r="N59" s="388"/>
      <c r="O59" s="388"/>
      <c r="P59" s="388"/>
      <c r="Q59" s="388"/>
      <c r="R59" s="389">
        <f t="shared" si="2"/>
        <v>100</v>
      </c>
      <c r="S59" s="387">
        <v>100</v>
      </c>
      <c r="T59" s="388"/>
      <c r="U59" s="388"/>
      <c r="V59" s="388"/>
      <c r="W59" s="388"/>
      <c r="X59" s="388"/>
      <c r="Y59" s="389">
        <f t="shared" si="3"/>
        <v>100</v>
      </c>
    </row>
    <row r="60" spans="1:25" x14ac:dyDescent="0.25">
      <c r="A60" s="319" t="s">
        <v>2658</v>
      </c>
      <c r="B60" s="319" t="str">
        <f>VLOOKUP(A60,TaskValues_ref!E:F,2,FALSE)</f>
        <v>Education about GBV</v>
      </c>
      <c r="C60" s="388">
        <v>100</v>
      </c>
      <c r="D60" s="388"/>
      <c r="E60" s="389">
        <f t="shared" si="7"/>
        <v>100</v>
      </c>
      <c r="F60" s="387"/>
      <c r="G60" s="388"/>
      <c r="H60" s="388">
        <v>100</v>
      </c>
      <c r="I60" s="388"/>
      <c r="J60" s="389">
        <f t="shared" ref="J60:J61" si="11">SUM(F60:I60)</f>
        <v>100</v>
      </c>
      <c r="K60" s="387"/>
      <c r="L60" s="388"/>
      <c r="M60" s="388">
        <v>50</v>
      </c>
      <c r="N60" s="388">
        <v>50</v>
      </c>
      <c r="O60" s="388"/>
      <c r="P60" s="388"/>
      <c r="Q60" s="388"/>
      <c r="R60" s="389">
        <f t="shared" ref="R60:R61" si="12">SUM(K60:Q60)</f>
        <v>100</v>
      </c>
      <c r="S60" s="387"/>
      <c r="T60" s="388"/>
      <c r="U60" s="388">
        <v>100</v>
      </c>
      <c r="V60" s="388"/>
      <c r="W60" s="388"/>
      <c r="X60" s="388"/>
      <c r="Y60" s="389">
        <f t="shared" ref="Y60:Y61" si="13">SUM(S60:X60)</f>
        <v>100</v>
      </c>
    </row>
    <row r="61" spans="1:25" x14ac:dyDescent="0.25">
      <c r="A61" s="319" t="s">
        <v>2659</v>
      </c>
      <c r="B61" s="319" t="str">
        <f>VLOOKUP(A61,TaskValues_ref!E:F,2,FALSE)</f>
        <v>Community dialogue about GBV</v>
      </c>
      <c r="C61" s="388">
        <v>100</v>
      </c>
      <c r="D61" s="388"/>
      <c r="E61" s="389">
        <f t="shared" si="7"/>
        <v>100</v>
      </c>
      <c r="F61" s="387"/>
      <c r="G61" s="388"/>
      <c r="H61" s="388">
        <v>100</v>
      </c>
      <c r="I61" s="388"/>
      <c r="J61" s="389">
        <f t="shared" si="11"/>
        <v>100</v>
      </c>
      <c r="K61" s="387"/>
      <c r="L61" s="388"/>
      <c r="M61" s="388">
        <v>50</v>
      </c>
      <c r="N61" s="388">
        <v>50</v>
      </c>
      <c r="O61" s="388"/>
      <c r="P61" s="388"/>
      <c r="Q61" s="388"/>
      <c r="R61" s="389">
        <f t="shared" si="12"/>
        <v>100</v>
      </c>
      <c r="S61" s="387"/>
      <c r="T61" s="388"/>
      <c r="U61" s="388">
        <v>100</v>
      </c>
      <c r="V61" s="388"/>
      <c r="W61" s="388"/>
      <c r="X61" s="388"/>
      <c r="Y61" s="389">
        <f t="shared" si="13"/>
        <v>100</v>
      </c>
    </row>
    <row r="62" spans="1:25" s="58" customFormat="1" x14ac:dyDescent="0.25">
      <c r="A62" s="388" t="s">
        <v>2660</v>
      </c>
      <c r="B62" s="388" t="str">
        <f>VLOOKUP(A62,TaskValues_ref!E:F,2,FALSE)</f>
        <v>Pregnancy test for GBV</v>
      </c>
      <c r="C62" s="388">
        <v>100</v>
      </c>
      <c r="D62" s="388"/>
      <c r="E62" s="389">
        <f t="shared" si="7"/>
        <v>100</v>
      </c>
      <c r="F62" s="387">
        <v>100</v>
      </c>
      <c r="G62" s="388"/>
      <c r="H62" s="388"/>
      <c r="I62" s="388"/>
      <c r="J62" s="389">
        <f t="shared" si="1"/>
        <v>100</v>
      </c>
      <c r="K62" s="387">
        <v>50</v>
      </c>
      <c r="L62" s="388"/>
      <c r="M62" s="388"/>
      <c r="N62" s="388"/>
      <c r="O62" s="388">
        <v>50</v>
      </c>
      <c r="P62" s="388"/>
      <c r="Q62" s="388"/>
      <c r="R62" s="389">
        <f t="shared" si="2"/>
        <v>100</v>
      </c>
      <c r="S62" s="387">
        <v>50</v>
      </c>
      <c r="T62" s="388"/>
      <c r="U62" s="388"/>
      <c r="V62" s="388">
        <v>50</v>
      </c>
      <c r="W62" s="388"/>
      <c r="X62" s="388"/>
      <c r="Y62" s="389">
        <f t="shared" si="3"/>
        <v>100</v>
      </c>
    </row>
    <row r="63" spans="1:25" s="58" customFormat="1" x14ac:dyDescent="0.25">
      <c r="A63" s="388" t="s">
        <v>2661</v>
      </c>
      <c r="B63" s="388" t="str">
        <f>VLOOKUP(A63,TaskValues_ref!E:F,2,FALSE)</f>
        <v>HIV test for GBV</v>
      </c>
      <c r="C63" s="388">
        <v>100</v>
      </c>
      <c r="D63" s="388"/>
      <c r="E63" s="389">
        <f t="shared" si="7"/>
        <v>100</v>
      </c>
      <c r="F63" s="387">
        <v>100</v>
      </c>
      <c r="G63" s="388"/>
      <c r="H63" s="388"/>
      <c r="I63" s="388"/>
      <c r="J63" s="389">
        <f t="shared" si="1"/>
        <v>100</v>
      </c>
      <c r="K63" s="387">
        <v>50</v>
      </c>
      <c r="L63" s="388"/>
      <c r="M63" s="388"/>
      <c r="N63" s="388"/>
      <c r="O63" s="388">
        <v>50</v>
      </c>
      <c r="P63" s="388"/>
      <c r="Q63" s="388"/>
      <c r="R63" s="389">
        <f t="shared" si="2"/>
        <v>100</v>
      </c>
      <c r="S63" s="387">
        <v>50</v>
      </c>
      <c r="T63" s="388"/>
      <c r="U63" s="388"/>
      <c r="V63" s="388">
        <v>50</v>
      </c>
      <c r="W63" s="388"/>
      <c r="X63" s="388"/>
      <c r="Y63" s="389">
        <f t="shared" si="3"/>
        <v>100</v>
      </c>
    </row>
    <row r="64" spans="1:25" s="58" customFormat="1" x14ac:dyDescent="0.25">
      <c r="A64" s="388" t="s">
        <v>2662</v>
      </c>
      <c r="B64" s="388" t="str">
        <f>VLOOKUP(A64,TaskValues_ref!E:F,2,FALSE)</f>
        <v>Emergency GBV response</v>
      </c>
      <c r="C64" s="388">
        <v>100</v>
      </c>
      <c r="D64" s="388"/>
      <c r="E64" s="389">
        <f t="shared" si="7"/>
        <v>100</v>
      </c>
      <c r="F64" s="387"/>
      <c r="G64" s="388"/>
      <c r="H64" s="388">
        <v>100</v>
      </c>
      <c r="I64" s="388"/>
      <c r="J64" s="389">
        <f t="shared" si="1"/>
        <v>100</v>
      </c>
      <c r="K64" s="387"/>
      <c r="L64" s="388"/>
      <c r="M64" s="388">
        <v>50</v>
      </c>
      <c r="N64" s="388">
        <v>50</v>
      </c>
      <c r="O64" s="388"/>
      <c r="P64" s="388"/>
      <c r="Q64" s="388"/>
      <c r="R64" s="389">
        <f t="shared" si="2"/>
        <v>100</v>
      </c>
      <c r="S64" s="387"/>
      <c r="T64" s="388"/>
      <c r="U64" s="388">
        <v>50</v>
      </c>
      <c r="V64" s="390">
        <v>50</v>
      </c>
      <c r="W64" s="388"/>
      <c r="X64" s="388"/>
      <c r="Y64" s="389">
        <f t="shared" si="3"/>
        <v>100</v>
      </c>
    </row>
    <row r="65" spans="1:25" s="58" customFormat="1" x14ac:dyDescent="0.25">
      <c r="A65" s="388" t="s">
        <v>2663</v>
      </c>
      <c r="B65" s="388" t="str">
        <f>VLOOKUP(A65,TaskValues_ref!E:F,2,FALSE)</f>
        <v>Medical treatment for GBV</v>
      </c>
      <c r="C65" s="388">
        <v>100</v>
      </c>
      <c r="D65" s="388"/>
      <c r="E65" s="389">
        <f t="shared" si="7"/>
        <v>100</v>
      </c>
      <c r="F65" s="387">
        <v>50</v>
      </c>
      <c r="G65" s="388">
        <v>50</v>
      </c>
      <c r="H65" s="388"/>
      <c r="I65" s="388"/>
      <c r="J65" s="389">
        <f t="shared" si="1"/>
        <v>100</v>
      </c>
      <c r="K65" s="387">
        <v>50</v>
      </c>
      <c r="L65" s="388">
        <v>25</v>
      </c>
      <c r="M65" s="388"/>
      <c r="N65" s="388"/>
      <c r="O65" s="388">
        <v>25</v>
      </c>
      <c r="P65" s="388"/>
      <c r="Q65" s="388"/>
      <c r="R65" s="389">
        <f t="shared" si="2"/>
        <v>100</v>
      </c>
      <c r="S65" s="387">
        <v>50</v>
      </c>
      <c r="T65" s="388">
        <v>25</v>
      </c>
      <c r="U65" s="388"/>
      <c r="V65" s="388">
        <v>25</v>
      </c>
      <c r="W65" s="388"/>
      <c r="X65" s="388"/>
      <c r="Y65" s="389">
        <f t="shared" si="3"/>
        <v>100</v>
      </c>
    </row>
    <row r="66" spans="1:25" s="58" customFormat="1" x14ac:dyDescent="0.25">
      <c r="A66" s="388" t="s">
        <v>2664</v>
      </c>
      <c r="B66" s="388" t="str">
        <f>VLOOKUP(A66,TaskValues_ref!E:F,2,FALSE)</f>
        <v>Psycho-social support for GBV</v>
      </c>
      <c r="C66" s="388">
        <v>100</v>
      </c>
      <c r="D66" s="388"/>
      <c r="E66" s="389">
        <f t="shared" ref="E66:E97" si="14">SUM(C66:D66)</f>
        <v>100</v>
      </c>
      <c r="F66" s="387"/>
      <c r="G66" s="388"/>
      <c r="H66" s="388">
        <v>100</v>
      </c>
      <c r="I66" s="388"/>
      <c r="J66" s="389">
        <f t="shared" si="1"/>
        <v>100</v>
      </c>
      <c r="K66" s="387"/>
      <c r="L66" s="388"/>
      <c r="M66" s="388">
        <v>50</v>
      </c>
      <c r="N66" s="388">
        <v>50</v>
      </c>
      <c r="O66" s="388"/>
      <c r="P66" s="388"/>
      <c r="Q66" s="388"/>
      <c r="R66" s="389">
        <f t="shared" si="2"/>
        <v>100</v>
      </c>
      <c r="S66" s="387"/>
      <c r="T66" s="388"/>
      <c r="U66" s="388">
        <v>100</v>
      </c>
      <c r="V66" s="388"/>
      <c r="W66" s="388"/>
      <c r="X66" s="388"/>
      <c r="Y66" s="389">
        <f t="shared" si="3"/>
        <v>100</v>
      </c>
    </row>
    <row r="67" spans="1:25" x14ac:dyDescent="0.25">
      <c r="A67" s="319" t="s">
        <v>2665</v>
      </c>
      <c r="B67" s="319" t="str">
        <f>VLOOKUP(A67,TaskValues_ref!E:F,2,FALSE)</f>
        <v>Adovacy against HTP</v>
      </c>
      <c r="C67" s="388">
        <v>100</v>
      </c>
      <c r="D67" s="388"/>
      <c r="E67" s="389">
        <f t="shared" si="14"/>
        <v>100</v>
      </c>
      <c r="F67" s="387"/>
      <c r="G67" s="388"/>
      <c r="H67" s="388">
        <v>100</v>
      </c>
      <c r="I67" s="388"/>
      <c r="J67" s="389">
        <f t="shared" ref="J67" si="15">SUM(F67:I67)</f>
        <v>100</v>
      </c>
      <c r="K67" s="387"/>
      <c r="L67" s="388"/>
      <c r="M67" s="388">
        <v>50</v>
      </c>
      <c r="N67" s="388">
        <v>50</v>
      </c>
      <c r="O67" s="388"/>
      <c r="P67" s="388"/>
      <c r="Q67" s="388"/>
      <c r="R67" s="389">
        <f t="shared" ref="R67" si="16">SUM(K67:Q67)</f>
        <v>100</v>
      </c>
      <c r="S67" s="387"/>
      <c r="T67" s="388"/>
      <c r="U67" s="388">
        <v>100</v>
      </c>
      <c r="V67" s="388"/>
      <c r="W67" s="388"/>
      <c r="X67" s="388"/>
      <c r="Y67" s="389">
        <f t="shared" ref="Y67" si="17">SUM(S67:X67)</f>
        <v>100</v>
      </c>
    </row>
    <row r="68" spans="1:25" s="58" customFormat="1" x14ac:dyDescent="0.25">
      <c r="A68" s="388" t="s">
        <v>2666</v>
      </c>
      <c r="B68" s="388" t="str">
        <f>VLOOKUP(A68,TaskValues_ref!E:F,2,FALSE)</f>
        <v>Prevention of teen pregnancy</v>
      </c>
      <c r="C68" s="388">
        <v>100</v>
      </c>
      <c r="D68" s="388"/>
      <c r="E68" s="389">
        <f t="shared" si="14"/>
        <v>100</v>
      </c>
      <c r="F68" s="387">
        <v>20</v>
      </c>
      <c r="G68" s="388"/>
      <c r="H68" s="388">
        <v>80</v>
      </c>
      <c r="I68" s="388"/>
      <c r="J68" s="389">
        <f t="shared" ref="J68:J128" si="18">SUM(F68:I68)</f>
        <v>100</v>
      </c>
      <c r="K68" s="387">
        <v>20</v>
      </c>
      <c r="L68" s="388"/>
      <c r="M68" s="388">
        <v>40</v>
      </c>
      <c r="N68" s="388">
        <v>40</v>
      </c>
      <c r="O68" s="388"/>
      <c r="P68" s="388"/>
      <c r="Q68" s="388"/>
      <c r="R68" s="389">
        <f t="shared" ref="R68:R128" si="19">SUM(K68:Q68)</f>
        <v>100</v>
      </c>
      <c r="S68" s="387">
        <v>20</v>
      </c>
      <c r="T68" s="388"/>
      <c r="U68" s="388">
        <v>80</v>
      </c>
      <c r="V68" s="388"/>
      <c r="W68" s="388"/>
      <c r="X68" s="388"/>
      <c r="Y68" s="389">
        <f t="shared" ref="Y68:Y128" si="20">SUM(S68:X68)</f>
        <v>100</v>
      </c>
    </row>
    <row r="69" spans="1:25" x14ac:dyDescent="0.25">
      <c r="A69" s="319" t="s">
        <v>2667</v>
      </c>
      <c r="B69" s="319" t="str">
        <f>VLOOKUP(A69,TaskValues_ref!E:F,2,FALSE)</f>
        <v>Folic acid</v>
      </c>
      <c r="C69" s="388">
        <v>100</v>
      </c>
      <c r="D69" s="388"/>
      <c r="E69" s="389">
        <f t="shared" si="14"/>
        <v>100</v>
      </c>
      <c r="F69" s="387">
        <v>20</v>
      </c>
      <c r="G69" s="388"/>
      <c r="H69" s="388">
        <v>80</v>
      </c>
      <c r="I69" s="388"/>
      <c r="J69" s="389">
        <f t="shared" ref="J69" si="21">SUM(F69:I69)</f>
        <v>100</v>
      </c>
      <c r="K69" s="387">
        <v>20</v>
      </c>
      <c r="L69" s="388"/>
      <c r="M69" s="388">
        <v>40</v>
      </c>
      <c r="N69" s="388">
        <v>40</v>
      </c>
      <c r="O69" s="388"/>
      <c r="P69" s="388"/>
      <c r="Q69" s="388"/>
      <c r="R69" s="389">
        <f t="shared" ref="R69" si="22">SUM(K69:Q69)</f>
        <v>100</v>
      </c>
      <c r="S69" s="387">
        <v>20</v>
      </c>
      <c r="T69" s="388"/>
      <c r="U69" s="388">
        <v>80</v>
      </c>
      <c r="V69" s="388"/>
      <c r="W69" s="388"/>
      <c r="X69" s="388"/>
      <c r="Y69" s="389">
        <f t="shared" ref="Y69" si="23">SUM(S69:X69)</f>
        <v>100</v>
      </c>
    </row>
    <row r="70" spans="1:25" s="58" customFormat="1" x14ac:dyDescent="0.25">
      <c r="A70" s="388" t="s">
        <v>2668</v>
      </c>
      <c r="B70" s="388" t="str">
        <f>VLOOKUP(A70,TaskValues_ref!E:F,2,FALSE)</f>
        <v>SRH counseling for men</v>
      </c>
      <c r="C70" s="388">
        <v>100</v>
      </c>
      <c r="D70" s="388"/>
      <c r="E70" s="389">
        <f t="shared" si="14"/>
        <v>100</v>
      </c>
      <c r="F70" s="387">
        <v>25</v>
      </c>
      <c r="G70" s="388">
        <v>75</v>
      </c>
      <c r="H70" s="388"/>
      <c r="I70" s="388"/>
      <c r="J70" s="389">
        <f t="shared" si="18"/>
        <v>100</v>
      </c>
      <c r="K70" s="387">
        <v>25</v>
      </c>
      <c r="L70" s="388">
        <v>25</v>
      </c>
      <c r="M70" s="388"/>
      <c r="N70" s="388"/>
      <c r="O70" s="388">
        <v>50</v>
      </c>
      <c r="P70" s="388"/>
      <c r="Q70" s="388"/>
      <c r="R70" s="389">
        <f t="shared" si="19"/>
        <v>100</v>
      </c>
      <c r="S70" s="387">
        <v>25</v>
      </c>
      <c r="T70" s="388">
        <v>25</v>
      </c>
      <c r="U70" s="388"/>
      <c r="V70" s="388">
        <v>50</v>
      </c>
      <c r="W70" s="388"/>
      <c r="X70" s="388"/>
      <c r="Y70" s="389">
        <f t="shared" si="20"/>
        <v>100</v>
      </c>
    </row>
    <row r="71" spans="1:25" x14ac:dyDescent="0.25">
      <c r="A71" s="319" t="s">
        <v>2669</v>
      </c>
      <c r="B71" s="319" t="str">
        <f>VLOOKUP(A71,TaskValues_ref!E:F,2,FALSE)</f>
        <v>Promote breast feeding</v>
      </c>
      <c r="C71" s="388">
        <v>100</v>
      </c>
      <c r="D71" s="388"/>
      <c r="E71" s="389">
        <f t="shared" si="14"/>
        <v>100</v>
      </c>
      <c r="F71" s="387"/>
      <c r="G71" s="388"/>
      <c r="H71" s="388">
        <v>100</v>
      </c>
      <c r="I71" s="388"/>
      <c r="J71" s="389">
        <f t="shared" si="18"/>
        <v>100</v>
      </c>
      <c r="K71" s="387"/>
      <c r="L71" s="388"/>
      <c r="M71" s="388">
        <v>50</v>
      </c>
      <c r="N71" s="388">
        <v>50</v>
      </c>
      <c r="O71" s="388"/>
      <c r="P71" s="388"/>
      <c r="Q71" s="388"/>
      <c r="R71" s="389">
        <f t="shared" si="19"/>
        <v>100</v>
      </c>
      <c r="S71" s="387"/>
      <c r="T71" s="388"/>
      <c r="U71" s="388">
        <v>100</v>
      </c>
      <c r="V71" s="388"/>
      <c r="W71" s="388"/>
      <c r="X71" s="388"/>
      <c r="Y71" s="389">
        <f t="shared" si="20"/>
        <v>100</v>
      </c>
    </row>
    <row r="72" spans="1:25" s="58" customFormat="1" x14ac:dyDescent="0.25">
      <c r="A72" s="388" t="s">
        <v>2670</v>
      </c>
      <c r="B72" s="388" t="str">
        <f>VLOOKUP(A72,TaskValues_ref!E:F,2,FALSE)</f>
        <v>Nutritional screening during pregnancy</v>
      </c>
      <c r="C72" s="388">
        <v>100</v>
      </c>
      <c r="D72" s="388"/>
      <c r="E72" s="389">
        <f t="shared" si="14"/>
        <v>100</v>
      </c>
      <c r="F72" s="387">
        <v>100</v>
      </c>
      <c r="G72" s="388"/>
      <c r="H72" s="388"/>
      <c r="I72" s="388"/>
      <c r="J72" s="389">
        <f t="shared" si="18"/>
        <v>100</v>
      </c>
      <c r="K72" s="387">
        <v>100</v>
      </c>
      <c r="L72" s="388"/>
      <c r="M72" s="388"/>
      <c r="N72" s="388"/>
      <c r="O72" s="388"/>
      <c r="P72" s="388"/>
      <c r="Q72" s="388"/>
      <c r="R72" s="389">
        <f t="shared" si="19"/>
        <v>100</v>
      </c>
      <c r="S72" s="387">
        <v>100</v>
      </c>
      <c r="T72" s="388"/>
      <c r="U72" s="388"/>
      <c r="V72" s="388"/>
      <c r="W72" s="388">
        <f t="shared" ref="W72:W75" si="24">M72+P72</f>
        <v>0</v>
      </c>
      <c r="X72" s="388"/>
      <c r="Y72" s="389">
        <f t="shared" si="20"/>
        <v>100</v>
      </c>
    </row>
    <row r="73" spans="1:25" x14ac:dyDescent="0.25">
      <c r="A73" s="319" t="s">
        <v>2671</v>
      </c>
      <c r="B73" s="319" t="str">
        <f>VLOOKUP(A73,TaskValues_ref!E:F,2,FALSE)</f>
        <v>Monthly monitoring</v>
      </c>
      <c r="C73" s="388">
        <v>100</v>
      </c>
      <c r="D73" s="388"/>
      <c r="E73" s="389">
        <f t="shared" si="14"/>
        <v>100</v>
      </c>
      <c r="F73" s="387"/>
      <c r="G73" s="388"/>
      <c r="H73" s="388">
        <v>100</v>
      </c>
      <c r="I73" s="388"/>
      <c r="J73" s="389">
        <f t="shared" si="18"/>
        <v>100</v>
      </c>
      <c r="K73" s="387"/>
      <c r="L73" s="388"/>
      <c r="M73" s="388">
        <v>50</v>
      </c>
      <c r="N73" s="388">
        <v>25</v>
      </c>
      <c r="O73" s="388">
        <v>25</v>
      </c>
      <c r="P73" s="388"/>
      <c r="Q73" s="388"/>
      <c r="R73" s="389">
        <f t="shared" si="19"/>
        <v>100</v>
      </c>
      <c r="S73" s="387"/>
      <c r="T73" s="388"/>
      <c r="U73" s="388">
        <v>75</v>
      </c>
      <c r="V73" s="388">
        <v>25</v>
      </c>
      <c r="W73" s="388"/>
      <c r="X73" s="388"/>
      <c r="Y73" s="389">
        <f t="shared" si="20"/>
        <v>100</v>
      </c>
    </row>
    <row r="74" spans="1:25" s="58" customFormat="1" x14ac:dyDescent="0.25">
      <c r="A74" s="388" t="s">
        <v>2672</v>
      </c>
      <c r="B74" s="388" t="str">
        <f>VLOOKUP(A74,TaskValues_ref!E:F,2,FALSE)</f>
        <v>MUAC and oedema screening</v>
      </c>
      <c r="C74" s="388">
        <v>100</v>
      </c>
      <c r="D74" s="388"/>
      <c r="E74" s="389">
        <f t="shared" si="14"/>
        <v>100</v>
      </c>
      <c r="F74" s="387">
        <v>100</v>
      </c>
      <c r="G74" s="388"/>
      <c r="H74" s="388"/>
      <c r="I74" s="388"/>
      <c r="J74" s="389">
        <f t="shared" si="18"/>
        <v>100</v>
      </c>
      <c r="K74" s="387">
        <v>100</v>
      </c>
      <c r="L74" s="388"/>
      <c r="M74" s="388"/>
      <c r="N74" s="388"/>
      <c r="O74" s="388"/>
      <c r="P74" s="388"/>
      <c r="Q74" s="388"/>
      <c r="R74" s="389">
        <f t="shared" si="19"/>
        <v>100</v>
      </c>
      <c r="S74" s="387">
        <v>100</v>
      </c>
      <c r="T74" s="388"/>
      <c r="U74" s="388"/>
      <c r="V74" s="388"/>
      <c r="W74" s="388">
        <f t="shared" si="24"/>
        <v>0</v>
      </c>
      <c r="X74" s="388"/>
      <c r="Y74" s="389">
        <f t="shared" si="20"/>
        <v>100</v>
      </c>
    </row>
    <row r="75" spans="1:25" s="58" customFormat="1" x14ac:dyDescent="0.25">
      <c r="A75" s="388" t="s">
        <v>2673</v>
      </c>
      <c r="B75" s="388" t="str">
        <f>VLOOKUP(A75,TaskValues_ref!E:F,2,FALSE)</f>
        <v>Treat malnourished mothers</v>
      </c>
      <c r="C75" s="388">
        <v>100</v>
      </c>
      <c r="D75" s="388"/>
      <c r="E75" s="389">
        <f t="shared" si="14"/>
        <v>100</v>
      </c>
      <c r="F75" s="387">
        <v>100</v>
      </c>
      <c r="G75" s="388"/>
      <c r="H75" s="388"/>
      <c r="I75" s="388"/>
      <c r="J75" s="389">
        <f t="shared" si="18"/>
        <v>100</v>
      </c>
      <c r="K75" s="387">
        <v>100</v>
      </c>
      <c r="L75" s="388"/>
      <c r="M75" s="388"/>
      <c r="N75" s="388"/>
      <c r="O75" s="388"/>
      <c r="P75" s="388"/>
      <c r="Q75" s="388"/>
      <c r="R75" s="389">
        <f t="shared" si="19"/>
        <v>100</v>
      </c>
      <c r="S75" s="387">
        <v>100</v>
      </c>
      <c r="T75" s="388"/>
      <c r="U75" s="388"/>
      <c r="V75" s="388"/>
      <c r="W75" s="388">
        <f t="shared" si="24"/>
        <v>0</v>
      </c>
      <c r="X75" s="388"/>
      <c r="Y75" s="389">
        <f t="shared" si="20"/>
        <v>100</v>
      </c>
    </row>
    <row r="76" spans="1:25" s="58" customFormat="1" x14ac:dyDescent="0.25">
      <c r="A76" s="390" t="s">
        <v>2623</v>
      </c>
      <c r="B76" s="388" t="str">
        <f>VLOOKUP(A76,TaskValues_ref!E:F,2,FALSE)</f>
        <v>Anaemia severe U5</v>
      </c>
      <c r="C76" s="388">
        <v>100</v>
      </c>
      <c r="D76" s="388"/>
      <c r="E76" s="389">
        <f t="shared" si="14"/>
        <v>100</v>
      </c>
      <c r="F76" s="387"/>
      <c r="G76" s="388">
        <v>100</v>
      </c>
      <c r="H76" s="388"/>
      <c r="I76" s="388"/>
      <c r="J76" s="389">
        <f t="shared" si="18"/>
        <v>100</v>
      </c>
      <c r="K76" s="387"/>
      <c r="L76" s="388">
        <v>25</v>
      </c>
      <c r="M76" s="388"/>
      <c r="N76" s="388"/>
      <c r="O76" s="388">
        <v>75</v>
      </c>
      <c r="P76" s="388"/>
      <c r="Q76" s="388"/>
      <c r="R76" s="389">
        <f t="shared" si="19"/>
        <v>100</v>
      </c>
      <c r="S76" s="387"/>
      <c r="T76" s="388">
        <v>25</v>
      </c>
      <c r="U76" s="388"/>
      <c r="V76" s="388">
        <v>75</v>
      </c>
      <c r="W76" s="388"/>
      <c r="X76" s="388"/>
      <c r="Y76" s="389">
        <f t="shared" si="20"/>
        <v>100</v>
      </c>
    </row>
    <row r="77" spans="1:25" s="58" customFormat="1" x14ac:dyDescent="0.25">
      <c r="A77" s="388" t="s">
        <v>2536</v>
      </c>
      <c r="B77" s="388" t="str">
        <f>VLOOKUP(A77,TaskValues_ref!E:F,2,FALSE)</f>
        <v>Anaemia severe children</v>
      </c>
      <c r="C77" s="388">
        <v>100</v>
      </c>
      <c r="D77" s="388"/>
      <c r="E77" s="389">
        <f t="shared" si="14"/>
        <v>100</v>
      </c>
      <c r="F77" s="387"/>
      <c r="G77" s="388">
        <v>100</v>
      </c>
      <c r="H77" s="388"/>
      <c r="I77" s="388"/>
      <c r="J77" s="389">
        <f t="shared" si="18"/>
        <v>100</v>
      </c>
      <c r="K77" s="387"/>
      <c r="L77" s="388">
        <v>25</v>
      </c>
      <c r="M77" s="388"/>
      <c r="N77" s="388"/>
      <c r="O77" s="388">
        <v>75</v>
      </c>
      <c r="P77" s="388"/>
      <c r="Q77" s="388"/>
      <c r="R77" s="389">
        <f t="shared" si="19"/>
        <v>100</v>
      </c>
      <c r="S77" s="387"/>
      <c r="T77" s="388">
        <v>25</v>
      </c>
      <c r="U77" s="388"/>
      <c r="V77" s="388">
        <v>75</v>
      </c>
      <c r="W77" s="388"/>
      <c r="X77" s="388"/>
      <c r="Y77" s="389">
        <f t="shared" si="20"/>
        <v>100</v>
      </c>
    </row>
    <row r="78" spans="1:25" s="58" customFormat="1" x14ac:dyDescent="0.25">
      <c r="A78" s="388" t="s">
        <v>2537</v>
      </c>
      <c r="B78" s="388" t="str">
        <f>VLOOKUP(A78,TaskValues_ref!E:F,2,FALSE)</f>
        <v>Anaemia severe adults</v>
      </c>
      <c r="C78" s="388">
        <v>100</v>
      </c>
      <c r="D78" s="388"/>
      <c r="E78" s="389">
        <f t="shared" si="14"/>
        <v>100</v>
      </c>
      <c r="F78" s="387"/>
      <c r="G78" s="388">
        <v>100</v>
      </c>
      <c r="H78" s="388"/>
      <c r="I78" s="388"/>
      <c r="J78" s="389">
        <f t="shared" si="18"/>
        <v>100</v>
      </c>
      <c r="K78" s="387"/>
      <c r="L78" s="388">
        <v>25</v>
      </c>
      <c r="M78" s="388"/>
      <c r="N78" s="388"/>
      <c r="O78" s="388">
        <v>75</v>
      </c>
      <c r="P78" s="388"/>
      <c r="Q78" s="388"/>
      <c r="R78" s="389">
        <f t="shared" si="19"/>
        <v>100</v>
      </c>
      <c r="S78" s="387"/>
      <c r="T78" s="388">
        <v>25</v>
      </c>
      <c r="U78" s="388"/>
      <c r="V78" s="388">
        <v>75</v>
      </c>
      <c r="W78" s="388"/>
      <c r="X78" s="388"/>
      <c r="Y78" s="389">
        <f t="shared" si="20"/>
        <v>100</v>
      </c>
    </row>
    <row r="79" spans="1:25" x14ac:dyDescent="0.25">
      <c r="A79" s="319" t="s">
        <v>2674</v>
      </c>
      <c r="B79" s="319" t="str">
        <f>VLOOKUP(A79,TaskValues_ref!E:F,2,FALSE)</f>
        <v>Promote nutrition for MNC</v>
      </c>
      <c r="C79" s="388">
        <v>100</v>
      </c>
      <c r="D79" s="388"/>
      <c r="E79" s="389">
        <f t="shared" si="14"/>
        <v>100</v>
      </c>
      <c r="F79" s="387"/>
      <c r="G79" s="388"/>
      <c r="H79" s="388">
        <v>100</v>
      </c>
      <c r="I79" s="388"/>
      <c r="J79" s="389">
        <f t="shared" si="18"/>
        <v>100</v>
      </c>
      <c r="K79" s="387"/>
      <c r="L79" s="388"/>
      <c r="M79" s="388">
        <v>50</v>
      </c>
      <c r="N79" s="388">
        <v>50</v>
      </c>
      <c r="O79" s="388"/>
      <c r="P79" s="388"/>
      <c r="Q79" s="388"/>
      <c r="R79" s="389">
        <f t="shared" si="19"/>
        <v>100</v>
      </c>
      <c r="S79" s="387"/>
      <c r="T79" s="388"/>
      <c r="U79" s="388">
        <v>100</v>
      </c>
      <c r="V79" s="388"/>
      <c r="W79" s="388"/>
      <c r="X79" s="388"/>
      <c r="Y79" s="389">
        <f t="shared" si="20"/>
        <v>100</v>
      </c>
    </row>
    <row r="80" spans="1:25" x14ac:dyDescent="0.25">
      <c r="A80" s="319" t="s">
        <v>2675</v>
      </c>
      <c r="B80" s="319" t="str">
        <f>VLOOKUP(A80,TaskValues_ref!E:F,2,FALSE)</f>
        <v>Education re nutrition</v>
      </c>
      <c r="C80" s="388">
        <v>100</v>
      </c>
      <c r="D80" s="388"/>
      <c r="E80" s="389">
        <f t="shared" si="14"/>
        <v>100</v>
      </c>
      <c r="F80" s="387"/>
      <c r="G80" s="388"/>
      <c r="H80" s="388">
        <v>100</v>
      </c>
      <c r="I80" s="388"/>
      <c r="J80" s="389">
        <f t="shared" si="18"/>
        <v>100</v>
      </c>
      <c r="K80" s="387"/>
      <c r="L80" s="388"/>
      <c r="M80" s="388">
        <v>50</v>
      </c>
      <c r="N80" s="388">
        <v>50</v>
      </c>
      <c r="O80" s="388"/>
      <c r="P80" s="388"/>
      <c r="Q80" s="388"/>
      <c r="R80" s="389">
        <f t="shared" si="19"/>
        <v>100</v>
      </c>
      <c r="S80" s="387"/>
      <c r="T80" s="388"/>
      <c r="U80" s="388">
        <v>100</v>
      </c>
      <c r="V80" s="388"/>
      <c r="W80" s="388"/>
      <c r="X80" s="388"/>
      <c r="Y80" s="389">
        <f t="shared" si="20"/>
        <v>100</v>
      </c>
    </row>
    <row r="81" spans="1:25" x14ac:dyDescent="0.25">
      <c r="A81" s="319" t="s">
        <v>2676</v>
      </c>
      <c r="B81" s="319" t="str">
        <f>VLOOKUP(A81,TaskValues_ref!E:F,2,FALSE)</f>
        <v>Calcium supplementation</v>
      </c>
      <c r="C81" s="388">
        <v>100</v>
      </c>
      <c r="D81" s="388"/>
      <c r="E81" s="389">
        <f t="shared" si="14"/>
        <v>100</v>
      </c>
      <c r="F81" s="387"/>
      <c r="G81" s="388"/>
      <c r="H81" s="388">
        <v>100</v>
      </c>
      <c r="I81" s="388"/>
      <c r="J81" s="389">
        <f t="shared" ref="J81:J82" si="25">SUM(F81:I81)</f>
        <v>100</v>
      </c>
      <c r="K81" s="387"/>
      <c r="L81" s="388"/>
      <c r="M81" s="388">
        <v>50</v>
      </c>
      <c r="N81" s="388">
        <v>50</v>
      </c>
      <c r="O81" s="388"/>
      <c r="P81" s="388"/>
      <c r="Q81" s="388"/>
      <c r="R81" s="389">
        <f t="shared" ref="R81:R82" si="26">SUM(K81:Q81)</f>
        <v>100</v>
      </c>
      <c r="S81" s="387"/>
      <c r="T81" s="388"/>
      <c r="U81" s="388">
        <v>100</v>
      </c>
      <c r="V81" s="388"/>
      <c r="W81" s="388"/>
      <c r="X81" s="388"/>
      <c r="Y81" s="389">
        <f t="shared" ref="Y81:Y82" si="27">SUM(S81:X81)</f>
        <v>100</v>
      </c>
    </row>
    <row r="82" spans="1:25" x14ac:dyDescent="0.25">
      <c r="A82" s="319" t="s">
        <v>2677</v>
      </c>
      <c r="B82" s="319" t="str">
        <f>VLOOKUP(A82,TaskValues_ref!E:F,2,FALSE)</f>
        <v>Nutrition for HIV+ women</v>
      </c>
      <c r="C82" s="388">
        <v>100</v>
      </c>
      <c r="D82" s="388"/>
      <c r="E82" s="389">
        <f t="shared" si="14"/>
        <v>100</v>
      </c>
      <c r="F82" s="387"/>
      <c r="G82" s="388"/>
      <c r="H82" s="388">
        <v>100</v>
      </c>
      <c r="I82" s="388"/>
      <c r="J82" s="389">
        <f t="shared" si="25"/>
        <v>100</v>
      </c>
      <c r="K82" s="387"/>
      <c r="L82" s="388"/>
      <c r="M82" s="388">
        <v>50</v>
      </c>
      <c r="N82" s="388">
        <v>50</v>
      </c>
      <c r="O82" s="388"/>
      <c r="P82" s="388"/>
      <c r="Q82" s="388"/>
      <c r="R82" s="389">
        <f t="shared" si="26"/>
        <v>100</v>
      </c>
      <c r="S82" s="387"/>
      <c r="T82" s="388"/>
      <c r="U82" s="388">
        <v>100</v>
      </c>
      <c r="V82" s="388"/>
      <c r="W82" s="388"/>
      <c r="X82" s="388"/>
      <c r="Y82" s="389">
        <f t="shared" si="27"/>
        <v>100</v>
      </c>
    </row>
    <row r="83" spans="1:25" x14ac:dyDescent="0.25">
      <c r="A83" s="266" t="s">
        <v>2678</v>
      </c>
      <c r="B83" s="319" t="str">
        <f>VLOOKUP(A83,TaskValues_ref!E:F,2,FALSE)</f>
        <v>Promote iodized salt &amp; fortified food</v>
      </c>
      <c r="C83" s="388">
        <v>100</v>
      </c>
      <c r="D83" s="388"/>
      <c r="E83" s="389">
        <f t="shared" si="14"/>
        <v>100</v>
      </c>
      <c r="F83" s="387"/>
      <c r="G83" s="388"/>
      <c r="H83" s="388">
        <v>100</v>
      </c>
      <c r="I83" s="388"/>
      <c r="J83" s="389">
        <f t="shared" si="18"/>
        <v>100</v>
      </c>
      <c r="K83" s="387"/>
      <c r="L83" s="388"/>
      <c r="M83" s="388">
        <v>50</v>
      </c>
      <c r="N83" s="388">
        <v>50</v>
      </c>
      <c r="O83" s="388"/>
      <c r="P83" s="388"/>
      <c r="Q83" s="388"/>
      <c r="R83" s="389">
        <f t="shared" si="19"/>
        <v>100</v>
      </c>
      <c r="S83" s="387"/>
      <c r="T83" s="388"/>
      <c r="U83" s="388">
        <v>100</v>
      </c>
      <c r="V83" s="388"/>
      <c r="W83" s="388"/>
      <c r="X83" s="388"/>
      <c r="Y83" s="389">
        <f t="shared" si="20"/>
        <v>100</v>
      </c>
    </row>
    <row r="84" spans="1:25" x14ac:dyDescent="0.25">
      <c r="A84" s="266" t="s">
        <v>2679</v>
      </c>
      <c r="B84" s="319" t="str">
        <f>VLOOKUP(A84,TaskValues_ref!E:F,2,FALSE)</f>
        <v>Nutrition outreach</v>
      </c>
      <c r="C84" s="388">
        <v>100</v>
      </c>
      <c r="D84" s="388"/>
      <c r="E84" s="389">
        <f t="shared" si="14"/>
        <v>100</v>
      </c>
      <c r="F84" s="387"/>
      <c r="G84" s="388"/>
      <c r="H84" s="388">
        <v>100</v>
      </c>
      <c r="I84" s="388"/>
      <c r="J84" s="389">
        <f t="shared" si="18"/>
        <v>100</v>
      </c>
      <c r="K84" s="387"/>
      <c r="L84" s="388"/>
      <c r="M84" s="388">
        <v>50</v>
      </c>
      <c r="N84" s="388">
        <v>50</v>
      </c>
      <c r="O84" s="388"/>
      <c r="P84" s="388"/>
      <c r="Q84" s="388"/>
      <c r="R84" s="389">
        <f t="shared" si="19"/>
        <v>100</v>
      </c>
      <c r="S84" s="387"/>
      <c r="T84" s="388"/>
      <c r="U84" s="388">
        <v>100</v>
      </c>
      <c r="V84" s="388"/>
      <c r="W84" s="388"/>
      <c r="X84" s="388"/>
      <c r="Y84" s="389">
        <f t="shared" si="20"/>
        <v>100</v>
      </c>
    </row>
    <row r="85" spans="1:25" x14ac:dyDescent="0.25">
      <c r="A85" s="266" t="s">
        <v>2680</v>
      </c>
      <c r="B85" s="319" t="str">
        <f>VLOOKUP(A85,TaskValues_ref!E:F,2,FALSE)</f>
        <v>Promote gender equity &amp; empowerment</v>
      </c>
      <c r="C85" s="388">
        <v>100</v>
      </c>
      <c r="D85" s="388"/>
      <c r="E85" s="389">
        <f t="shared" si="14"/>
        <v>100</v>
      </c>
      <c r="F85" s="387"/>
      <c r="G85" s="388"/>
      <c r="H85" s="388">
        <v>100</v>
      </c>
      <c r="I85" s="388"/>
      <c r="J85" s="389">
        <f t="shared" si="18"/>
        <v>100</v>
      </c>
      <c r="K85" s="387"/>
      <c r="L85" s="388"/>
      <c r="M85" s="388">
        <v>50</v>
      </c>
      <c r="N85" s="388">
        <v>50</v>
      </c>
      <c r="O85" s="388"/>
      <c r="P85" s="388"/>
      <c r="Q85" s="388"/>
      <c r="R85" s="389">
        <f t="shared" si="19"/>
        <v>100</v>
      </c>
      <c r="S85" s="387"/>
      <c r="T85" s="388"/>
      <c r="U85" s="388">
        <v>100</v>
      </c>
      <c r="V85" s="388"/>
      <c r="W85" s="388"/>
      <c r="X85" s="388"/>
      <c r="Y85" s="389">
        <f t="shared" si="20"/>
        <v>100</v>
      </c>
    </row>
    <row r="86" spans="1:25" s="58" customFormat="1" x14ac:dyDescent="0.25">
      <c r="A86" s="388" t="s">
        <v>2681</v>
      </c>
      <c r="B86" s="388" t="str">
        <f>VLOOKUP(A86,TaskValues_ref!E:F,2,FALSE)</f>
        <v>Nutritional disaster response</v>
      </c>
      <c r="C86" s="388">
        <v>100</v>
      </c>
      <c r="D86" s="388"/>
      <c r="E86" s="389">
        <f t="shared" si="14"/>
        <v>100</v>
      </c>
      <c r="F86" s="387"/>
      <c r="G86" s="388">
        <v>75</v>
      </c>
      <c r="H86" s="388">
        <v>25</v>
      </c>
      <c r="I86" s="388"/>
      <c r="J86" s="389">
        <f t="shared" si="18"/>
        <v>100</v>
      </c>
      <c r="K86" s="387"/>
      <c r="L86" s="388">
        <v>25</v>
      </c>
      <c r="M86" s="388">
        <v>25</v>
      </c>
      <c r="N86" s="388">
        <v>25</v>
      </c>
      <c r="O86" s="388">
        <v>25</v>
      </c>
      <c r="P86" s="388"/>
      <c r="Q86" s="388"/>
      <c r="R86" s="389">
        <f t="shared" si="19"/>
        <v>100</v>
      </c>
      <c r="S86" s="387"/>
      <c r="T86" s="388">
        <v>25</v>
      </c>
      <c r="U86" s="388">
        <v>25</v>
      </c>
      <c r="V86" s="388">
        <v>50</v>
      </c>
      <c r="W86" s="388"/>
      <c r="X86" s="388"/>
      <c r="Y86" s="389">
        <f t="shared" si="20"/>
        <v>100</v>
      </c>
    </row>
    <row r="87" spans="1:25" s="58" customFormat="1" x14ac:dyDescent="0.25">
      <c r="A87" s="388" t="s">
        <v>2682</v>
      </c>
      <c r="B87" s="388" t="str">
        <f>VLOOKUP(A87,TaskValues_ref!E:F,2,FALSE)</f>
        <v>Multisectoral nutrition intervention</v>
      </c>
      <c r="C87" s="388">
        <v>100</v>
      </c>
      <c r="D87" s="388"/>
      <c r="E87" s="389">
        <f t="shared" si="14"/>
        <v>100</v>
      </c>
      <c r="F87" s="387"/>
      <c r="G87" s="388">
        <v>50</v>
      </c>
      <c r="H87" s="388">
        <v>50</v>
      </c>
      <c r="I87" s="388"/>
      <c r="J87" s="389">
        <f t="shared" si="18"/>
        <v>100</v>
      </c>
      <c r="K87" s="387"/>
      <c r="L87" s="388">
        <v>50</v>
      </c>
      <c r="M87" s="388">
        <v>25</v>
      </c>
      <c r="N87" s="388">
        <v>25</v>
      </c>
      <c r="O87" s="388"/>
      <c r="P87" s="388"/>
      <c r="Q87" s="388"/>
      <c r="R87" s="389">
        <f t="shared" si="19"/>
        <v>100</v>
      </c>
      <c r="S87" s="387"/>
      <c r="T87" s="388">
        <v>50</v>
      </c>
      <c r="U87" s="388">
        <v>50</v>
      </c>
      <c r="V87" s="388"/>
      <c r="W87" s="388"/>
      <c r="X87" s="388"/>
      <c r="Y87" s="389">
        <f t="shared" si="20"/>
        <v>100</v>
      </c>
    </row>
    <row r="88" spans="1:25" s="58" customFormat="1" x14ac:dyDescent="0.25">
      <c r="A88" s="388" t="s">
        <v>2683</v>
      </c>
      <c r="B88" s="388" t="str">
        <f>VLOOKUP(A88,TaskValues_ref!E:F,2,FALSE)</f>
        <v>Breast feeding technique</v>
      </c>
      <c r="C88" s="388">
        <v>100</v>
      </c>
      <c r="D88" s="388"/>
      <c r="E88" s="389">
        <f t="shared" si="14"/>
        <v>100</v>
      </c>
      <c r="F88" s="387">
        <v>50</v>
      </c>
      <c r="G88" s="388"/>
      <c r="H88" s="388">
        <v>50</v>
      </c>
      <c r="I88" s="388"/>
      <c r="J88" s="389">
        <f t="shared" si="18"/>
        <v>100</v>
      </c>
      <c r="K88" s="387">
        <v>50</v>
      </c>
      <c r="L88" s="388"/>
      <c r="M88" s="388">
        <v>25</v>
      </c>
      <c r="N88" s="388">
        <v>25</v>
      </c>
      <c r="O88" s="388"/>
      <c r="P88" s="388"/>
      <c r="Q88" s="388"/>
      <c r="R88" s="389">
        <f t="shared" si="19"/>
        <v>100</v>
      </c>
      <c r="S88" s="387">
        <v>50</v>
      </c>
      <c r="T88" s="388"/>
      <c r="U88" s="388">
        <v>50</v>
      </c>
      <c r="V88" s="388"/>
      <c r="W88" s="388"/>
      <c r="X88" s="388"/>
      <c r="Y88" s="389">
        <f t="shared" si="20"/>
        <v>100</v>
      </c>
    </row>
    <row r="89" spans="1:25" s="58" customFormat="1" x14ac:dyDescent="0.25">
      <c r="A89" s="388" t="s">
        <v>2684</v>
      </c>
      <c r="B89" s="388" t="str">
        <f>VLOOKUP(A89,TaskValues_ref!E:F,2,FALSE)</f>
        <v>Acute malnutrition</v>
      </c>
      <c r="C89" s="388">
        <v>100</v>
      </c>
      <c r="D89" s="388"/>
      <c r="E89" s="389">
        <f t="shared" si="14"/>
        <v>100</v>
      </c>
      <c r="F89" s="387"/>
      <c r="G89" s="388">
        <v>100</v>
      </c>
      <c r="H89" s="388"/>
      <c r="I89" s="388"/>
      <c r="J89" s="389">
        <f t="shared" si="18"/>
        <v>100</v>
      </c>
      <c r="K89" s="387"/>
      <c r="L89" s="388">
        <v>25</v>
      </c>
      <c r="M89" s="388"/>
      <c r="N89" s="388"/>
      <c r="O89" s="388">
        <v>75</v>
      </c>
      <c r="P89" s="388"/>
      <c r="Q89" s="388"/>
      <c r="R89" s="389">
        <f t="shared" si="19"/>
        <v>100</v>
      </c>
      <c r="S89" s="387"/>
      <c r="T89" s="388">
        <v>25</v>
      </c>
      <c r="U89" s="388"/>
      <c r="V89" s="388">
        <v>75</v>
      </c>
      <c r="W89" s="388"/>
      <c r="X89" s="388"/>
      <c r="Y89" s="389">
        <f t="shared" si="20"/>
        <v>100</v>
      </c>
    </row>
    <row r="90" spans="1:25" s="58" customFormat="1" x14ac:dyDescent="0.25">
      <c r="A90" s="388" t="s">
        <v>2685</v>
      </c>
      <c r="B90" s="388" t="str">
        <f>VLOOKUP(A90,TaskValues_ref!E:F,2,FALSE)</f>
        <v>Counsel complementary feeding</v>
      </c>
      <c r="C90" s="388">
        <v>100</v>
      </c>
      <c r="D90" s="388"/>
      <c r="E90" s="389">
        <f t="shared" si="14"/>
        <v>100</v>
      </c>
      <c r="F90" s="387">
        <v>50</v>
      </c>
      <c r="G90" s="388"/>
      <c r="H90" s="388">
        <v>50</v>
      </c>
      <c r="I90" s="388"/>
      <c r="J90" s="389">
        <f t="shared" si="18"/>
        <v>100</v>
      </c>
      <c r="K90" s="387">
        <v>50</v>
      </c>
      <c r="L90" s="388"/>
      <c r="M90" s="388">
        <v>25</v>
      </c>
      <c r="N90" s="388">
        <v>25</v>
      </c>
      <c r="O90" s="388"/>
      <c r="P90" s="388"/>
      <c r="Q90" s="388"/>
      <c r="R90" s="389">
        <f t="shared" si="19"/>
        <v>100</v>
      </c>
      <c r="S90" s="387">
        <v>50</v>
      </c>
      <c r="T90" s="388"/>
      <c r="U90" s="388">
        <v>50</v>
      </c>
      <c r="V90" s="388"/>
      <c r="W90" s="388"/>
      <c r="X90" s="388"/>
      <c r="Y90" s="389">
        <f t="shared" si="20"/>
        <v>100</v>
      </c>
    </row>
    <row r="91" spans="1:25" s="58" customFormat="1" x14ac:dyDescent="0.25">
      <c r="A91" s="388" t="s">
        <v>2686</v>
      </c>
      <c r="B91" s="388" t="str">
        <f>VLOOKUP(A91,TaskValues_ref!E:F,2,FALSE)</f>
        <v>Timely complementary feeding</v>
      </c>
      <c r="C91" s="388">
        <v>100</v>
      </c>
      <c r="D91" s="388"/>
      <c r="E91" s="389">
        <f t="shared" si="14"/>
        <v>100</v>
      </c>
      <c r="F91" s="387">
        <v>50</v>
      </c>
      <c r="G91" s="388"/>
      <c r="H91" s="388">
        <v>50</v>
      </c>
      <c r="I91" s="388"/>
      <c r="J91" s="389">
        <f t="shared" si="18"/>
        <v>100</v>
      </c>
      <c r="K91" s="387">
        <v>50</v>
      </c>
      <c r="L91" s="388"/>
      <c r="M91" s="388">
        <v>25</v>
      </c>
      <c r="N91" s="388">
        <v>25</v>
      </c>
      <c r="O91" s="388"/>
      <c r="P91" s="388"/>
      <c r="Q91" s="388"/>
      <c r="R91" s="389">
        <f t="shared" si="19"/>
        <v>100</v>
      </c>
      <c r="S91" s="387">
        <v>50</v>
      </c>
      <c r="T91" s="388"/>
      <c r="U91" s="388">
        <v>50</v>
      </c>
      <c r="V91" s="388"/>
      <c r="W91" s="388"/>
      <c r="X91" s="388"/>
      <c r="Y91" s="389">
        <f t="shared" si="20"/>
        <v>100</v>
      </c>
    </row>
    <row r="92" spans="1:25" s="58" customFormat="1" x14ac:dyDescent="0.25">
      <c r="A92" s="388" t="s">
        <v>2687</v>
      </c>
      <c r="B92" s="388" t="str">
        <f>VLOOKUP(A92,TaskValues_ref!E:F,2,FALSE)</f>
        <v>Promote BF until 24 months</v>
      </c>
      <c r="C92" s="388">
        <v>100</v>
      </c>
      <c r="D92" s="388"/>
      <c r="E92" s="389">
        <f t="shared" si="14"/>
        <v>100</v>
      </c>
      <c r="F92" s="387">
        <v>50</v>
      </c>
      <c r="G92" s="388"/>
      <c r="H92" s="388">
        <v>50</v>
      </c>
      <c r="I92" s="388"/>
      <c r="J92" s="389">
        <f t="shared" si="18"/>
        <v>100</v>
      </c>
      <c r="K92" s="387">
        <v>50</v>
      </c>
      <c r="L92" s="388"/>
      <c r="M92" s="388">
        <v>25</v>
      </c>
      <c r="N92" s="388">
        <v>25</v>
      </c>
      <c r="O92" s="388"/>
      <c r="P92" s="388"/>
      <c r="Q92" s="388"/>
      <c r="R92" s="389">
        <f t="shared" si="19"/>
        <v>100</v>
      </c>
      <c r="S92" s="387">
        <v>50</v>
      </c>
      <c r="T92" s="388"/>
      <c r="U92" s="388">
        <v>50</v>
      </c>
      <c r="V92" s="388"/>
      <c r="W92" s="388"/>
      <c r="X92" s="388"/>
      <c r="Y92" s="389">
        <f t="shared" si="20"/>
        <v>100</v>
      </c>
    </row>
    <row r="93" spans="1:25" s="58" customFormat="1" x14ac:dyDescent="0.25">
      <c r="A93" s="388" t="s">
        <v>2688</v>
      </c>
      <c r="B93" s="388" t="str">
        <f>VLOOKUP(A93,TaskValues_ref!E:F,2,FALSE)</f>
        <v>Promote BF during child illness</v>
      </c>
      <c r="C93" s="388">
        <v>100</v>
      </c>
      <c r="D93" s="388"/>
      <c r="E93" s="389">
        <f t="shared" si="14"/>
        <v>100</v>
      </c>
      <c r="F93" s="387">
        <v>50</v>
      </c>
      <c r="G93" s="388"/>
      <c r="H93" s="388">
        <v>50</v>
      </c>
      <c r="I93" s="388"/>
      <c r="J93" s="389">
        <f t="shared" si="18"/>
        <v>100</v>
      </c>
      <c r="K93" s="387">
        <v>50</v>
      </c>
      <c r="L93" s="388"/>
      <c r="M93" s="388">
        <v>25</v>
      </c>
      <c r="N93" s="388">
        <v>25</v>
      </c>
      <c r="O93" s="388"/>
      <c r="P93" s="388"/>
      <c r="Q93" s="388"/>
      <c r="R93" s="389">
        <f t="shared" si="19"/>
        <v>100</v>
      </c>
      <c r="S93" s="387">
        <v>50</v>
      </c>
      <c r="T93" s="388"/>
      <c r="U93" s="388">
        <v>50</v>
      </c>
      <c r="V93" s="388"/>
      <c r="W93" s="388"/>
      <c r="X93" s="388"/>
      <c r="Y93" s="389">
        <f t="shared" si="20"/>
        <v>100</v>
      </c>
    </row>
    <row r="94" spans="1:25" x14ac:dyDescent="0.25">
      <c r="A94" s="319" t="s">
        <v>2689</v>
      </c>
      <c r="B94" s="319" t="str">
        <f>VLOOKUP(A94,TaskValues_ref!E:F,2,FALSE)</f>
        <v>Educate on complementary foods</v>
      </c>
      <c r="C94" s="388">
        <v>100</v>
      </c>
      <c r="D94" s="388"/>
      <c r="E94" s="389">
        <f t="shared" si="14"/>
        <v>100</v>
      </c>
      <c r="F94" s="387"/>
      <c r="G94" s="388"/>
      <c r="H94" s="388">
        <v>100</v>
      </c>
      <c r="I94" s="388"/>
      <c r="J94" s="389">
        <f t="shared" si="18"/>
        <v>100</v>
      </c>
      <c r="K94" s="387"/>
      <c r="L94" s="388"/>
      <c r="M94" s="388">
        <v>50</v>
      </c>
      <c r="N94" s="388">
        <v>50</v>
      </c>
      <c r="O94" s="388"/>
      <c r="P94" s="388"/>
      <c r="Q94" s="388"/>
      <c r="R94" s="389">
        <f t="shared" si="19"/>
        <v>100</v>
      </c>
      <c r="S94" s="387"/>
      <c r="T94" s="388"/>
      <c r="U94" s="388">
        <v>100</v>
      </c>
      <c r="V94" s="388"/>
      <c r="W94" s="388"/>
      <c r="X94" s="388"/>
      <c r="Y94" s="389">
        <f t="shared" si="20"/>
        <v>100</v>
      </c>
    </row>
    <row r="95" spans="1:25" x14ac:dyDescent="0.25">
      <c r="A95" s="319" t="s">
        <v>2690</v>
      </c>
      <c r="B95" s="319" t="str">
        <f>VLOOKUP(A95,TaskValues_ref!E:F,2,FALSE)</f>
        <v>Nutrition education for children</v>
      </c>
      <c r="C95" s="388">
        <v>100</v>
      </c>
      <c r="D95" s="388"/>
      <c r="E95" s="389">
        <f t="shared" si="14"/>
        <v>100</v>
      </c>
      <c r="F95" s="387"/>
      <c r="G95" s="388"/>
      <c r="H95" s="388">
        <v>100</v>
      </c>
      <c r="I95" s="388"/>
      <c r="J95" s="389">
        <f t="shared" si="18"/>
        <v>100</v>
      </c>
      <c r="K95" s="387"/>
      <c r="L95" s="388"/>
      <c r="M95" s="388">
        <v>50</v>
      </c>
      <c r="N95" s="388">
        <v>50</v>
      </c>
      <c r="O95" s="388"/>
      <c r="P95" s="388"/>
      <c r="Q95" s="388"/>
      <c r="R95" s="389">
        <f t="shared" si="19"/>
        <v>100</v>
      </c>
      <c r="S95" s="387"/>
      <c r="T95" s="388"/>
      <c r="U95" s="388">
        <v>100</v>
      </c>
      <c r="V95" s="388"/>
      <c r="W95" s="388"/>
      <c r="X95" s="388"/>
      <c r="Y95" s="389">
        <f t="shared" si="20"/>
        <v>100</v>
      </c>
    </row>
    <row r="96" spans="1:25" s="58" customFormat="1" x14ac:dyDescent="0.25">
      <c r="A96" s="388" t="s">
        <v>2546</v>
      </c>
      <c r="B96" s="388" t="str">
        <f>VLOOKUP(A96,TaskValues_ref!E:F,2,FALSE)</f>
        <v>STI management, women</v>
      </c>
      <c r="C96" s="388">
        <v>100</v>
      </c>
      <c r="D96" s="388"/>
      <c r="E96" s="389">
        <f t="shared" si="14"/>
        <v>100</v>
      </c>
      <c r="F96" s="387">
        <v>100</v>
      </c>
      <c r="G96" s="388"/>
      <c r="H96" s="388"/>
      <c r="I96" s="388"/>
      <c r="J96" s="389">
        <f t="shared" si="18"/>
        <v>100</v>
      </c>
      <c r="K96" s="387">
        <v>100</v>
      </c>
      <c r="L96" s="388"/>
      <c r="M96" s="388"/>
      <c r="N96" s="388"/>
      <c r="O96" s="388"/>
      <c r="P96" s="388"/>
      <c r="Q96" s="388"/>
      <c r="R96" s="389">
        <f t="shared" si="19"/>
        <v>100</v>
      </c>
      <c r="S96" s="387">
        <v>100</v>
      </c>
      <c r="T96" s="388"/>
      <c r="U96" s="388"/>
      <c r="V96" s="388"/>
      <c r="W96" s="388"/>
      <c r="X96" s="388"/>
      <c r="Y96" s="389">
        <f t="shared" si="20"/>
        <v>100</v>
      </c>
    </row>
    <row r="97" spans="1:25" s="58" customFormat="1" x14ac:dyDescent="0.25">
      <c r="A97" s="388" t="s">
        <v>2547</v>
      </c>
      <c r="B97" s="388" t="str">
        <f>VLOOKUP(A97,TaskValues_ref!E:F,2,FALSE)</f>
        <v>STI management, men</v>
      </c>
      <c r="C97" s="388">
        <v>100</v>
      </c>
      <c r="D97" s="388"/>
      <c r="E97" s="389">
        <f t="shared" si="14"/>
        <v>100</v>
      </c>
      <c r="F97" s="387">
        <v>100</v>
      </c>
      <c r="G97" s="388"/>
      <c r="H97" s="388"/>
      <c r="I97" s="388"/>
      <c r="J97" s="389">
        <f t="shared" si="18"/>
        <v>100</v>
      </c>
      <c r="K97" s="387">
        <v>100</v>
      </c>
      <c r="L97" s="388"/>
      <c r="M97" s="388"/>
      <c r="N97" s="388"/>
      <c r="O97" s="388"/>
      <c r="P97" s="388"/>
      <c r="Q97" s="388"/>
      <c r="R97" s="389">
        <f t="shared" si="19"/>
        <v>100</v>
      </c>
      <c r="S97" s="387">
        <v>100</v>
      </c>
      <c r="T97" s="388"/>
      <c r="U97" s="388"/>
      <c r="V97" s="388"/>
      <c r="W97" s="388"/>
      <c r="X97" s="388"/>
      <c r="Y97" s="389">
        <f t="shared" si="20"/>
        <v>100</v>
      </c>
    </row>
    <row r="98" spans="1:25" s="58" customFormat="1" x14ac:dyDescent="0.25">
      <c r="A98" s="388" t="s">
        <v>2691</v>
      </c>
      <c r="B98" s="388" t="str">
        <f>VLOOKUP(A98,TaskValues_ref!E:F,2,FALSE)</f>
        <v>STI prevention for sex workers</v>
      </c>
      <c r="C98" s="388">
        <v>100</v>
      </c>
      <c r="D98" s="388"/>
      <c r="E98" s="389">
        <f t="shared" ref="E98:E129" si="28">SUM(C98:D98)</f>
        <v>100</v>
      </c>
      <c r="F98" s="387">
        <v>100</v>
      </c>
      <c r="G98" s="388"/>
      <c r="H98" s="388"/>
      <c r="I98" s="388"/>
      <c r="J98" s="389">
        <f t="shared" si="18"/>
        <v>100</v>
      </c>
      <c r="K98" s="387">
        <v>100</v>
      </c>
      <c r="L98" s="388"/>
      <c r="M98" s="388"/>
      <c r="N98" s="388"/>
      <c r="O98" s="388"/>
      <c r="P98" s="388"/>
      <c r="Q98" s="388"/>
      <c r="R98" s="389">
        <f t="shared" si="19"/>
        <v>100</v>
      </c>
      <c r="S98" s="387">
        <v>100</v>
      </c>
      <c r="T98" s="388"/>
      <c r="U98" s="388"/>
      <c r="V98" s="388"/>
      <c r="W98" s="388"/>
      <c r="X98" s="388"/>
      <c r="Y98" s="389">
        <f t="shared" si="20"/>
        <v>100</v>
      </c>
    </row>
    <row r="99" spans="1:25" s="58" customFormat="1" x14ac:dyDescent="0.25">
      <c r="A99" s="388" t="s">
        <v>2692</v>
      </c>
      <c r="B99" s="388" t="str">
        <f>VLOOKUP(A99,TaskValues_ref!E:F,2,FALSE)</f>
        <v>Risk reduction</v>
      </c>
      <c r="C99" s="388">
        <v>100</v>
      </c>
      <c r="D99" s="388"/>
      <c r="E99" s="389">
        <f t="shared" si="28"/>
        <v>100</v>
      </c>
      <c r="F99" s="387">
        <v>100</v>
      </c>
      <c r="G99" s="388"/>
      <c r="H99" s="388"/>
      <c r="I99" s="388"/>
      <c r="J99" s="389">
        <f t="shared" si="18"/>
        <v>100</v>
      </c>
      <c r="K99" s="387">
        <v>100</v>
      </c>
      <c r="L99" s="388"/>
      <c r="M99" s="388"/>
      <c r="N99" s="388"/>
      <c r="O99" s="388"/>
      <c r="P99" s="388"/>
      <c r="Q99" s="388"/>
      <c r="R99" s="389">
        <f t="shared" si="19"/>
        <v>100</v>
      </c>
      <c r="S99" s="387">
        <v>100</v>
      </c>
      <c r="T99" s="388"/>
      <c r="U99" s="388"/>
      <c r="V99" s="388"/>
      <c r="W99" s="388"/>
      <c r="X99" s="388"/>
      <c r="Y99" s="389">
        <f t="shared" si="20"/>
        <v>100</v>
      </c>
    </row>
    <row r="100" spans="1:25" s="58" customFormat="1" x14ac:dyDescent="0.25">
      <c r="A100" s="388" t="s">
        <v>2693</v>
      </c>
      <c r="B100" s="388" t="str">
        <f>VLOOKUP(A100,TaskValues_ref!E:F,2,FALSE)</f>
        <v>HIV self-testing</v>
      </c>
      <c r="C100" s="388">
        <v>100</v>
      </c>
      <c r="D100" s="388"/>
      <c r="E100" s="389">
        <f t="shared" si="28"/>
        <v>100</v>
      </c>
      <c r="F100" s="387">
        <v>50</v>
      </c>
      <c r="G100" s="388"/>
      <c r="H100" s="388">
        <v>50</v>
      </c>
      <c r="I100" s="388"/>
      <c r="J100" s="389">
        <f t="shared" si="18"/>
        <v>100</v>
      </c>
      <c r="K100" s="387">
        <v>50</v>
      </c>
      <c r="L100" s="388"/>
      <c r="M100" s="388"/>
      <c r="N100" s="388">
        <v>25</v>
      </c>
      <c r="O100" s="388">
        <v>25</v>
      </c>
      <c r="P100" s="388"/>
      <c r="Q100" s="388"/>
      <c r="R100" s="389">
        <f t="shared" si="19"/>
        <v>100</v>
      </c>
      <c r="S100" s="387">
        <v>50</v>
      </c>
      <c r="T100" s="388"/>
      <c r="U100" s="388"/>
      <c r="V100" s="388">
        <v>50</v>
      </c>
      <c r="W100" s="388"/>
      <c r="X100" s="388"/>
      <c r="Y100" s="389">
        <f t="shared" si="20"/>
        <v>100</v>
      </c>
    </row>
    <row r="101" spans="1:25" s="58" customFormat="1" x14ac:dyDescent="0.25">
      <c r="A101" s="388" t="s">
        <v>2694</v>
      </c>
      <c r="B101" s="388" t="str">
        <f>VLOOKUP(A101,TaskValues_ref!E:F,2,FALSE)</f>
        <v>HIV voluntary counseling &amp; testing</v>
      </c>
      <c r="C101" s="388">
        <v>100</v>
      </c>
      <c r="D101" s="388"/>
      <c r="E101" s="389">
        <f t="shared" si="28"/>
        <v>100</v>
      </c>
      <c r="F101" s="387">
        <v>50</v>
      </c>
      <c r="G101" s="388"/>
      <c r="H101" s="388">
        <v>50</v>
      </c>
      <c r="I101" s="388"/>
      <c r="J101" s="389">
        <f t="shared" si="18"/>
        <v>100</v>
      </c>
      <c r="K101" s="387">
        <v>50</v>
      </c>
      <c r="L101" s="388"/>
      <c r="M101" s="388"/>
      <c r="N101" s="388">
        <v>25</v>
      </c>
      <c r="O101" s="388">
        <v>25</v>
      </c>
      <c r="P101" s="388"/>
      <c r="Q101" s="388"/>
      <c r="R101" s="389">
        <f t="shared" si="19"/>
        <v>100</v>
      </c>
      <c r="S101" s="387">
        <v>50</v>
      </c>
      <c r="T101" s="388"/>
      <c r="U101" s="388"/>
      <c r="V101" s="388">
        <v>50</v>
      </c>
      <c r="W101" s="388"/>
      <c r="X101" s="388"/>
      <c r="Y101" s="389">
        <f t="shared" si="20"/>
        <v>100</v>
      </c>
    </row>
    <row r="102" spans="1:25" s="58" customFormat="1" x14ac:dyDescent="0.25">
      <c r="A102" s="388" t="s">
        <v>2695</v>
      </c>
      <c r="B102" s="388" t="str">
        <f>VLOOKUP(A102,TaskValues_ref!E:F,2,FALSE)</f>
        <v>HIV provider-initiated counseling &amp; testing</v>
      </c>
      <c r="C102" s="388">
        <v>100</v>
      </c>
      <c r="D102" s="388"/>
      <c r="E102" s="389">
        <f t="shared" si="28"/>
        <v>100</v>
      </c>
      <c r="F102" s="387">
        <v>50</v>
      </c>
      <c r="G102" s="388">
        <v>50</v>
      </c>
      <c r="H102" s="388"/>
      <c r="I102" s="388"/>
      <c r="J102" s="389">
        <f t="shared" si="18"/>
        <v>100</v>
      </c>
      <c r="K102" s="387">
        <v>50</v>
      </c>
      <c r="L102" s="388"/>
      <c r="M102" s="388"/>
      <c r="N102" s="388">
        <v>25</v>
      </c>
      <c r="O102" s="388">
        <v>25</v>
      </c>
      <c r="P102" s="388"/>
      <c r="Q102" s="388"/>
      <c r="R102" s="389">
        <f t="shared" si="19"/>
        <v>100</v>
      </c>
      <c r="S102" s="387">
        <v>50</v>
      </c>
      <c r="T102" s="388"/>
      <c r="U102" s="388"/>
      <c r="V102" s="388">
        <v>50</v>
      </c>
      <c r="W102" s="388"/>
      <c r="X102" s="388"/>
      <c r="Y102" s="389">
        <f t="shared" si="20"/>
        <v>100</v>
      </c>
    </row>
    <row r="103" spans="1:25" s="58" customFormat="1" x14ac:dyDescent="0.25">
      <c r="A103" s="388" t="s">
        <v>2696</v>
      </c>
      <c r="B103" s="388" t="str">
        <f>VLOOKUP(A103,TaskValues_ref!E:F,2,FALSE)</f>
        <v>HIV linkages</v>
      </c>
      <c r="C103" s="388">
        <v>100</v>
      </c>
      <c r="D103" s="388"/>
      <c r="E103" s="389">
        <f t="shared" si="28"/>
        <v>100</v>
      </c>
      <c r="F103" s="387">
        <v>50</v>
      </c>
      <c r="G103" s="388">
        <v>50</v>
      </c>
      <c r="H103" s="388"/>
      <c r="I103" s="388"/>
      <c r="J103" s="389">
        <f t="shared" si="18"/>
        <v>100</v>
      </c>
      <c r="K103" s="387">
        <v>50</v>
      </c>
      <c r="L103" s="388"/>
      <c r="M103" s="388"/>
      <c r="N103" s="388">
        <v>25</v>
      </c>
      <c r="O103" s="388">
        <v>25</v>
      </c>
      <c r="P103" s="388"/>
      <c r="Q103" s="388"/>
      <c r="R103" s="389">
        <f t="shared" si="19"/>
        <v>100</v>
      </c>
      <c r="S103" s="387">
        <v>50</v>
      </c>
      <c r="T103" s="388"/>
      <c r="U103" s="388"/>
      <c r="V103" s="388">
        <v>50</v>
      </c>
      <c r="W103" s="388"/>
      <c r="X103" s="388"/>
      <c r="Y103" s="389">
        <f t="shared" si="20"/>
        <v>100</v>
      </c>
    </row>
    <row r="104" spans="1:25" s="58" customFormat="1" x14ac:dyDescent="0.25">
      <c r="A104" s="388" t="s">
        <v>2697</v>
      </c>
      <c r="B104" s="388" t="str">
        <f>VLOOKUP(A104,TaskValues_ref!E:F,2,FALSE)</f>
        <v>Post-exposure prophylaxis</v>
      </c>
      <c r="C104" s="388">
        <v>100</v>
      </c>
      <c r="D104" s="388"/>
      <c r="E104" s="389">
        <f t="shared" si="28"/>
        <v>100</v>
      </c>
      <c r="F104" s="387">
        <v>50</v>
      </c>
      <c r="G104" s="388">
        <v>50</v>
      </c>
      <c r="H104" s="388"/>
      <c r="I104" s="388"/>
      <c r="J104" s="389">
        <f t="shared" si="18"/>
        <v>100</v>
      </c>
      <c r="K104" s="387">
        <v>50</v>
      </c>
      <c r="L104" s="388"/>
      <c r="M104" s="388"/>
      <c r="N104" s="388">
        <v>25</v>
      </c>
      <c r="O104" s="388">
        <v>25</v>
      </c>
      <c r="P104" s="388"/>
      <c r="Q104" s="388"/>
      <c r="R104" s="389">
        <f t="shared" si="19"/>
        <v>100</v>
      </c>
      <c r="S104" s="387">
        <v>50</v>
      </c>
      <c r="T104" s="388"/>
      <c r="U104" s="388"/>
      <c r="V104" s="388">
        <v>50</v>
      </c>
      <c r="W104" s="388"/>
      <c r="X104" s="388"/>
      <c r="Y104" s="389">
        <f t="shared" si="20"/>
        <v>100</v>
      </c>
    </row>
    <row r="105" spans="1:25" s="58" customFormat="1" x14ac:dyDescent="0.25">
      <c r="A105" s="388" t="s">
        <v>2698</v>
      </c>
      <c r="B105" s="388" t="str">
        <f>VLOOKUP(A105,TaskValues_ref!E:F,2,FALSE)</f>
        <v>ART refilling/adherence</v>
      </c>
      <c r="C105" s="388">
        <v>100</v>
      </c>
      <c r="D105" s="388"/>
      <c r="E105" s="389">
        <f t="shared" si="28"/>
        <v>100</v>
      </c>
      <c r="F105" s="387">
        <v>50</v>
      </c>
      <c r="G105" s="388">
        <v>50</v>
      </c>
      <c r="H105" s="388"/>
      <c r="I105" s="388"/>
      <c r="J105" s="389">
        <f t="shared" si="18"/>
        <v>100</v>
      </c>
      <c r="K105" s="387">
        <v>50</v>
      </c>
      <c r="L105" s="388"/>
      <c r="M105" s="388"/>
      <c r="N105" s="388">
        <v>25</v>
      </c>
      <c r="O105" s="388">
        <v>25</v>
      </c>
      <c r="P105" s="388"/>
      <c r="Q105" s="388"/>
      <c r="R105" s="389">
        <f t="shared" si="19"/>
        <v>100</v>
      </c>
      <c r="S105" s="387">
        <v>50</v>
      </c>
      <c r="T105" s="388"/>
      <c r="U105" s="388"/>
      <c r="V105" s="388">
        <v>50</v>
      </c>
      <c r="W105" s="388"/>
      <c r="X105" s="388"/>
      <c r="Y105" s="389">
        <f t="shared" si="20"/>
        <v>100</v>
      </c>
    </row>
    <row r="106" spans="1:25" s="58" customFormat="1" x14ac:dyDescent="0.25">
      <c r="A106" s="388" t="s">
        <v>2699</v>
      </c>
      <c r="B106" s="388" t="str">
        <f>VLOOKUP(A106,TaskValues_ref!E:F,2,FALSE)</f>
        <v>Vector control</v>
      </c>
      <c r="C106" s="388">
        <v>100</v>
      </c>
      <c r="D106" s="388"/>
      <c r="E106" s="389">
        <f t="shared" si="28"/>
        <v>100</v>
      </c>
      <c r="F106" s="387"/>
      <c r="G106" s="388"/>
      <c r="H106" s="388">
        <v>100</v>
      </c>
      <c r="I106" s="388"/>
      <c r="J106" s="389">
        <f t="shared" si="18"/>
        <v>100</v>
      </c>
      <c r="K106" s="387"/>
      <c r="L106" s="388"/>
      <c r="M106" s="388"/>
      <c r="N106" s="388"/>
      <c r="O106" s="388"/>
      <c r="P106" s="388">
        <v>100</v>
      </c>
      <c r="Q106" s="388"/>
      <c r="R106" s="389">
        <f t="shared" si="19"/>
        <v>100</v>
      </c>
      <c r="S106" s="387"/>
      <c r="T106" s="388"/>
      <c r="U106" s="388"/>
      <c r="V106" s="388"/>
      <c r="W106" s="388">
        <f t="shared" ref="W106:W142" si="29">M106+P106</f>
        <v>100</v>
      </c>
      <c r="X106" s="388"/>
      <c r="Y106" s="389">
        <f t="shared" si="20"/>
        <v>100</v>
      </c>
    </row>
    <row r="107" spans="1:25" s="58" customFormat="1" x14ac:dyDescent="0.25">
      <c r="A107" s="388" t="s">
        <v>2356</v>
      </c>
      <c r="B107" s="388" t="str">
        <f>VLOOKUP(A107,TaskValues_ref!E:F,2,FALSE)</f>
        <v>Uncomplicated malaria in adults</v>
      </c>
      <c r="C107" s="388">
        <v>100</v>
      </c>
      <c r="D107" s="388"/>
      <c r="E107" s="389">
        <f t="shared" si="28"/>
        <v>100</v>
      </c>
      <c r="F107" s="387"/>
      <c r="G107" s="388"/>
      <c r="H107" s="388">
        <v>100</v>
      </c>
      <c r="I107" s="388"/>
      <c r="J107" s="389">
        <f t="shared" si="18"/>
        <v>100</v>
      </c>
      <c r="K107" s="387"/>
      <c r="L107" s="388"/>
      <c r="M107" s="388">
        <v>50</v>
      </c>
      <c r="N107" s="388">
        <v>50</v>
      </c>
      <c r="O107" s="388"/>
      <c r="P107" s="388"/>
      <c r="Q107" s="388"/>
      <c r="R107" s="389">
        <f t="shared" si="19"/>
        <v>100</v>
      </c>
      <c r="S107" s="387"/>
      <c r="T107" s="388"/>
      <c r="U107" s="388">
        <v>100</v>
      </c>
      <c r="V107" s="388"/>
      <c r="W107" s="388"/>
      <c r="X107" s="388"/>
      <c r="Y107" s="389">
        <f t="shared" si="20"/>
        <v>100</v>
      </c>
    </row>
    <row r="108" spans="1:25" s="58" customFormat="1" x14ac:dyDescent="0.25">
      <c r="A108" s="388" t="s">
        <v>2357</v>
      </c>
      <c r="B108" s="388" t="str">
        <f>VLOOKUP(A108,TaskValues_ref!E:F,2,FALSE)</f>
        <v>Uncomplicated malaria in children</v>
      </c>
      <c r="C108" s="388">
        <v>100</v>
      </c>
      <c r="D108" s="388"/>
      <c r="E108" s="389">
        <f t="shared" si="28"/>
        <v>100</v>
      </c>
      <c r="F108" s="387"/>
      <c r="G108" s="388"/>
      <c r="H108" s="388">
        <v>100</v>
      </c>
      <c r="I108" s="388"/>
      <c r="J108" s="389">
        <f t="shared" si="18"/>
        <v>100</v>
      </c>
      <c r="K108" s="387"/>
      <c r="L108" s="388"/>
      <c r="M108" s="388">
        <v>50</v>
      </c>
      <c r="N108" s="388">
        <v>50</v>
      </c>
      <c r="O108" s="388"/>
      <c r="P108" s="388"/>
      <c r="Q108" s="388"/>
      <c r="R108" s="389">
        <f t="shared" si="19"/>
        <v>100</v>
      </c>
      <c r="S108" s="387"/>
      <c r="T108" s="388"/>
      <c r="U108" s="388">
        <v>100</v>
      </c>
      <c r="V108" s="388"/>
      <c r="W108" s="388"/>
      <c r="X108" s="388"/>
      <c r="Y108" s="389">
        <f t="shared" si="20"/>
        <v>100</v>
      </c>
    </row>
    <row r="109" spans="1:25" x14ac:dyDescent="0.25">
      <c r="A109" s="319" t="s">
        <v>2360</v>
      </c>
      <c r="B109" s="319" t="str">
        <f>VLOOKUP(A109,TaskValues_ref!E:F,2,FALSE)</f>
        <v>Testing non-malaria cases</v>
      </c>
      <c r="C109" s="388">
        <v>100</v>
      </c>
      <c r="D109" s="388"/>
      <c r="E109" s="389">
        <f t="shared" si="28"/>
        <v>100</v>
      </c>
      <c r="F109" s="387"/>
      <c r="G109" s="388"/>
      <c r="H109" s="388">
        <v>100</v>
      </c>
      <c r="I109" s="388"/>
      <c r="J109" s="389">
        <f t="shared" ref="J109" si="30">SUM(F109:I109)</f>
        <v>100</v>
      </c>
      <c r="K109" s="387"/>
      <c r="L109" s="388"/>
      <c r="M109" s="388">
        <v>50</v>
      </c>
      <c r="N109" s="388">
        <v>50</v>
      </c>
      <c r="O109" s="388"/>
      <c r="P109" s="388"/>
      <c r="Q109" s="388"/>
      <c r="R109" s="389">
        <f t="shared" ref="R109" si="31">SUM(K109:Q109)</f>
        <v>100</v>
      </c>
      <c r="S109" s="387"/>
      <c r="T109" s="388"/>
      <c r="U109" s="388">
        <v>100</v>
      </c>
      <c r="V109" s="388"/>
      <c r="W109" s="388"/>
      <c r="X109" s="388"/>
      <c r="Y109" s="389">
        <f t="shared" ref="Y109" si="32">SUM(S109:X109)</f>
        <v>100</v>
      </c>
    </row>
    <row r="110" spans="1:25" s="58" customFormat="1" x14ac:dyDescent="0.25">
      <c r="A110" s="388" t="s">
        <v>2358</v>
      </c>
      <c r="B110" s="388" t="str">
        <f>VLOOKUP(A110,TaskValues_ref!E:F,2,FALSE)</f>
        <v>Severe malaria in adults</v>
      </c>
      <c r="C110" s="388">
        <v>100</v>
      </c>
      <c r="D110" s="388"/>
      <c r="E110" s="389">
        <f t="shared" si="28"/>
        <v>100</v>
      </c>
      <c r="F110" s="387"/>
      <c r="G110" s="388">
        <v>100</v>
      </c>
      <c r="H110" s="388"/>
      <c r="I110" s="388"/>
      <c r="J110" s="389">
        <f t="shared" si="18"/>
        <v>100</v>
      </c>
      <c r="K110" s="387"/>
      <c r="L110" s="388">
        <v>50</v>
      </c>
      <c r="M110" s="388"/>
      <c r="N110" s="388"/>
      <c r="O110" s="388">
        <v>50</v>
      </c>
      <c r="P110" s="388"/>
      <c r="Q110" s="388"/>
      <c r="R110" s="389">
        <f t="shared" si="19"/>
        <v>100</v>
      </c>
      <c r="S110" s="387"/>
      <c r="T110" s="388">
        <v>50</v>
      </c>
      <c r="U110" s="388"/>
      <c r="V110" s="388">
        <v>50</v>
      </c>
      <c r="W110" s="388"/>
      <c r="X110" s="388"/>
      <c r="Y110" s="389">
        <f t="shared" si="20"/>
        <v>100</v>
      </c>
    </row>
    <row r="111" spans="1:25" s="58" customFormat="1" x14ac:dyDescent="0.25">
      <c r="A111" s="388" t="s">
        <v>2359</v>
      </c>
      <c r="B111" s="388" t="str">
        <f>VLOOKUP(A111,TaskValues_ref!E:F,2,FALSE)</f>
        <v>Severe malaria in children</v>
      </c>
      <c r="C111" s="388">
        <v>100</v>
      </c>
      <c r="D111" s="388"/>
      <c r="E111" s="389">
        <f t="shared" si="28"/>
        <v>100</v>
      </c>
      <c r="F111" s="387"/>
      <c r="G111" s="388">
        <v>100</v>
      </c>
      <c r="H111" s="388"/>
      <c r="I111" s="388"/>
      <c r="J111" s="389">
        <f t="shared" si="18"/>
        <v>100</v>
      </c>
      <c r="K111" s="387"/>
      <c r="L111" s="388">
        <v>50</v>
      </c>
      <c r="M111" s="388"/>
      <c r="N111" s="388"/>
      <c r="O111" s="388">
        <v>50</v>
      </c>
      <c r="P111" s="388"/>
      <c r="Q111" s="388"/>
      <c r="R111" s="389">
        <f t="shared" si="19"/>
        <v>100</v>
      </c>
      <c r="S111" s="387"/>
      <c r="T111" s="388">
        <v>50</v>
      </c>
      <c r="U111" s="388"/>
      <c r="V111" s="388">
        <v>50</v>
      </c>
      <c r="W111" s="388"/>
      <c r="X111" s="388"/>
      <c r="Y111" s="389">
        <f t="shared" si="20"/>
        <v>100</v>
      </c>
    </row>
    <row r="112" spans="1:25" s="58" customFormat="1" x14ac:dyDescent="0.25">
      <c r="A112" s="388" t="s">
        <v>2700</v>
      </c>
      <c r="B112" s="388" t="str">
        <f>VLOOKUP(A112,TaskValues_ref!E:F,2,FALSE)</f>
        <v>Malaria surveillance</v>
      </c>
      <c r="C112" s="388">
        <v>100</v>
      </c>
      <c r="D112" s="388"/>
      <c r="E112" s="389">
        <f t="shared" si="28"/>
        <v>100</v>
      </c>
      <c r="F112" s="387"/>
      <c r="G112" s="388"/>
      <c r="H112" s="388">
        <v>100</v>
      </c>
      <c r="I112" s="388"/>
      <c r="J112" s="389">
        <f t="shared" si="18"/>
        <v>100</v>
      </c>
      <c r="K112" s="387"/>
      <c r="L112" s="388"/>
      <c r="M112" s="388">
        <v>50</v>
      </c>
      <c r="N112" s="388">
        <v>50</v>
      </c>
      <c r="O112" s="388"/>
      <c r="P112" s="388"/>
      <c r="Q112" s="388"/>
      <c r="R112" s="389">
        <f t="shared" si="19"/>
        <v>100</v>
      </c>
      <c r="S112" s="387"/>
      <c r="T112" s="388"/>
      <c r="U112" s="388">
        <v>100</v>
      </c>
      <c r="V112" s="388"/>
      <c r="W112" s="388"/>
      <c r="X112" s="388"/>
      <c r="Y112" s="389">
        <f t="shared" si="20"/>
        <v>100</v>
      </c>
    </row>
    <row r="113" spans="1:25" x14ac:dyDescent="0.25">
      <c r="A113" s="319" t="s">
        <v>2701</v>
      </c>
      <c r="B113" s="319" t="str">
        <f>VLOOKUP(A113,TaskValues_ref!E:F,2,FALSE)</f>
        <v>Risk reduction</v>
      </c>
      <c r="C113" s="388">
        <v>100</v>
      </c>
      <c r="D113" s="388"/>
      <c r="E113" s="389">
        <f t="shared" si="28"/>
        <v>100</v>
      </c>
      <c r="F113" s="387"/>
      <c r="G113" s="388"/>
      <c r="H113" s="388">
        <v>100</v>
      </c>
      <c r="I113" s="388"/>
      <c r="J113" s="389">
        <f t="shared" ref="J113" si="33">SUM(F113:I113)</f>
        <v>100</v>
      </c>
      <c r="K113" s="387"/>
      <c r="L113" s="388"/>
      <c r="M113" s="388"/>
      <c r="N113" s="388"/>
      <c r="O113" s="388"/>
      <c r="P113" s="388">
        <v>100</v>
      </c>
      <c r="Q113" s="388"/>
      <c r="R113" s="389">
        <f t="shared" ref="R113" si="34">SUM(K113:Q113)</f>
        <v>100</v>
      </c>
      <c r="S113" s="387"/>
      <c r="T113" s="388"/>
      <c r="U113" s="388"/>
      <c r="V113" s="388"/>
      <c r="W113" s="388">
        <v>100</v>
      </c>
      <c r="X113" s="388"/>
      <c r="Y113" s="389">
        <f t="shared" ref="Y113" si="35">SUM(S113:X113)</f>
        <v>100</v>
      </c>
    </row>
    <row r="114" spans="1:25" x14ac:dyDescent="0.25">
      <c r="A114" s="319" t="s">
        <v>2702</v>
      </c>
      <c r="B114" s="319" t="str">
        <f>VLOOKUP(A114,TaskValues_ref!E:F,2,FALSE)</f>
        <v>Outbreak detection &amp; response</v>
      </c>
      <c r="C114" s="388">
        <v>100</v>
      </c>
      <c r="D114" s="388"/>
      <c r="E114" s="389">
        <f t="shared" si="28"/>
        <v>100</v>
      </c>
      <c r="F114" s="387"/>
      <c r="G114" s="388"/>
      <c r="H114" s="388">
        <v>100</v>
      </c>
      <c r="I114" s="388"/>
      <c r="J114" s="389">
        <f t="shared" ref="J114" si="36">SUM(F114:I114)</f>
        <v>100</v>
      </c>
      <c r="K114" s="387"/>
      <c r="L114" s="388"/>
      <c r="M114" s="388"/>
      <c r="N114" s="388"/>
      <c r="O114" s="388"/>
      <c r="P114" s="388">
        <v>100</v>
      </c>
      <c r="Q114" s="388"/>
      <c r="R114" s="389">
        <f t="shared" ref="R114" si="37">SUM(K114:Q114)</f>
        <v>100</v>
      </c>
      <c r="S114" s="387"/>
      <c r="T114" s="388"/>
      <c r="U114" s="388"/>
      <c r="V114" s="388"/>
      <c r="W114" s="388">
        <v>100</v>
      </c>
      <c r="X114" s="388"/>
      <c r="Y114" s="389">
        <f t="shared" ref="Y114" si="38">SUM(S114:X114)</f>
        <v>100</v>
      </c>
    </row>
    <row r="115" spans="1:25" s="58" customFormat="1" x14ac:dyDescent="0.25">
      <c r="A115" s="388" t="s">
        <v>2375</v>
      </c>
      <c r="B115" s="388" t="str">
        <f>VLOOKUP(A115,TaskValues_ref!E:F,2,FALSE)</f>
        <v>Testing</v>
      </c>
      <c r="C115" s="388">
        <v>100</v>
      </c>
      <c r="D115" s="388"/>
      <c r="E115" s="389">
        <f t="shared" si="28"/>
        <v>100</v>
      </c>
      <c r="F115" s="387"/>
      <c r="G115" s="390">
        <v>50</v>
      </c>
      <c r="H115" s="388">
        <v>50</v>
      </c>
      <c r="I115" s="388"/>
      <c r="J115" s="389">
        <f t="shared" si="18"/>
        <v>100</v>
      </c>
      <c r="K115" s="387"/>
      <c r="L115" s="390"/>
      <c r="M115" s="388"/>
      <c r="N115" s="388">
        <v>100</v>
      </c>
      <c r="O115" s="388"/>
      <c r="P115" s="388"/>
      <c r="Q115" s="388"/>
      <c r="R115" s="389">
        <f t="shared" si="19"/>
        <v>100</v>
      </c>
      <c r="S115" s="387"/>
      <c r="T115" s="390"/>
      <c r="U115" s="388">
        <v>100</v>
      </c>
      <c r="V115" s="388"/>
      <c r="W115" s="388">
        <f t="shared" si="29"/>
        <v>0</v>
      </c>
      <c r="X115" s="388"/>
      <c r="Y115" s="389">
        <f t="shared" si="20"/>
        <v>100</v>
      </c>
    </row>
    <row r="116" spans="1:25" s="58" customFormat="1" x14ac:dyDescent="0.25">
      <c r="A116" s="388" t="s">
        <v>2376</v>
      </c>
      <c r="B116" s="388" t="str">
        <f>VLOOKUP(A116,TaskValues_ref!E:F,2,FALSE)</f>
        <v>Follow-up and linkage for positives</v>
      </c>
      <c r="C116" s="388">
        <v>100</v>
      </c>
      <c r="D116" s="388"/>
      <c r="E116" s="389">
        <f t="shared" si="28"/>
        <v>100</v>
      </c>
      <c r="F116" s="387"/>
      <c r="G116" s="388"/>
      <c r="H116" s="388">
        <v>100</v>
      </c>
      <c r="I116" s="388"/>
      <c r="J116" s="389">
        <f t="shared" si="18"/>
        <v>100</v>
      </c>
      <c r="K116" s="387"/>
      <c r="L116" s="388"/>
      <c r="M116" s="388">
        <v>50</v>
      </c>
      <c r="N116" s="388">
        <v>50</v>
      </c>
      <c r="O116" s="388"/>
      <c r="P116" s="388"/>
      <c r="Q116" s="388"/>
      <c r="R116" s="389">
        <f t="shared" si="19"/>
        <v>100</v>
      </c>
      <c r="S116" s="387"/>
      <c r="T116" s="388"/>
      <c r="U116" s="388">
        <v>100</v>
      </c>
      <c r="V116" s="388"/>
      <c r="W116" s="388"/>
      <c r="X116" s="388"/>
      <c r="Y116" s="389">
        <f t="shared" si="20"/>
        <v>100</v>
      </c>
    </row>
    <row r="117" spans="1:25" x14ac:dyDescent="0.25">
      <c r="A117" s="319" t="s">
        <v>2703</v>
      </c>
      <c r="B117" s="319" t="str">
        <f>VLOOKUP(A117,TaskValues_ref!E:F,2,FALSE)</f>
        <v>Treatment (DOT)</v>
      </c>
      <c r="C117" s="388">
        <v>100</v>
      </c>
      <c r="D117" s="388"/>
      <c r="E117" s="389">
        <f t="shared" si="28"/>
        <v>100</v>
      </c>
      <c r="F117" s="387"/>
      <c r="G117" s="388"/>
      <c r="H117" s="388">
        <v>100</v>
      </c>
      <c r="I117" s="388"/>
      <c r="J117" s="389">
        <f t="shared" ref="J117:J118" si="39">SUM(F117:I117)</f>
        <v>100</v>
      </c>
      <c r="K117" s="387"/>
      <c r="L117" s="388"/>
      <c r="M117" s="388">
        <v>50</v>
      </c>
      <c r="N117" s="388">
        <v>50</v>
      </c>
      <c r="O117" s="388"/>
      <c r="P117" s="388"/>
      <c r="Q117" s="388"/>
      <c r="R117" s="389">
        <f t="shared" ref="R117:R118" si="40">SUM(K117:Q117)</f>
        <v>100</v>
      </c>
      <c r="S117" s="387"/>
      <c r="T117" s="388"/>
      <c r="U117" s="388">
        <v>100</v>
      </c>
      <c r="V117" s="388"/>
      <c r="W117" s="388"/>
      <c r="X117" s="388"/>
      <c r="Y117" s="389">
        <f t="shared" ref="Y117:Y118" si="41">SUM(S117:X117)</f>
        <v>100</v>
      </c>
    </row>
    <row r="118" spans="1:25" x14ac:dyDescent="0.25">
      <c r="A118" s="319" t="s">
        <v>2704</v>
      </c>
      <c r="B118" s="319" t="str">
        <f>VLOOKUP(A118,TaskValues_ref!E:F,2,FALSE)</f>
        <v>HIV prevention for TB patients</v>
      </c>
      <c r="C118" s="388">
        <v>100</v>
      </c>
      <c r="D118" s="388"/>
      <c r="E118" s="389">
        <f t="shared" si="28"/>
        <v>100</v>
      </c>
      <c r="F118" s="387"/>
      <c r="G118" s="388"/>
      <c r="H118" s="388">
        <v>100</v>
      </c>
      <c r="I118" s="388"/>
      <c r="J118" s="389">
        <f t="shared" si="39"/>
        <v>100</v>
      </c>
      <c r="K118" s="387"/>
      <c r="L118" s="388"/>
      <c r="M118" s="388">
        <v>50</v>
      </c>
      <c r="N118" s="388">
        <v>50</v>
      </c>
      <c r="O118" s="388"/>
      <c r="P118" s="388"/>
      <c r="Q118" s="388"/>
      <c r="R118" s="389">
        <f t="shared" si="40"/>
        <v>100</v>
      </c>
      <c r="S118" s="387"/>
      <c r="T118" s="388"/>
      <c r="U118" s="388">
        <v>100</v>
      </c>
      <c r="V118" s="388"/>
      <c r="W118" s="388"/>
      <c r="X118" s="388"/>
      <c r="Y118" s="389">
        <f t="shared" si="41"/>
        <v>100</v>
      </c>
    </row>
    <row r="119" spans="1:25" x14ac:dyDescent="0.25">
      <c r="A119" s="319" t="s">
        <v>2385</v>
      </c>
      <c r="B119" s="319" t="str">
        <f>VLOOKUP(A119,TaskValues_ref!E:F,2,FALSE)</f>
        <v>Promote protection from tobacco smoke</v>
      </c>
      <c r="C119" s="388">
        <v>100</v>
      </c>
      <c r="D119" s="388"/>
      <c r="E119" s="389">
        <f t="shared" si="28"/>
        <v>100</v>
      </c>
      <c r="F119" s="387"/>
      <c r="G119" s="388"/>
      <c r="H119" s="388">
        <v>100</v>
      </c>
      <c r="I119" s="388"/>
      <c r="J119" s="389">
        <f t="shared" si="18"/>
        <v>100</v>
      </c>
      <c r="K119" s="387"/>
      <c r="L119" s="388"/>
      <c r="M119" s="388">
        <v>50</v>
      </c>
      <c r="N119" s="388">
        <v>50</v>
      </c>
      <c r="O119" s="388"/>
      <c r="P119" s="388"/>
      <c r="Q119" s="388"/>
      <c r="R119" s="389">
        <f t="shared" si="19"/>
        <v>100</v>
      </c>
      <c r="S119" s="387"/>
      <c r="T119" s="388"/>
      <c r="U119" s="388">
        <v>100</v>
      </c>
      <c r="V119" s="388"/>
      <c r="W119" s="388"/>
      <c r="X119" s="388"/>
      <c r="Y119" s="389">
        <f t="shared" si="20"/>
        <v>100</v>
      </c>
    </row>
    <row r="120" spans="1:25" x14ac:dyDescent="0.25">
      <c r="A120" s="319" t="s">
        <v>2386</v>
      </c>
      <c r="B120" s="319" t="str">
        <f>VLOOKUP(A120,TaskValues_ref!E:F,2,FALSE)</f>
        <v>Campaigns re: alcohol use</v>
      </c>
      <c r="C120" s="388">
        <v>100</v>
      </c>
      <c r="D120" s="388"/>
      <c r="E120" s="389">
        <f t="shared" si="28"/>
        <v>100</v>
      </c>
      <c r="F120" s="387"/>
      <c r="G120" s="388"/>
      <c r="H120" s="388">
        <v>100</v>
      </c>
      <c r="I120" s="388"/>
      <c r="J120" s="389">
        <f t="shared" ref="J120:J122" si="42">SUM(F120:I120)</f>
        <v>100</v>
      </c>
      <c r="K120" s="387"/>
      <c r="L120" s="388"/>
      <c r="M120" s="388">
        <v>50</v>
      </c>
      <c r="N120" s="388">
        <v>50</v>
      </c>
      <c r="O120" s="388"/>
      <c r="P120" s="388"/>
      <c r="Q120" s="388"/>
      <c r="R120" s="389">
        <f t="shared" ref="R120:R122" si="43">SUM(K120:Q120)</f>
        <v>100</v>
      </c>
      <c r="S120" s="387"/>
      <c r="T120" s="388"/>
      <c r="U120" s="388">
        <v>100</v>
      </c>
      <c r="V120" s="388"/>
      <c r="W120" s="388"/>
      <c r="X120" s="388"/>
      <c r="Y120" s="389">
        <f t="shared" ref="Y120:Y122" si="44">SUM(S120:X120)</f>
        <v>100</v>
      </c>
    </row>
    <row r="121" spans="1:25" x14ac:dyDescent="0.25">
      <c r="A121" s="319" t="s">
        <v>2387</v>
      </c>
      <c r="B121" s="319" t="str">
        <f>VLOOKUP(A121,TaskValues_ref!E:F,2,FALSE)</f>
        <v>Community-level physical activity</v>
      </c>
      <c r="C121" s="388">
        <v>100</v>
      </c>
      <c r="D121" s="388"/>
      <c r="E121" s="389">
        <f t="shared" si="28"/>
        <v>100</v>
      </c>
      <c r="F121" s="387"/>
      <c r="G121" s="388"/>
      <c r="H121" s="388">
        <v>100</v>
      </c>
      <c r="I121" s="388"/>
      <c r="J121" s="389">
        <f t="shared" si="42"/>
        <v>100</v>
      </c>
      <c r="K121" s="387"/>
      <c r="L121" s="388"/>
      <c r="M121" s="388">
        <v>50</v>
      </c>
      <c r="N121" s="388">
        <v>50</v>
      </c>
      <c r="O121" s="388"/>
      <c r="P121" s="388"/>
      <c r="Q121" s="388"/>
      <c r="R121" s="389">
        <f t="shared" si="43"/>
        <v>100</v>
      </c>
      <c r="S121" s="387"/>
      <c r="T121" s="388"/>
      <c r="U121" s="388">
        <v>100</v>
      </c>
      <c r="V121" s="388"/>
      <c r="W121" s="388"/>
      <c r="X121" s="388"/>
      <c r="Y121" s="389">
        <f t="shared" si="44"/>
        <v>100</v>
      </c>
    </row>
    <row r="122" spans="1:25" x14ac:dyDescent="0.25">
      <c r="A122" s="319" t="s">
        <v>2705</v>
      </c>
      <c r="B122" s="319" t="str">
        <f>VLOOKUP(A122,TaskValues_ref!E:F,2,FALSE)</f>
        <v>Awareness on risk factors</v>
      </c>
      <c r="C122" s="388">
        <v>100</v>
      </c>
      <c r="D122" s="388"/>
      <c r="E122" s="389">
        <f t="shared" si="28"/>
        <v>100</v>
      </c>
      <c r="F122" s="387"/>
      <c r="G122" s="388"/>
      <c r="H122" s="388">
        <v>100</v>
      </c>
      <c r="I122" s="388"/>
      <c r="J122" s="389">
        <f t="shared" si="42"/>
        <v>100</v>
      </c>
      <c r="K122" s="387"/>
      <c r="L122" s="388"/>
      <c r="M122" s="388">
        <v>50</v>
      </c>
      <c r="N122" s="388">
        <v>50</v>
      </c>
      <c r="O122" s="388"/>
      <c r="P122" s="388"/>
      <c r="Q122" s="388"/>
      <c r="R122" s="389">
        <f t="shared" si="43"/>
        <v>100</v>
      </c>
      <c r="S122" s="387"/>
      <c r="T122" s="388"/>
      <c r="U122" s="388">
        <v>100</v>
      </c>
      <c r="V122" s="388"/>
      <c r="W122" s="388"/>
      <c r="X122" s="388"/>
      <c r="Y122" s="389">
        <f t="shared" si="44"/>
        <v>100</v>
      </c>
    </row>
    <row r="123" spans="1:25" s="58" customFormat="1" x14ac:dyDescent="0.25">
      <c r="A123" s="388" t="s">
        <v>2706</v>
      </c>
      <c r="B123" s="388" t="str">
        <f>VLOOKUP(A123,TaskValues_ref!E:F,2,FALSE)</f>
        <v>Screening for common cancers</v>
      </c>
      <c r="C123" s="388">
        <v>100</v>
      </c>
      <c r="D123" s="388"/>
      <c r="E123" s="389">
        <f t="shared" si="28"/>
        <v>100</v>
      </c>
      <c r="F123" s="387"/>
      <c r="G123" s="388">
        <v>100</v>
      </c>
      <c r="H123" s="388"/>
      <c r="I123" s="388"/>
      <c r="J123" s="389">
        <f t="shared" si="18"/>
        <v>100</v>
      </c>
      <c r="K123" s="387"/>
      <c r="L123" s="388"/>
      <c r="M123" s="388"/>
      <c r="N123" s="388"/>
      <c r="O123" s="388">
        <v>100</v>
      </c>
      <c r="P123" s="388"/>
      <c r="Q123" s="388"/>
      <c r="R123" s="389">
        <f t="shared" si="19"/>
        <v>100</v>
      </c>
      <c r="S123" s="387"/>
      <c r="T123" s="388"/>
      <c r="U123" s="388"/>
      <c r="V123" s="388">
        <v>100</v>
      </c>
      <c r="W123" s="388"/>
      <c r="X123" s="388"/>
      <c r="Y123" s="389">
        <f t="shared" si="20"/>
        <v>100</v>
      </c>
    </row>
    <row r="124" spans="1:25" s="58" customFormat="1" x14ac:dyDescent="0.25">
      <c r="A124" s="388" t="s">
        <v>2707</v>
      </c>
      <c r="B124" s="388" t="str">
        <f>VLOOKUP(A124,TaskValues_ref!E:F,2,FALSE)</f>
        <v>Breast cancer education</v>
      </c>
      <c r="C124" s="388">
        <v>100</v>
      </c>
      <c r="D124" s="388"/>
      <c r="E124" s="389">
        <f t="shared" si="28"/>
        <v>100</v>
      </c>
      <c r="F124" s="387"/>
      <c r="G124" s="388">
        <v>100</v>
      </c>
      <c r="H124" s="388"/>
      <c r="I124" s="388"/>
      <c r="J124" s="389">
        <f t="shared" si="18"/>
        <v>100</v>
      </c>
      <c r="K124" s="387"/>
      <c r="L124" s="388"/>
      <c r="M124" s="388"/>
      <c r="N124" s="388"/>
      <c r="O124" s="388">
        <v>100</v>
      </c>
      <c r="P124" s="388"/>
      <c r="Q124" s="388"/>
      <c r="R124" s="389">
        <f t="shared" si="19"/>
        <v>100</v>
      </c>
      <c r="S124" s="387"/>
      <c r="T124" s="388"/>
      <c r="U124" s="388"/>
      <c r="V124" s="388">
        <v>100</v>
      </c>
      <c r="W124" s="388"/>
      <c r="X124" s="388"/>
      <c r="Y124" s="389">
        <f t="shared" si="20"/>
        <v>100</v>
      </c>
    </row>
    <row r="125" spans="1:25" s="58" customFormat="1" x14ac:dyDescent="0.25">
      <c r="A125" s="388" t="s">
        <v>2708</v>
      </c>
      <c r="B125" s="388" t="str">
        <f>VLOOKUP(A125,TaskValues_ref!E:F,2,FALSE)</f>
        <v>Clinical breast exams</v>
      </c>
      <c r="C125" s="388">
        <v>100</v>
      </c>
      <c r="D125" s="388"/>
      <c r="E125" s="389">
        <f t="shared" si="28"/>
        <v>100</v>
      </c>
      <c r="F125" s="387"/>
      <c r="G125" s="388">
        <v>100</v>
      </c>
      <c r="H125" s="388"/>
      <c r="I125" s="388"/>
      <c r="J125" s="389">
        <f t="shared" si="18"/>
        <v>100</v>
      </c>
      <c r="K125" s="387"/>
      <c r="L125" s="388"/>
      <c r="M125" s="388"/>
      <c r="N125" s="388"/>
      <c r="O125" s="388">
        <v>100</v>
      </c>
      <c r="P125" s="388"/>
      <c r="Q125" s="388"/>
      <c r="R125" s="389">
        <f t="shared" si="19"/>
        <v>100</v>
      </c>
      <c r="S125" s="387"/>
      <c r="T125" s="388"/>
      <c r="U125" s="388"/>
      <c r="V125" s="388">
        <v>100</v>
      </c>
      <c r="W125" s="388"/>
      <c r="X125" s="388"/>
      <c r="Y125" s="389">
        <f t="shared" si="20"/>
        <v>100</v>
      </c>
    </row>
    <row r="126" spans="1:25" s="58" customFormat="1" x14ac:dyDescent="0.25">
      <c r="A126" s="388" t="s">
        <v>2709</v>
      </c>
      <c r="B126" s="388" t="str">
        <f>VLOOKUP(A126,TaskValues_ref!E:F,2,FALSE)</f>
        <v>Palliative care for cancer</v>
      </c>
      <c r="C126" s="388">
        <v>100</v>
      </c>
      <c r="D126" s="388"/>
      <c r="E126" s="389">
        <f t="shared" si="28"/>
        <v>100</v>
      </c>
      <c r="F126" s="387"/>
      <c r="G126" s="388">
        <v>100</v>
      </c>
      <c r="H126" s="388"/>
      <c r="I126" s="388"/>
      <c r="J126" s="389">
        <f t="shared" si="18"/>
        <v>100</v>
      </c>
      <c r="K126" s="387"/>
      <c r="L126" s="388"/>
      <c r="M126" s="388"/>
      <c r="N126" s="388"/>
      <c r="O126" s="388">
        <v>100</v>
      </c>
      <c r="P126" s="388"/>
      <c r="Q126" s="388"/>
      <c r="R126" s="389">
        <f t="shared" si="19"/>
        <v>100</v>
      </c>
      <c r="S126" s="387"/>
      <c r="T126" s="388"/>
      <c r="U126" s="388"/>
      <c r="V126" s="388">
        <v>100</v>
      </c>
      <c r="W126" s="388"/>
      <c r="X126" s="388"/>
      <c r="Y126" s="389">
        <f t="shared" si="20"/>
        <v>100</v>
      </c>
    </row>
    <row r="127" spans="1:25" s="58" customFormat="1" x14ac:dyDescent="0.25">
      <c r="A127" s="388" t="s">
        <v>2710</v>
      </c>
      <c r="B127" s="388" t="str">
        <f>VLOOKUP(A127,TaskValues_ref!E:F,2,FALSE)</f>
        <v>Lifestyle counseling</v>
      </c>
      <c r="C127" s="388">
        <v>100</v>
      </c>
      <c r="D127" s="388"/>
      <c r="E127" s="389">
        <f t="shared" si="28"/>
        <v>100</v>
      </c>
      <c r="F127" s="387"/>
      <c r="G127" s="388">
        <v>100</v>
      </c>
      <c r="H127" s="388"/>
      <c r="I127" s="388"/>
      <c r="J127" s="389">
        <f t="shared" si="18"/>
        <v>100</v>
      </c>
      <c r="K127" s="387"/>
      <c r="L127" s="388"/>
      <c r="M127" s="388"/>
      <c r="N127" s="388"/>
      <c r="O127" s="388">
        <v>100</v>
      </c>
      <c r="P127" s="388"/>
      <c r="Q127" s="388"/>
      <c r="R127" s="389">
        <f t="shared" si="19"/>
        <v>100</v>
      </c>
      <c r="S127" s="387"/>
      <c r="T127" s="388"/>
      <c r="U127" s="388"/>
      <c r="V127" s="388">
        <v>100</v>
      </c>
      <c r="W127" s="388"/>
      <c r="X127" s="388"/>
      <c r="Y127" s="389">
        <f t="shared" si="20"/>
        <v>100</v>
      </c>
    </row>
    <row r="128" spans="1:25" x14ac:dyDescent="0.25">
      <c r="A128" s="319" t="s">
        <v>2711</v>
      </c>
      <c r="B128" s="319" t="str">
        <f>VLOOKUP(A128,TaskValues_ref!E:F,2,FALSE)</f>
        <v>Hypertension screening</v>
      </c>
      <c r="C128" s="388">
        <v>100</v>
      </c>
      <c r="D128" s="388"/>
      <c r="E128" s="389">
        <f t="shared" si="28"/>
        <v>100</v>
      </c>
      <c r="F128" s="387"/>
      <c r="G128" s="390">
        <v>100</v>
      </c>
      <c r="H128" s="388"/>
      <c r="I128" s="388"/>
      <c r="J128" s="389">
        <f t="shared" si="18"/>
        <v>100</v>
      </c>
      <c r="K128" s="387"/>
      <c r="L128" s="390"/>
      <c r="M128" s="388"/>
      <c r="N128" s="388"/>
      <c r="O128" s="390">
        <v>100</v>
      </c>
      <c r="P128" s="388"/>
      <c r="Q128" s="388"/>
      <c r="R128" s="389">
        <f t="shared" si="19"/>
        <v>100</v>
      </c>
      <c r="S128" s="387"/>
      <c r="T128" s="390"/>
      <c r="U128" s="388"/>
      <c r="V128" s="388">
        <v>100</v>
      </c>
      <c r="W128" s="388"/>
      <c r="X128" s="388"/>
      <c r="Y128" s="389">
        <f t="shared" si="20"/>
        <v>100</v>
      </c>
    </row>
    <row r="129" spans="1:25" x14ac:dyDescent="0.25">
      <c r="A129" s="319" t="s">
        <v>2712</v>
      </c>
      <c r="B129" s="319" t="str">
        <f>VLOOKUP(A129,TaskValues_ref!E:F,2,FALSE)</f>
        <v>Hypertension routine care</v>
      </c>
      <c r="C129" s="388">
        <v>100</v>
      </c>
      <c r="D129" s="388"/>
      <c r="E129" s="389">
        <f t="shared" si="28"/>
        <v>100</v>
      </c>
      <c r="F129" s="387"/>
      <c r="G129" s="390">
        <v>100</v>
      </c>
      <c r="H129" s="388"/>
      <c r="I129" s="388"/>
      <c r="J129" s="389">
        <f t="shared" ref="J129:J132" si="45">SUM(F129:I129)</f>
        <v>100</v>
      </c>
      <c r="K129" s="387"/>
      <c r="L129" s="390"/>
      <c r="M129" s="388"/>
      <c r="N129" s="388"/>
      <c r="O129" s="390">
        <v>100</v>
      </c>
      <c r="P129" s="388"/>
      <c r="Q129" s="388"/>
      <c r="R129" s="389">
        <f t="shared" ref="R129:R132" si="46">SUM(K129:Q129)</f>
        <v>100</v>
      </c>
      <c r="S129" s="387"/>
      <c r="T129" s="390"/>
      <c r="U129" s="388"/>
      <c r="V129" s="388">
        <v>100</v>
      </c>
      <c r="W129" s="388"/>
      <c r="X129" s="388"/>
      <c r="Y129" s="389">
        <f t="shared" ref="Y129:Y132" si="47">SUM(S129:X129)</f>
        <v>100</v>
      </c>
    </row>
    <row r="130" spans="1:25" x14ac:dyDescent="0.25">
      <c r="A130" s="319" t="s">
        <v>2713</v>
      </c>
      <c r="B130" s="319" t="str">
        <f>VLOOKUP(A130,TaskValues_ref!E:F,2,FALSE)</f>
        <v>Lifestyle counseling</v>
      </c>
      <c r="C130" s="388">
        <v>100</v>
      </c>
      <c r="D130" s="388"/>
      <c r="E130" s="389">
        <f t="shared" ref="E130:E161" si="48">SUM(C130:D130)</f>
        <v>100</v>
      </c>
      <c r="F130" s="387"/>
      <c r="G130" s="390">
        <v>100</v>
      </c>
      <c r="H130" s="388"/>
      <c r="I130" s="388"/>
      <c r="J130" s="389">
        <f t="shared" si="45"/>
        <v>100</v>
      </c>
      <c r="K130" s="387"/>
      <c r="L130" s="390"/>
      <c r="M130" s="388"/>
      <c r="N130" s="388"/>
      <c r="O130" s="390">
        <v>100</v>
      </c>
      <c r="P130" s="388"/>
      <c r="Q130" s="388"/>
      <c r="R130" s="389">
        <f t="shared" si="46"/>
        <v>100</v>
      </c>
      <c r="S130" s="387"/>
      <c r="T130" s="390"/>
      <c r="U130" s="388"/>
      <c r="V130" s="388">
        <v>100</v>
      </c>
      <c r="W130" s="388"/>
      <c r="X130" s="388"/>
      <c r="Y130" s="389">
        <f t="shared" si="47"/>
        <v>100</v>
      </c>
    </row>
    <row r="131" spans="1:25" x14ac:dyDescent="0.25">
      <c r="A131" s="319" t="s">
        <v>2714</v>
      </c>
      <c r="B131" s="319" t="str">
        <f>VLOOKUP(A131,TaskValues_ref!E:F,2,FALSE)</f>
        <v>Screening for type 2 diabetes</v>
      </c>
      <c r="C131" s="388">
        <v>100</v>
      </c>
      <c r="D131" s="388"/>
      <c r="E131" s="389">
        <f t="shared" si="48"/>
        <v>100</v>
      </c>
      <c r="F131" s="387"/>
      <c r="G131" s="390">
        <v>100</v>
      </c>
      <c r="H131" s="388"/>
      <c r="I131" s="388"/>
      <c r="J131" s="389">
        <f t="shared" si="45"/>
        <v>100</v>
      </c>
      <c r="K131" s="387"/>
      <c r="L131" s="390"/>
      <c r="M131" s="388"/>
      <c r="N131" s="388"/>
      <c r="O131" s="390">
        <v>100</v>
      </c>
      <c r="P131" s="388"/>
      <c r="Q131" s="388"/>
      <c r="R131" s="389">
        <f t="shared" si="46"/>
        <v>100</v>
      </c>
      <c r="S131" s="387"/>
      <c r="T131" s="390"/>
      <c r="U131" s="388"/>
      <c r="V131" s="388">
        <v>100</v>
      </c>
      <c r="W131" s="388"/>
      <c r="X131" s="388"/>
      <c r="Y131" s="389">
        <f t="shared" si="47"/>
        <v>100</v>
      </c>
    </row>
    <row r="132" spans="1:25" x14ac:dyDescent="0.25">
      <c r="A132" s="319" t="s">
        <v>2715</v>
      </c>
      <c r="B132" s="319" t="str">
        <f>VLOOKUP(A132,TaskValues_ref!E:F,2,FALSE)</f>
        <v>Diabetes routine care</v>
      </c>
      <c r="C132" s="388">
        <v>100</v>
      </c>
      <c r="D132" s="388"/>
      <c r="E132" s="389">
        <f t="shared" si="48"/>
        <v>100</v>
      </c>
      <c r="F132" s="387"/>
      <c r="G132" s="390">
        <v>100</v>
      </c>
      <c r="H132" s="388"/>
      <c r="I132" s="388"/>
      <c r="J132" s="389">
        <f t="shared" si="45"/>
        <v>100</v>
      </c>
      <c r="K132" s="387"/>
      <c r="L132" s="390"/>
      <c r="M132" s="388"/>
      <c r="N132" s="388"/>
      <c r="O132" s="390">
        <v>100</v>
      </c>
      <c r="P132" s="388"/>
      <c r="Q132" s="388"/>
      <c r="R132" s="389">
        <f t="shared" si="46"/>
        <v>100</v>
      </c>
      <c r="S132" s="387"/>
      <c r="T132" s="390"/>
      <c r="U132" s="388"/>
      <c r="V132" s="388">
        <v>100</v>
      </c>
      <c r="W132" s="388"/>
      <c r="X132" s="388"/>
      <c r="Y132" s="389">
        <f t="shared" si="47"/>
        <v>100</v>
      </c>
    </row>
    <row r="133" spans="1:25" x14ac:dyDescent="0.25">
      <c r="A133" s="319" t="s">
        <v>2716</v>
      </c>
      <c r="B133" s="319" t="str">
        <f>VLOOKUP(A133,TaskValues_ref!E:F,2,FALSE)</f>
        <v>Smoking cessation</v>
      </c>
      <c r="C133" s="388">
        <v>100</v>
      </c>
      <c r="D133" s="388"/>
      <c r="E133" s="389">
        <f t="shared" si="48"/>
        <v>100</v>
      </c>
      <c r="F133" s="387"/>
      <c r="G133" s="388"/>
      <c r="H133" s="388">
        <v>100</v>
      </c>
      <c r="I133" s="388"/>
      <c r="J133" s="389">
        <f t="shared" ref="J133:J176" si="49">SUM(F133:I133)</f>
        <v>100</v>
      </c>
      <c r="K133" s="387"/>
      <c r="L133" s="388"/>
      <c r="M133" s="388">
        <v>50</v>
      </c>
      <c r="N133" s="388">
        <v>50</v>
      </c>
      <c r="O133" s="388"/>
      <c r="P133" s="388"/>
      <c r="Q133" s="388"/>
      <c r="R133" s="389">
        <f t="shared" ref="R133:R175" si="50">SUM(K133:Q133)</f>
        <v>100</v>
      </c>
      <c r="S133" s="387"/>
      <c r="T133" s="388"/>
      <c r="U133" s="388">
        <v>100</v>
      </c>
      <c r="V133" s="388"/>
      <c r="W133" s="388"/>
      <c r="X133" s="388"/>
      <c r="Y133" s="389">
        <f t="shared" ref="Y133:Y184" si="51">SUM(S133:X133)</f>
        <v>100</v>
      </c>
    </row>
    <row r="134" spans="1:25" x14ac:dyDescent="0.25">
      <c r="A134" s="319" t="s">
        <v>2717</v>
      </c>
      <c r="B134" s="319" t="str">
        <f>VLOOKUP(A134,TaskValues_ref!E:F,2,FALSE)</f>
        <v>Prevention of risk factors</v>
      </c>
      <c r="C134" s="388">
        <v>100</v>
      </c>
      <c r="D134" s="388"/>
      <c r="E134" s="389">
        <f t="shared" si="48"/>
        <v>100</v>
      </c>
      <c r="F134" s="387"/>
      <c r="G134" s="388"/>
      <c r="H134" s="388">
        <v>100</v>
      </c>
      <c r="I134" s="388"/>
      <c r="J134" s="389">
        <f t="shared" si="49"/>
        <v>100</v>
      </c>
      <c r="K134" s="387"/>
      <c r="L134" s="388"/>
      <c r="M134" s="388">
        <v>50</v>
      </c>
      <c r="N134" s="388">
        <v>50</v>
      </c>
      <c r="O134" s="388"/>
      <c r="P134" s="388"/>
      <c r="Q134" s="388"/>
      <c r="R134" s="389">
        <f t="shared" si="50"/>
        <v>100</v>
      </c>
      <c r="S134" s="387"/>
      <c r="T134" s="388"/>
      <c r="U134" s="388">
        <v>100</v>
      </c>
      <c r="V134" s="388"/>
      <c r="W134" s="388"/>
      <c r="X134" s="388"/>
      <c r="Y134" s="389">
        <f t="shared" si="51"/>
        <v>100</v>
      </c>
    </row>
    <row r="135" spans="1:25" x14ac:dyDescent="0.25">
      <c r="A135" s="319" t="s">
        <v>2718</v>
      </c>
      <c r="B135" s="319" t="str">
        <f>VLOOKUP(A135,TaskValues_ref!E:F,2,FALSE)</f>
        <v>Dx &amp; treat mild asthma</v>
      </c>
      <c r="C135" s="388">
        <v>100</v>
      </c>
      <c r="D135" s="388"/>
      <c r="E135" s="389">
        <f t="shared" si="48"/>
        <v>100</v>
      </c>
      <c r="F135" s="387"/>
      <c r="G135" s="390">
        <v>100</v>
      </c>
      <c r="H135" s="388"/>
      <c r="I135" s="388"/>
      <c r="J135" s="389">
        <f t="shared" si="49"/>
        <v>100</v>
      </c>
      <c r="K135" s="387"/>
      <c r="L135" s="390"/>
      <c r="M135" s="388"/>
      <c r="N135" s="388"/>
      <c r="O135" s="390">
        <v>100</v>
      </c>
      <c r="P135" s="388"/>
      <c r="Q135" s="388"/>
      <c r="R135" s="389">
        <f t="shared" si="50"/>
        <v>100</v>
      </c>
      <c r="S135" s="387"/>
      <c r="T135" s="390"/>
      <c r="U135" s="388"/>
      <c r="V135" s="388">
        <v>100</v>
      </c>
      <c r="W135" s="388"/>
      <c r="X135" s="388"/>
      <c r="Y135" s="389">
        <f t="shared" si="51"/>
        <v>100</v>
      </c>
    </row>
    <row r="136" spans="1:25" x14ac:dyDescent="0.25">
      <c r="A136" s="321" t="s">
        <v>2719</v>
      </c>
      <c r="B136" s="319" t="str">
        <f>VLOOKUP(A136,TaskValues_ref!E:F,2,FALSE)</f>
        <v>Dx &amp; refer severe asthma</v>
      </c>
      <c r="C136" s="388">
        <v>100</v>
      </c>
      <c r="D136" s="388"/>
      <c r="E136" s="389">
        <f t="shared" si="48"/>
        <v>100</v>
      </c>
      <c r="F136" s="387"/>
      <c r="G136" s="390">
        <v>100</v>
      </c>
      <c r="H136" s="388"/>
      <c r="I136" s="388"/>
      <c r="J136" s="389">
        <f t="shared" si="49"/>
        <v>100</v>
      </c>
      <c r="K136" s="387"/>
      <c r="L136" s="390"/>
      <c r="M136" s="388"/>
      <c r="N136" s="388"/>
      <c r="O136" s="390">
        <v>100</v>
      </c>
      <c r="P136" s="388"/>
      <c r="Q136" s="388"/>
      <c r="R136" s="389">
        <f t="shared" si="50"/>
        <v>100</v>
      </c>
      <c r="S136" s="387"/>
      <c r="T136" s="390"/>
      <c r="U136" s="388"/>
      <c r="V136" s="388">
        <v>100</v>
      </c>
      <c r="W136" s="388"/>
      <c r="X136" s="388"/>
      <c r="Y136" s="389">
        <f t="shared" si="51"/>
        <v>100</v>
      </c>
    </row>
    <row r="137" spans="1:25" x14ac:dyDescent="0.25">
      <c r="A137" s="319" t="s">
        <v>2444</v>
      </c>
      <c r="B137" s="319" t="str">
        <f>VLOOKUP(A137,TaskValues_ref!E:F,2,FALSE)</f>
        <v>Generate community awareness</v>
      </c>
      <c r="C137" s="388">
        <v>100</v>
      </c>
      <c r="D137" s="388"/>
      <c r="E137" s="389">
        <f t="shared" si="48"/>
        <v>100</v>
      </c>
      <c r="F137" s="387"/>
      <c r="G137" s="388"/>
      <c r="H137" s="388">
        <v>100</v>
      </c>
      <c r="I137" s="388"/>
      <c r="J137" s="389">
        <f t="shared" si="49"/>
        <v>100</v>
      </c>
      <c r="K137" s="387"/>
      <c r="L137" s="388"/>
      <c r="M137" s="388">
        <v>50</v>
      </c>
      <c r="N137" s="388">
        <v>50</v>
      </c>
      <c r="O137" s="388"/>
      <c r="P137" s="388"/>
      <c r="Q137" s="388"/>
      <c r="R137" s="389">
        <f t="shared" si="50"/>
        <v>100</v>
      </c>
      <c r="S137" s="387"/>
      <c r="T137" s="388"/>
      <c r="U137" s="388">
        <v>100</v>
      </c>
      <c r="V137" s="388"/>
      <c r="W137" s="388"/>
      <c r="X137" s="388"/>
      <c r="Y137" s="389">
        <f t="shared" si="51"/>
        <v>100</v>
      </c>
    </row>
    <row r="138" spans="1:25" x14ac:dyDescent="0.25">
      <c r="A138" s="319" t="s">
        <v>2445</v>
      </c>
      <c r="B138" s="319" t="str">
        <f>VLOOKUP(A138,TaskValues_ref!E:F,2,FALSE)</f>
        <v>Identify &amp; link to care</v>
      </c>
      <c r="C138" s="388">
        <v>100</v>
      </c>
      <c r="D138" s="388"/>
      <c r="E138" s="389">
        <f t="shared" si="48"/>
        <v>100</v>
      </c>
      <c r="F138" s="387"/>
      <c r="G138" s="390">
        <v>100</v>
      </c>
      <c r="H138" s="388"/>
      <c r="I138" s="388"/>
      <c r="J138" s="389">
        <f t="shared" si="49"/>
        <v>100</v>
      </c>
      <c r="K138" s="387"/>
      <c r="L138" s="390"/>
      <c r="M138" s="388"/>
      <c r="N138" s="388"/>
      <c r="O138" s="390">
        <v>100</v>
      </c>
      <c r="P138" s="388"/>
      <c r="Q138" s="388"/>
      <c r="R138" s="389">
        <f t="shared" si="50"/>
        <v>100</v>
      </c>
      <c r="S138" s="387"/>
      <c r="T138" s="390"/>
      <c r="U138" s="388"/>
      <c r="V138" s="388">
        <v>100</v>
      </c>
      <c r="W138" s="388"/>
      <c r="X138" s="388"/>
      <c r="Y138" s="389">
        <f t="shared" si="51"/>
        <v>100</v>
      </c>
    </row>
    <row r="139" spans="1:25" x14ac:dyDescent="0.25">
      <c r="A139" s="319" t="s">
        <v>2720</v>
      </c>
      <c r="B139" s="319" t="str">
        <f>VLOOKUP(A139,TaskValues_ref!E:F,2,FALSE)</f>
        <v>Workplace stress reduction</v>
      </c>
      <c r="C139" s="388">
        <v>100</v>
      </c>
      <c r="D139" s="388"/>
      <c r="E139" s="389">
        <f t="shared" si="48"/>
        <v>100</v>
      </c>
      <c r="F139" s="387"/>
      <c r="G139" s="388"/>
      <c r="H139" s="388">
        <v>100</v>
      </c>
      <c r="I139" s="388"/>
      <c r="J139" s="389">
        <f t="shared" si="49"/>
        <v>100</v>
      </c>
      <c r="K139" s="387"/>
      <c r="L139" s="388"/>
      <c r="M139" s="388">
        <v>50</v>
      </c>
      <c r="N139" s="388">
        <v>50</v>
      </c>
      <c r="O139" s="388"/>
      <c r="P139" s="388"/>
      <c r="Q139" s="388"/>
      <c r="R139" s="389">
        <f t="shared" si="50"/>
        <v>100</v>
      </c>
      <c r="S139" s="387"/>
      <c r="T139" s="388"/>
      <c r="U139" s="388">
        <v>100</v>
      </c>
      <c r="V139" s="388"/>
      <c r="W139" s="388"/>
      <c r="X139" s="388"/>
      <c r="Y139" s="389">
        <f t="shared" si="51"/>
        <v>100</v>
      </c>
    </row>
    <row r="140" spans="1:25" x14ac:dyDescent="0.25">
      <c r="A140" s="319" t="s">
        <v>2721</v>
      </c>
      <c r="B140" s="319" t="str">
        <f>VLOOKUP(A140,TaskValues_ref!E:F,2,FALSE)</f>
        <v>School-based mental health programs</v>
      </c>
      <c r="C140" s="388">
        <v>100</v>
      </c>
      <c r="D140" s="388"/>
      <c r="E140" s="389">
        <f t="shared" si="48"/>
        <v>100</v>
      </c>
      <c r="F140" s="387"/>
      <c r="G140" s="388"/>
      <c r="H140" s="388">
        <v>100</v>
      </c>
      <c r="I140" s="388"/>
      <c r="J140" s="389">
        <f t="shared" si="49"/>
        <v>100</v>
      </c>
      <c r="K140" s="387"/>
      <c r="L140" s="388"/>
      <c r="M140" s="388">
        <v>50</v>
      </c>
      <c r="N140" s="388">
        <v>50</v>
      </c>
      <c r="O140" s="388"/>
      <c r="P140" s="388"/>
      <c r="Q140" s="388"/>
      <c r="R140" s="389">
        <f t="shared" si="50"/>
        <v>100</v>
      </c>
      <c r="S140" s="387"/>
      <c r="T140" s="388"/>
      <c r="U140" s="388">
        <v>100</v>
      </c>
      <c r="V140" s="388"/>
      <c r="W140" s="388"/>
      <c r="X140" s="388"/>
      <c r="Y140" s="389">
        <f t="shared" si="51"/>
        <v>100</v>
      </c>
    </row>
    <row r="141" spans="1:25" x14ac:dyDescent="0.25">
      <c r="A141" s="319" t="s">
        <v>2722</v>
      </c>
      <c r="B141" s="319" t="str">
        <f>VLOOKUP(A141,TaskValues_ref!E:F,2,FALSE)</f>
        <v>Identify &amp; assess drug use</v>
      </c>
      <c r="C141" s="388">
        <v>100</v>
      </c>
      <c r="D141" s="388"/>
      <c r="E141" s="389">
        <f t="shared" si="48"/>
        <v>100</v>
      </c>
      <c r="F141" s="387"/>
      <c r="G141" s="388">
        <v>100</v>
      </c>
      <c r="H141" s="388"/>
      <c r="I141" s="388"/>
      <c r="J141" s="389">
        <f t="shared" si="49"/>
        <v>100</v>
      </c>
      <c r="K141" s="387"/>
      <c r="L141" s="388"/>
      <c r="M141" s="388"/>
      <c r="N141" s="388"/>
      <c r="O141" s="388">
        <v>100</v>
      </c>
      <c r="P141" s="388"/>
      <c r="Q141" s="388"/>
      <c r="R141" s="389">
        <f t="shared" si="50"/>
        <v>100</v>
      </c>
      <c r="S141" s="387"/>
      <c r="T141" s="388"/>
      <c r="U141" s="388"/>
      <c r="V141" s="388">
        <v>100</v>
      </c>
      <c r="W141" s="388"/>
      <c r="X141" s="388"/>
      <c r="Y141" s="389">
        <f t="shared" si="51"/>
        <v>100</v>
      </c>
    </row>
    <row r="142" spans="1:25" s="58" customFormat="1" x14ac:dyDescent="0.25">
      <c r="A142" s="388" t="s">
        <v>2723</v>
      </c>
      <c r="B142" s="388" t="str">
        <f>VLOOKUP(A142,TaskValues_ref!E:F,2,FALSE)</f>
        <v>Safer storage of pesticides</v>
      </c>
      <c r="C142" s="388">
        <v>100</v>
      </c>
      <c r="D142" s="388"/>
      <c r="E142" s="389">
        <f t="shared" si="48"/>
        <v>100</v>
      </c>
      <c r="F142" s="387"/>
      <c r="G142" s="388"/>
      <c r="H142" s="388">
        <v>100</v>
      </c>
      <c r="I142" s="388"/>
      <c r="J142" s="389">
        <f t="shared" si="49"/>
        <v>100</v>
      </c>
      <c r="K142" s="387"/>
      <c r="L142" s="388"/>
      <c r="M142" s="388"/>
      <c r="N142" s="388"/>
      <c r="O142" s="388"/>
      <c r="P142" s="388">
        <v>100</v>
      </c>
      <c r="Q142" s="388"/>
      <c r="R142" s="389">
        <f t="shared" si="50"/>
        <v>100</v>
      </c>
      <c r="S142" s="387"/>
      <c r="T142" s="388"/>
      <c r="U142" s="388"/>
      <c r="V142" s="388"/>
      <c r="W142" s="388">
        <f t="shared" si="29"/>
        <v>100</v>
      </c>
      <c r="X142" s="388"/>
      <c r="Y142" s="389">
        <f t="shared" si="51"/>
        <v>100</v>
      </c>
    </row>
    <row r="143" spans="1:25" x14ac:dyDescent="0.25">
      <c r="A143" s="319" t="s">
        <v>2724</v>
      </c>
      <c r="B143" s="319" t="str">
        <f>VLOOKUP(A143,TaskValues_ref!E:F,2,FALSE)</f>
        <v>Emergency poisoning response</v>
      </c>
      <c r="C143" s="388">
        <v>100</v>
      </c>
      <c r="D143" s="388"/>
      <c r="E143" s="389">
        <f t="shared" si="48"/>
        <v>100</v>
      </c>
      <c r="F143" s="387"/>
      <c r="G143" s="388"/>
      <c r="H143" s="388">
        <v>100</v>
      </c>
      <c r="I143" s="388"/>
      <c r="J143" s="389">
        <f t="shared" ref="J143:J145" si="52">SUM(F143:I143)</f>
        <v>100</v>
      </c>
      <c r="K143" s="387"/>
      <c r="L143" s="388"/>
      <c r="M143" s="388"/>
      <c r="N143" s="388"/>
      <c r="O143" s="388"/>
      <c r="P143" s="388">
        <v>100</v>
      </c>
      <c r="Q143" s="388"/>
      <c r="R143" s="389">
        <f t="shared" ref="R143:R145" si="53">SUM(K143:Q143)</f>
        <v>100</v>
      </c>
      <c r="S143" s="387"/>
      <c r="T143" s="388"/>
      <c r="U143" s="388"/>
      <c r="V143" s="388"/>
      <c r="W143" s="388">
        <f t="shared" ref="W143" si="54">M143+P143</f>
        <v>100</v>
      </c>
      <c r="X143" s="388"/>
      <c r="Y143" s="389">
        <f t="shared" ref="Y143:Y145" si="55">SUM(S143:X143)</f>
        <v>100</v>
      </c>
    </row>
    <row r="144" spans="1:25" x14ac:dyDescent="0.25">
      <c r="A144" s="319" t="s">
        <v>2725</v>
      </c>
      <c r="B144" s="319" t="str">
        <f>VLOOKUP(A144,TaskValues_ref!E:F,2,FALSE)</f>
        <v>Awareness &amp; screening for cataracts</v>
      </c>
      <c r="C144" s="388">
        <v>100</v>
      </c>
      <c r="D144" s="388"/>
      <c r="E144" s="389">
        <f t="shared" si="48"/>
        <v>100</v>
      </c>
      <c r="F144" s="387"/>
      <c r="G144" s="388">
        <v>100</v>
      </c>
      <c r="H144" s="388"/>
      <c r="I144" s="388"/>
      <c r="J144" s="389">
        <f t="shared" si="52"/>
        <v>100</v>
      </c>
      <c r="K144" s="387"/>
      <c r="L144" s="388"/>
      <c r="M144" s="388"/>
      <c r="N144" s="388"/>
      <c r="O144" s="388">
        <v>100</v>
      </c>
      <c r="P144" s="388"/>
      <c r="Q144" s="388"/>
      <c r="R144" s="389">
        <f t="shared" si="53"/>
        <v>100</v>
      </c>
      <c r="S144" s="387"/>
      <c r="T144" s="388"/>
      <c r="U144" s="388"/>
      <c r="V144" s="388">
        <v>100</v>
      </c>
      <c r="W144" s="388"/>
      <c r="X144" s="388"/>
      <c r="Y144" s="389">
        <f t="shared" si="55"/>
        <v>100</v>
      </c>
    </row>
    <row r="145" spans="1:25" x14ac:dyDescent="0.25">
      <c r="A145" s="319" t="s">
        <v>2726</v>
      </c>
      <c r="B145" s="319" t="str">
        <f>VLOOKUP(A145,TaskValues_ref!E:F,2,FALSE)</f>
        <v>Awareness of eye glasses</v>
      </c>
      <c r="C145" s="388">
        <v>100</v>
      </c>
      <c r="D145" s="388"/>
      <c r="E145" s="389">
        <f t="shared" si="48"/>
        <v>100</v>
      </c>
      <c r="F145" s="387"/>
      <c r="G145" s="388">
        <v>100</v>
      </c>
      <c r="H145" s="388"/>
      <c r="I145" s="388"/>
      <c r="J145" s="389">
        <f t="shared" si="52"/>
        <v>100</v>
      </c>
      <c r="K145" s="387"/>
      <c r="L145" s="388"/>
      <c r="M145" s="388"/>
      <c r="N145" s="388"/>
      <c r="O145" s="388">
        <v>100</v>
      </c>
      <c r="P145" s="388"/>
      <c r="Q145" s="388"/>
      <c r="R145" s="389">
        <f t="shared" si="53"/>
        <v>100</v>
      </c>
      <c r="S145" s="387"/>
      <c r="T145" s="388"/>
      <c r="U145" s="388"/>
      <c r="V145" s="388">
        <v>100</v>
      </c>
      <c r="W145" s="388"/>
      <c r="X145" s="388"/>
      <c r="Y145" s="389">
        <f t="shared" si="55"/>
        <v>100</v>
      </c>
    </row>
    <row r="146" spans="1:25" x14ac:dyDescent="0.25">
      <c r="A146" s="319" t="s">
        <v>2727</v>
      </c>
      <c r="B146" s="319" t="str">
        <f>VLOOKUP(A146,TaskValues_ref!E:F,2,FALSE)</f>
        <v>School screenings for vision impairment</v>
      </c>
      <c r="C146" s="388">
        <v>100</v>
      </c>
      <c r="D146" s="388"/>
      <c r="E146" s="389">
        <f t="shared" si="48"/>
        <v>100</v>
      </c>
      <c r="F146" s="387"/>
      <c r="G146" s="388"/>
      <c r="H146" s="388">
        <v>100</v>
      </c>
      <c r="I146" s="388"/>
      <c r="J146" s="389">
        <f t="shared" si="49"/>
        <v>100</v>
      </c>
      <c r="K146" s="387"/>
      <c r="L146" s="388"/>
      <c r="M146" s="388">
        <v>50</v>
      </c>
      <c r="N146" s="388">
        <v>50</v>
      </c>
      <c r="O146" s="388"/>
      <c r="P146" s="388"/>
      <c r="Q146" s="388"/>
      <c r="R146" s="389">
        <f t="shared" si="50"/>
        <v>100</v>
      </c>
      <c r="S146" s="387"/>
      <c r="T146" s="388"/>
      <c r="U146" s="388">
        <v>100</v>
      </c>
      <c r="V146" s="388"/>
      <c r="W146" s="388"/>
      <c r="X146" s="388"/>
      <c r="Y146" s="389">
        <f t="shared" si="51"/>
        <v>100</v>
      </c>
    </row>
    <row r="147" spans="1:25" x14ac:dyDescent="0.25">
      <c r="A147" s="319" t="s">
        <v>2728</v>
      </c>
      <c r="B147" s="319" t="str">
        <f>VLOOKUP(A147,TaskValues_ref!E:F,2,FALSE)</f>
        <v>Opportunistic screenings for vision impairment</v>
      </c>
      <c r="C147" s="388">
        <v>100</v>
      </c>
      <c r="D147" s="388"/>
      <c r="E147" s="389">
        <f t="shared" si="48"/>
        <v>100</v>
      </c>
      <c r="F147" s="387"/>
      <c r="G147" s="388">
        <v>100</v>
      </c>
      <c r="H147" s="388"/>
      <c r="I147" s="388"/>
      <c r="J147" s="389">
        <f t="shared" si="49"/>
        <v>100</v>
      </c>
      <c r="K147" s="387"/>
      <c r="L147" s="388"/>
      <c r="M147" s="388"/>
      <c r="N147" s="388"/>
      <c r="O147" s="388">
        <v>100</v>
      </c>
      <c r="P147" s="388"/>
      <c r="Q147" s="388"/>
      <c r="R147" s="389">
        <f t="shared" si="50"/>
        <v>100</v>
      </c>
      <c r="S147" s="387"/>
      <c r="T147" s="388"/>
      <c r="U147" s="388"/>
      <c r="V147" s="388">
        <v>100</v>
      </c>
      <c r="W147" s="388"/>
      <c r="X147" s="388"/>
      <c r="Y147" s="389">
        <f t="shared" si="51"/>
        <v>100</v>
      </c>
    </row>
    <row r="148" spans="1:25" x14ac:dyDescent="0.25">
      <c r="A148" s="319" t="s">
        <v>2729</v>
      </c>
      <c r="B148" s="319" t="str">
        <f>VLOOKUP(A148,TaskValues_ref!E:F,2,FALSE)</f>
        <v>Awareness &amp; screening for glaucoma</v>
      </c>
      <c r="C148" s="388">
        <v>100</v>
      </c>
      <c r="D148" s="388"/>
      <c r="E148" s="389">
        <f t="shared" si="48"/>
        <v>100</v>
      </c>
      <c r="F148" s="387"/>
      <c r="G148" s="388">
        <v>100</v>
      </c>
      <c r="H148" s="388"/>
      <c r="I148" s="388"/>
      <c r="J148" s="389">
        <f t="shared" si="49"/>
        <v>100</v>
      </c>
      <c r="K148" s="387"/>
      <c r="L148" s="388"/>
      <c r="M148" s="388"/>
      <c r="N148" s="388"/>
      <c r="O148" s="388">
        <v>100</v>
      </c>
      <c r="P148" s="388"/>
      <c r="Q148" s="388"/>
      <c r="R148" s="389">
        <f t="shared" si="50"/>
        <v>100</v>
      </c>
      <c r="S148" s="387"/>
      <c r="T148" s="388"/>
      <c r="U148" s="388"/>
      <c r="V148" s="388">
        <v>100</v>
      </c>
      <c r="W148" s="388"/>
      <c r="X148" s="388"/>
      <c r="Y148" s="389">
        <f t="shared" si="51"/>
        <v>100</v>
      </c>
    </row>
    <row r="149" spans="1:25" x14ac:dyDescent="0.25">
      <c r="A149" s="319" t="s">
        <v>2730</v>
      </c>
      <c r="B149" s="319" t="str">
        <f>VLOOKUP(A149,TaskValues_ref!E:F,2,FALSE)</f>
        <v>Common eye infection treatment</v>
      </c>
      <c r="C149" s="388">
        <v>100</v>
      </c>
      <c r="D149" s="388"/>
      <c r="E149" s="389">
        <f t="shared" si="48"/>
        <v>100</v>
      </c>
      <c r="F149" s="387"/>
      <c r="G149" s="388"/>
      <c r="H149" s="388">
        <v>100</v>
      </c>
      <c r="I149" s="388"/>
      <c r="J149" s="389">
        <f t="shared" ref="J149" si="56">SUM(F149:I149)</f>
        <v>100</v>
      </c>
      <c r="K149" s="387"/>
      <c r="L149" s="388"/>
      <c r="M149" s="388"/>
      <c r="N149" s="388">
        <v>25</v>
      </c>
      <c r="O149" s="388">
        <v>75</v>
      </c>
      <c r="P149" s="388"/>
      <c r="Q149" s="388"/>
      <c r="R149" s="389">
        <f t="shared" ref="R149" si="57">SUM(K149:Q149)</f>
        <v>100</v>
      </c>
      <c r="S149" s="387"/>
      <c r="T149" s="388"/>
      <c r="U149" s="388">
        <v>25</v>
      </c>
      <c r="V149" s="388">
        <v>75</v>
      </c>
      <c r="W149" s="388"/>
      <c r="X149" s="388"/>
      <c r="Y149" s="389">
        <f t="shared" ref="Y149" si="58">SUM(S149:X149)</f>
        <v>100</v>
      </c>
    </row>
    <row r="150" spans="1:25" x14ac:dyDescent="0.25">
      <c r="A150" s="319" t="s">
        <v>2594</v>
      </c>
      <c r="B150" s="319" t="str">
        <f>VLOOKUP(A150,TaskValues_ref!E:F,2,FALSE)</f>
        <v>Basic first aid</v>
      </c>
      <c r="C150" s="388">
        <v>100</v>
      </c>
      <c r="D150" s="388"/>
      <c r="E150" s="389">
        <f t="shared" si="48"/>
        <v>100</v>
      </c>
      <c r="F150" s="387"/>
      <c r="G150" s="388"/>
      <c r="H150" s="388">
        <v>100</v>
      </c>
      <c r="I150" s="388"/>
      <c r="J150" s="389">
        <f t="shared" si="49"/>
        <v>100</v>
      </c>
      <c r="K150" s="387"/>
      <c r="L150" s="388"/>
      <c r="M150" s="388"/>
      <c r="N150" s="388">
        <v>25</v>
      </c>
      <c r="O150" s="388">
        <v>75</v>
      </c>
      <c r="P150" s="388"/>
      <c r="Q150" s="388"/>
      <c r="R150" s="389">
        <f t="shared" si="50"/>
        <v>100</v>
      </c>
      <c r="S150" s="387"/>
      <c r="T150" s="388"/>
      <c r="U150" s="388">
        <v>25</v>
      </c>
      <c r="V150" s="388">
        <v>75</v>
      </c>
      <c r="W150" s="388"/>
      <c r="X150" s="388"/>
      <c r="Y150" s="389">
        <f t="shared" si="51"/>
        <v>100</v>
      </c>
    </row>
    <row r="151" spans="1:25" x14ac:dyDescent="0.25">
      <c r="A151" s="319" t="s">
        <v>2596</v>
      </c>
      <c r="B151" s="319" t="str">
        <f>VLOOKUP(A151,TaskValues_ref!E:F,2,FALSE)</f>
        <v>Advanced first aid</v>
      </c>
      <c r="C151" s="388">
        <v>100</v>
      </c>
      <c r="D151" s="388"/>
      <c r="E151" s="389">
        <f t="shared" si="48"/>
        <v>100</v>
      </c>
      <c r="F151" s="387"/>
      <c r="G151" s="390">
        <v>100</v>
      </c>
      <c r="H151" s="388"/>
      <c r="I151" s="388"/>
      <c r="J151" s="389">
        <f t="shared" ref="J151" si="59">SUM(F151:I151)</f>
        <v>100</v>
      </c>
      <c r="K151" s="387"/>
      <c r="L151" s="390">
        <v>50</v>
      </c>
      <c r="M151" s="388"/>
      <c r="N151" s="388"/>
      <c r="O151" s="388">
        <v>50</v>
      </c>
      <c r="P151" s="388"/>
      <c r="Q151" s="388"/>
      <c r="R151" s="389">
        <f t="shared" ref="R151" si="60">SUM(K151:Q151)</f>
        <v>100</v>
      </c>
      <c r="S151" s="387"/>
      <c r="T151" s="390">
        <v>50</v>
      </c>
      <c r="U151" s="388"/>
      <c r="V151" s="388">
        <v>50</v>
      </c>
      <c r="W151" s="388"/>
      <c r="X151" s="374"/>
      <c r="Y151" s="389">
        <f t="shared" si="51"/>
        <v>100</v>
      </c>
    </row>
    <row r="152" spans="1:25" s="58" customFormat="1" x14ac:dyDescent="0.25">
      <c r="A152" s="388" t="s">
        <v>2731</v>
      </c>
      <c r="B152" s="388" t="str">
        <f>VLOOKUP(A152,TaskValues_ref!E:F,2,FALSE)</f>
        <v>Assorted adult outpatient</v>
      </c>
      <c r="C152" s="388">
        <v>100</v>
      </c>
      <c r="D152" s="388"/>
      <c r="E152" s="389">
        <f t="shared" si="48"/>
        <v>100</v>
      </c>
      <c r="F152" s="387"/>
      <c r="G152" s="390">
        <v>100</v>
      </c>
      <c r="H152" s="388"/>
      <c r="I152" s="388"/>
      <c r="J152" s="389">
        <f t="shared" si="49"/>
        <v>100</v>
      </c>
      <c r="K152" s="387"/>
      <c r="L152" s="390">
        <v>50</v>
      </c>
      <c r="M152" s="388"/>
      <c r="N152" s="388"/>
      <c r="O152" s="388">
        <v>50</v>
      </c>
      <c r="P152" s="388"/>
      <c r="Q152" s="388"/>
      <c r="R152" s="389">
        <f t="shared" si="50"/>
        <v>100</v>
      </c>
      <c r="S152" s="387"/>
      <c r="T152" s="390">
        <v>50</v>
      </c>
      <c r="U152" s="388"/>
      <c r="V152" s="388">
        <v>50</v>
      </c>
      <c r="W152" s="388"/>
      <c r="X152" s="388"/>
      <c r="Y152" s="389">
        <f t="shared" si="51"/>
        <v>100</v>
      </c>
    </row>
    <row r="153" spans="1:25" s="58" customFormat="1" x14ac:dyDescent="0.25">
      <c r="A153" s="388" t="s">
        <v>2453</v>
      </c>
      <c r="B153" s="388" t="str">
        <f>VLOOKUP(A153,TaskValues_ref!E:F,2,FALSE)</f>
        <v>Surveillance for NTDs</v>
      </c>
      <c r="C153" s="388">
        <v>100</v>
      </c>
      <c r="D153" s="388"/>
      <c r="E153" s="389">
        <f t="shared" si="48"/>
        <v>100</v>
      </c>
      <c r="F153" s="387"/>
      <c r="G153" s="388"/>
      <c r="H153" s="388">
        <v>100</v>
      </c>
      <c r="I153" s="388"/>
      <c r="J153" s="389">
        <f t="shared" si="49"/>
        <v>100</v>
      </c>
      <c r="K153" s="387"/>
      <c r="L153" s="388"/>
      <c r="M153" s="388"/>
      <c r="N153" s="388"/>
      <c r="O153" s="388"/>
      <c r="P153" s="388">
        <v>100</v>
      </c>
      <c r="Q153" s="388"/>
      <c r="R153" s="389">
        <f t="shared" si="50"/>
        <v>100</v>
      </c>
      <c r="S153" s="387"/>
      <c r="T153" s="388"/>
      <c r="U153" s="388"/>
      <c r="V153" s="388"/>
      <c r="W153" s="388">
        <f t="shared" ref="W153:W173" si="61">M153+P153</f>
        <v>100</v>
      </c>
      <c r="X153" s="388"/>
      <c r="Y153" s="389">
        <f t="shared" si="51"/>
        <v>100</v>
      </c>
    </row>
    <row r="154" spans="1:25" s="58" customFormat="1" x14ac:dyDescent="0.25">
      <c r="A154" s="388" t="s">
        <v>2732</v>
      </c>
      <c r="B154" s="388" t="str">
        <f>VLOOKUP(A154,TaskValues_ref!E:F,2,FALSE)</f>
        <v>LF screening &amp; referral</v>
      </c>
      <c r="C154" s="388">
        <v>100</v>
      </c>
      <c r="D154" s="388"/>
      <c r="E154" s="389">
        <f t="shared" si="48"/>
        <v>100</v>
      </c>
      <c r="F154" s="387"/>
      <c r="G154" s="388"/>
      <c r="H154" s="388">
        <v>100</v>
      </c>
      <c r="I154" s="388"/>
      <c r="J154" s="389">
        <f t="shared" si="49"/>
        <v>100</v>
      </c>
      <c r="K154" s="387"/>
      <c r="L154" s="388"/>
      <c r="M154" s="388">
        <v>100</v>
      </c>
      <c r="N154" s="388"/>
      <c r="O154" s="388"/>
      <c r="P154" s="388"/>
      <c r="Q154" s="388"/>
      <c r="R154" s="389">
        <f t="shared" si="50"/>
        <v>100</v>
      </c>
      <c r="S154" s="387"/>
      <c r="T154" s="388"/>
      <c r="U154" s="388"/>
      <c r="V154" s="388"/>
      <c r="W154" s="388">
        <f t="shared" si="61"/>
        <v>100</v>
      </c>
      <c r="X154" s="388"/>
      <c r="Y154" s="389">
        <f t="shared" si="51"/>
        <v>100</v>
      </c>
    </row>
    <row r="155" spans="1:25" s="58" customFormat="1" x14ac:dyDescent="0.25">
      <c r="A155" s="388" t="s">
        <v>2733</v>
      </c>
      <c r="B155" s="388" t="str">
        <f>VLOOKUP(A155,TaskValues_ref!E:F,2,FALSE)</f>
        <v>LF MDA</v>
      </c>
      <c r="C155" s="388">
        <v>100</v>
      </c>
      <c r="D155" s="388"/>
      <c r="E155" s="389">
        <f t="shared" si="48"/>
        <v>100</v>
      </c>
      <c r="F155" s="387"/>
      <c r="G155" s="388"/>
      <c r="H155" s="388">
        <v>100</v>
      </c>
      <c r="I155" s="388"/>
      <c r="J155" s="389">
        <f t="shared" si="49"/>
        <v>100</v>
      </c>
      <c r="K155" s="387"/>
      <c r="L155" s="388"/>
      <c r="M155" s="388"/>
      <c r="N155" s="388"/>
      <c r="O155" s="388"/>
      <c r="P155" s="388">
        <v>100</v>
      </c>
      <c r="Q155" s="388"/>
      <c r="R155" s="389">
        <f t="shared" si="50"/>
        <v>100</v>
      </c>
      <c r="S155" s="387"/>
      <c r="T155" s="388"/>
      <c r="U155" s="388"/>
      <c r="V155" s="388"/>
      <c r="W155" s="388">
        <f t="shared" si="61"/>
        <v>100</v>
      </c>
      <c r="X155" s="388"/>
      <c r="Y155" s="389">
        <f t="shared" si="51"/>
        <v>100</v>
      </c>
    </row>
    <row r="156" spans="1:25" s="58" customFormat="1" x14ac:dyDescent="0.25">
      <c r="A156" s="388" t="s">
        <v>2734</v>
      </c>
      <c r="B156" s="388" t="str">
        <f>VLOOKUP(A156,TaskValues_ref!E:F,2,FALSE)</f>
        <v>LLINs and IRS</v>
      </c>
      <c r="C156" s="388">
        <v>100</v>
      </c>
      <c r="D156" s="388"/>
      <c r="E156" s="389">
        <f t="shared" si="48"/>
        <v>100</v>
      </c>
      <c r="F156" s="387"/>
      <c r="G156" s="388"/>
      <c r="H156" s="388">
        <v>100</v>
      </c>
      <c r="I156" s="388"/>
      <c r="J156" s="389">
        <f t="shared" si="49"/>
        <v>100</v>
      </c>
      <c r="K156" s="387"/>
      <c r="L156" s="388"/>
      <c r="M156" s="388"/>
      <c r="N156" s="388"/>
      <c r="O156" s="388"/>
      <c r="P156" s="388">
        <v>100</v>
      </c>
      <c r="Q156" s="388"/>
      <c r="R156" s="389">
        <f t="shared" si="50"/>
        <v>100</v>
      </c>
      <c r="S156" s="387"/>
      <c r="T156" s="388"/>
      <c r="U156" s="388"/>
      <c r="V156" s="388"/>
      <c r="W156" s="388">
        <f t="shared" si="61"/>
        <v>100</v>
      </c>
      <c r="X156" s="388"/>
      <c r="Y156" s="389">
        <f t="shared" si="51"/>
        <v>100</v>
      </c>
    </row>
    <row r="157" spans="1:25" s="58" customFormat="1" x14ac:dyDescent="0.25">
      <c r="A157" s="388" t="s">
        <v>2735</v>
      </c>
      <c r="B157" s="388" t="str">
        <f>VLOOKUP(A157,TaskValues_ref!E:F,2,FALSE)</f>
        <v>LF behavior change</v>
      </c>
      <c r="C157" s="388">
        <v>100</v>
      </c>
      <c r="D157" s="388"/>
      <c r="E157" s="389">
        <f t="shared" si="48"/>
        <v>100</v>
      </c>
      <c r="F157" s="387"/>
      <c r="G157" s="388"/>
      <c r="H157" s="388">
        <v>100</v>
      </c>
      <c r="I157" s="388"/>
      <c r="J157" s="389">
        <f t="shared" si="49"/>
        <v>100</v>
      </c>
      <c r="K157" s="387"/>
      <c r="L157" s="388"/>
      <c r="M157" s="388">
        <v>50</v>
      </c>
      <c r="N157" s="388"/>
      <c r="O157" s="388"/>
      <c r="P157" s="388">
        <v>50</v>
      </c>
      <c r="Q157" s="388"/>
      <c r="R157" s="389">
        <f t="shared" si="50"/>
        <v>100</v>
      </c>
      <c r="S157" s="387"/>
      <c r="T157" s="388"/>
      <c r="U157" s="388">
        <v>50</v>
      </c>
      <c r="V157" s="388"/>
      <c r="W157" s="388">
        <v>50</v>
      </c>
      <c r="X157" s="388"/>
      <c r="Y157" s="389">
        <f t="shared" si="51"/>
        <v>100</v>
      </c>
    </row>
    <row r="158" spans="1:25" s="58" customFormat="1" x14ac:dyDescent="0.25">
      <c r="A158" s="388" t="s">
        <v>2736</v>
      </c>
      <c r="B158" s="388" t="str">
        <f>VLOOKUP(A158,TaskValues_ref!E:F,2,FALSE)</f>
        <v>Oncho MDA</v>
      </c>
      <c r="C158" s="388">
        <v>100</v>
      </c>
      <c r="D158" s="388"/>
      <c r="E158" s="389">
        <f t="shared" si="48"/>
        <v>100</v>
      </c>
      <c r="F158" s="387"/>
      <c r="G158" s="388"/>
      <c r="H158" s="388">
        <v>100</v>
      </c>
      <c r="I158" s="388"/>
      <c r="J158" s="389">
        <f t="shared" si="49"/>
        <v>100</v>
      </c>
      <c r="K158" s="387"/>
      <c r="L158" s="388"/>
      <c r="M158" s="388"/>
      <c r="N158" s="388"/>
      <c r="O158" s="388"/>
      <c r="P158" s="388">
        <v>100</v>
      </c>
      <c r="Q158" s="388"/>
      <c r="R158" s="389">
        <f t="shared" si="50"/>
        <v>100</v>
      </c>
      <c r="S158" s="387"/>
      <c r="T158" s="388"/>
      <c r="U158" s="388"/>
      <c r="V158" s="388"/>
      <c r="W158" s="388">
        <f t="shared" si="61"/>
        <v>100</v>
      </c>
      <c r="X158" s="388"/>
      <c r="Y158" s="389">
        <f t="shared" si="51"/>
        <v>100</v>
      </c>
    </row>
    <row r="159" spans="1:25" s="58" customFormat="1" x14ac:dyDescent="0.25">
      <c r="A159" s="388" t="s">
        <v>2737</v>
      </c>
      <c r="B159" s="388" t="str">
        <f>VLOOKUP(A159,TaskValues_ref!E:F,2,FALSE)</f>
        <v>Oncho behavior change</v>
      </c>
      <c r="C159" s="388">
        <v>100</v>
      </c>
      <c r="D159" s="388"/>
      <c r="E159" s="389">
        <f t="shared" si="48"/>
        <v>100</v>
      </c>
      <c r="F159" s="387"/>
      <c r="G159" s="388"/>
      <c r="H159" s="388">
        <v>100</v>
      </c>
      <c r="I159" s="388"/>
      <c r="J159" s="389">
        <f t="shared" si="49"/>
        <v>100</v>
      </c>
      <c r="K159" s="387"/>
      <c r="L159" s="388"/>
      <c r="M159" s="388">
        <v>50</v>
      </c>
      <c r="N159" s="388"/>
      <c r="O159" s="388"/>
      <c r="P159" s="388">
        <v>50</v>
      </c>
      <c r="Q159" s="388"/>
      <c r="R159" s="389">
        <f t="shared" si="50"/>
        <v>100</v>
      </c>
      <c r="S159" s="387"/>
      <c r="T159" s="388"/>
      <c r="U159" s="388">
        <v>50</v>
      </c>
      <c r="V159" s="388"/>
      <c r="W159" s="388">
        <v>50</v>
      </c>
      <c r="X159" s="388"/>
      <c r="Y159" s="389">
        <f t="shared" si="51"/>
        <v>100</v>
      </c>
    </row>
    <row r="160" spans="1:25" s="58" customFormat="1" x14ac:dyDescent="0.25">
      <c r="A160" s="388" t="s">
        <v>2738</v>
      </c>
      <c r="B160" s="388" t="str">
        <f>VLOOKUP(A160,TaskValues_ref!E:F,2,FALSE)</f>
        <v>Trachoma behavior change</v>
      </c>
      <c r="C160" s="388">
        <v>100</v>
      </c>
      <c r="D160" s="388"/>
      <c r="E160" s="389">
        <f t="shared" si="48"/>
        <v>100</v>
      </c>
      <c r="F160" s="387"/>
      <c r="G160" s="388"/>
      <c r="H160" s="388">
        <v>100</v>
      </c>
      <c r="I160" s="388"/>
      <c r="J160" s="389">
        <f t="shared" si="49"/>
        <v>100</v>
      </c>
      <c r="K160" s="387"/>
      <c r="L160" s="388"/>
      <c r="M160" s="388">
        <v>50</v>
      </c>
      <c r="N160" s="388"/>
      <c r="O160" s="388"/>
      <c r="P160" s="388">
        <v>50</v>
      </c>
      <c r="Q160" s="388"/>
      <c r="R160" s="389">
        <f t="shared" si="50"/>
        <v>100</v>
      </c>
      <c r="S160" s="387"/>
      <c r="T160" s="388"/>
      <c r="U160" s="388">
        <v>50</v>
      </c>
      <c r="V160" s="388"/>
      <c r="W160" s="388">
        <v>50</v>
      </c>
      <c r="X160" s="388"/>
      <c r="Y160" s="389">
        <f t="shared" si="51"/>
        <v>100</v>
      </c>
    </row>
    <row r="161" spans="1:25" s="58" customFormat="1" x14ac:dyDescent="0.25">
      <c r="A161" s="388" t="s">
        <v>2739</v>
      </c>
      <c r="B161" s="388" t="str">
        <f>VLOOKUP(A161,TaskValues_ref!E:F,2,FALSE)</f>
        <v>Promote water and sanitation</v>
      </c>
      <c r="C161" s="388">
        <v>100</v>
      </c>
      <c r="D161" s="388"/>
      <c r="E161" s="389">
        <f t="shared" si="48"/>
        <v>100</v>
      </c>
      <c r="F161" s="387"/>
      <c r="G161" s="388"/>
      <c r="H161" s="388">
        <v>100</v>
      </c>
      <c r="I161" s="388"/>
      <c r="J161" s="389">
        <f t="shared" si="49"/>
        <v>100</v>
      </c>
      <c r="K161" s="387"/>
      <c r="L161" s="388"/>
      <c r="M161" s="388">
        <v>50</v>
      </c>
      <c r="N161" s="388"/>
      <c r="O161" s="388"/>
      <c r="P161" s="388">
        <v>50</v>
      </c>
      <c r="Q161" s="388"/>
      <c r="R161" s="389">
        <f t="shared" si="50"/>
        <v>100</v>
      </c>
      <c r="S161" s="387"/>
      <c r="T161" s="388"/>
      <c r="U161" s="388">
        <v>50</v>
      </c>
      <c r="V161" s="388"/>
      <c r="W161" s="388">
        <v>50</v>
      </c>
      <c r="X161" s="388"/>
      <c r="Y161" s="389">
        <f t="shared" si="51"/>
        <v>100</v>
      </c>
    </row>
    <row r="162" spans="1:25" s="58" customFormat="1" x14ac:dyDescent="0.25">
      <c r="A162" s="388" t="s">
        <v>2740</v>
      </c>
      <c r="B162" s="388" t="str">
        <f>VLOOKUP(A162,TaskValues_ref!E:F,2,FALSE)</f>
        <v>Dx &amp; treat trachoma</v>
      </c>
      <c r="C162" s="388">
        <v>100</v>
      </c>
      <c r="D162" s="388"/>
      <c r="E162" s="389">
        <f t="shared" ref="E162:E180" si="62">SUM(C162:D162)</f>
        <v>100</v>
      </c>
      <c r="F162" s="387"/>
      <c r="G162" s="388"/>
      <c r="H162" s="388">
        <v>100</v>
      </c>
      <c r="I162" s="388"/>
      <c r="J162" s="389">
        <f t="shared" si="49"/>
        <v>100</v>
      </c>
      <c r="K162" s="387"/>
      <c r="L162" s="388"/>
      <c r="M162" s="388">
        <v>100</v>
      </c>
      <c r="N162" s="388"/>
      <c r="O162" s="388"/>
      <c r="P162" s="388"/>
      <c r="Q162" s="388"/>
      <c r="R162" s="389">
        <f t="shared" si="50"/>
        <v>100</v>
      </c>
      <c r="S162" s="387"/>
      <c r="T162" s="388"/>
      <c r="U162" s="388"/>
      <c r="V162" s="388"/>
      <c r="W162" s="388">
        <f t="shared" si="61"/>
        <v>100</v>
      </c>
      <c r="X162" s="388"/>
      <c r="Y162" s="389">
        <f t="shared" si="51"/>
        <v>100</v>
      </c>
    </row>
    <row r="163" spans="1:25" s="58" customFormat="1" x14ac:dyDescent="0.25">
      <c r="A163" s="388" t="s">
        <v>2741</v>
      </c>
      <c r="B163" s="388" t="str">
        <f>VLOOKUP(A163,TaskValues_ref!E:F,2,FALSE)</f>
        <v>Trochomatous trichiasis surgery</v>
      </c>
      <c r="C163" s="388">
        <v>100</v>
      </c>
      <c r="D163" s="388"/>
      <c r="E163" s="389">
        <f t="shared" si="62"/>
        <v>100</v>
      </c>
      <c r="F163" s="387"/>
      <c r="G163" s="388"/>
      <c r="H163" s="388">
        <v>100</v>
      </c>
      <c r="I163" s="388"/>
      <c r="J163" s="389">
        <f t="shared" si="49"/>
        <v>100</v>
      </c>
      <c r="K163" s="387"/>
      <c r="L163" s="388"/>
      <c r="M163" s="388">
        <v>100</v>
      </c>
      <c r="N163" s="388"/>
      <c r="O163" s="388"/>
      <c r="P163" s="388"/>
      <c r="Q163" s="388"/>
      <c r="R163" s="389">
        <f t="shared" si="50"/>
        <v>100</v>
      </c>
      <c r="S163" s="387"/>
      <c r="T163" s="388"/>
      <c r="U163" s="388"/>
      <c r="V163" s="388"/>
      <c r="W163" s="388">
        <f t="shared" si="61"/>
        <v>100</v>
      </c>
      <c r="X163" s="388"/>
      <c r="Y163" s="389">
        <f t="shared" si="51"/>
        <v>100</v>
      </c>
    </row>
    <row r="164" spans="1:25" s="58" customFormat="1" x14ac:dyDescent="0.25">
      <c r="A164" s="388" t="s">
        <v>2742</v>
      </c>
      <c r="B164" s="388" t="str">
        <f>VLOOKUP(A164,TaskValues_ref!E:F,2,FALSE)</f>
        <v>Trachoma MDA</v>
      </c>
      <c r="C164" s="388">
        <v>100</v>
      </c>
      <c r="D164" s="388"/>
      <c r="E164" s="389">
        <f t="shared" si="62"/>
        <v>100</v>
      </c>
      <c r="F164" s="387"/>
      <c r="G164" s="388"/>
      <c r="H164" s="388">
        <v>100</v>
      </c>
      <c r="I164" s="388"/>
      <c r="J164" s="389">
        <f t="shared" si="49"/>
        <v>100</v>
      </c>
      <c r="K164" s="387"/>
      <c r="L164" s="388"/>
      <c r="M164" s="388"/>
      <c r="N164" s="388"/>
      <c r="O164" s="388"/>
      <c r="P164" s="390">
        <v>100</v>
      </c>
      <c r="Q164" s="388"/>
      <c r="R164" s="389">
        <f t="shared" si="50"/>
        <v>100</v>
      </c>
      <c r="S164" s="387"/>
      <c r="T164" s="388"/>
      <c r="U164" s="388"/>
      <c r="V164" s="388"/>
      <c r="W164" s="388">
        <f t="shared" si="61"/>
        <v>100</v>
      </c>
      <c r="X164" s="388"/>
      <c r="Y164" s="389">
        <f t="shared" si="51"/>
        <v>100</v>
      </c>
    </row>
    <row r="165" spans="1:25" s="58" customFormat="1" x14ac:dyDescent="0.25">
      <c r="A165" s="388" t="s">
        <v>2743</v>
      </c>
      <c r="B165" s="388" t="str">
        <f>VLOOKUP(A165,TaskValues_ref!E:F,2,FALSE)</f>
        <v>Promote face washing</v>
      </c>
      <c r="C165" s="388">
        <v>100</v>
      </c>
      <c r="D165" s="388"/>
      <c r="E165" s="389">
        <f t="shared" si="62"/>
        <v>100</v>
      </c>
      <c r="F165" s="387"/>
      <c r="G165" s="388"/>
      <c r="H165" s="388">
        <v>100</v>
      </c>
      <c r="I165" s="388"/>
      <c r="J165" s="389">
        <f t="shared" si="49"/>
        <v>100</v>
      </c>
      <c r="K165" s="387"/>
      <c r="L165" s="388"/>
      <c r="M165" s="388">
        <v>50</v>
      </c>
      <c r="N165" s="388"/>
      <c r="O165" s="388"/>
      <c r="P165" s="388">
        <v>50</v>
      </c>
      <c r="Q165" s="388"/>
      <c r="R165" s="389">
        <f t="shared" si="50"/>
        <v>100</v>
      </c>
      <c r="S165" s="387"/>
      <c r="T165" s="388"/>
      <c r="U165" s="388">
        <v>50</v>
      </c>
      <c r="V165" s="388"/>
      <c r="W165" s="388">
        <v>50</v>
      </c>
      <c r="X165" s="388"/>
      <c r="Y165" s="389">
        <f t="shared" si="51"/>
        <v>100</v>
      </c>
    </row>
    <row r="166" spans="1:25" s="58" customFormat="1" x14ac:dyDescent="0.25">
      <c r="A166" s="388" t="s">
        <v>2744</v>
      </c>
      <c r="B166" s="388" t="str">
        <f>VLOOKUP(A166,TaskValues_ref!E:F,2,FALSE)</f>
        <v>Schisto behavior change</v>
      </c>
      <c r="C166" s="388">
        <v>100</v>
      </c>
      <c r="D166" s="388"/>
      <c r="E166" s="389">
        <f t="shared" si="62"/>
        <v>100</v>
      </c>
      <c r="F166" s="387"/>
      <c r="G166" s="388"/>
      <c r="H166" s="388">
        <v>100</v>
      </c>
      <c r="I166" s="388"/>
      <c r="J166" s="389">
        <f t="shared" si="49"/>
        <v>100</v>
      </c>
      <c r="K166" s="387"/>
      <c r="L166" s="388"/>
      <c r="M166" s="388">
        <v>50</v>
      </c>
      <c r="N166" s="388"/>
      <c r="O166" s="388"/>
      <c r="P166" s="388">
        <v>50</v>
      </c>
      <c r="Q166" s="388"/>
      <c r="R166" s="389">
        <f t="shared" si="50"/>
        <v>100</v>
      </c>
      <c r="S166" s="387"/>
      <c r="T166" s="388"/>
      <c r="U166" s="388">
        <v>50</v>
      </c>
      <c r="V166" s="388"/>
      <c r="W166" s="388">
        <v>50</v>
      </c>
      <c r="X166" s="388"/>
      <c r="Y166" s="389">
        <f t="shared" si="51"/>
        <v>100</v>
      </c>
    </row>
    <row r="167" spans="1:25" s="58" customFormat="1" x14ac:dyDescent="0.25">
      <c r="A167" s="388" t="s">
        <v>2745</v>
      </c>
      <c r="B167" s="388" t="str">
        <f>VLOOKUP(A167,TaskValues_ref!E:F,2,FALSE)</f>
        <v>Snail control</v>
      </c>
      <c r="C167" s="388">
        <v>100</v>
      </c>
      <c r="D167" s="388"/>
      <c r="E167" s="389">
        <f t="shared" si="62"/>
        <v>100</v>
      </c>
      <c r="F167" s="387"/>
      <c r="G167" s="388"/>
      <c r="H167" s="388">
        <v>100</v>
      </c>
      <c r="I167" s="388"/>
      <c r="J167" s="389">
        <f t="shared" si="49"/>
        <v>100</v>
      </c>
      <c r="K167" s="387"/>
      <c r="L167" s="388"/>
      <c r="M167" s="388"/>
      <c r="N167" s="388"/>
      <c r="O167" s="388"/>
      <c r="P167" s="388">
        <v>100</v>
      </c>
      <c r="Q167" s="388"/>
      <c r="R167" s="389">
        <f t="shared" si="50"/>
        <v>100</v>
      </c>
      <c r="S167" s="387"/>
      <c r="T167" s="388"/>
      <c r="U167" s="388"/>
      <c r="V167" s="388"/>
      <c r="W167" s="388">
        <f t="shared" si="61"/>
        <v>100</v>
      </c>
      <c r="X167" s="388"/>
      <c r="Y167" s="389">
        <f t="shared" si="51"/>
        <v>100</v>
      </c>
    </row>
    <row r="168" spans="1:25" s="58" customFormat="1" x14ac:dyDescent="0.25">
      <c r="A168" s="388" t="s">
        <v>2746</v>
      </c>
      <c r="B168" s="388" t="str">
        <f>VLOOKUP(A168,TaskValues_ref!E:F,2,FALSE)</f>
        <v>Schisto MDA</v>
      </c>
      <c r="C168" s="388">
        <v>100</v>
      </c>
      <c r="D168" s="388"/>
      <c r="E168" s="389">
        <f t="shared" si="62"/>
        <v>100</v>
      </c>
      <c r="F168" s="387"/>
      <c r="G168" s="388"/>
      <c r="H168" s="388">
        <v>100</v>
      </c>
      <c r="I168" s="388"/>
      <c r="J168" s="389">
        <f t="shared" si="49"/>
        <v>100</v>
      </c>
      <c r="K168" s="387"/>
      <c r="L168" s="388"/>
      <c r="M168" s="388"/>
      <c r="N168" s="388"/>
      <c r="O168" s="388"/>
      <c r="P168" s="390">
        <v>100</v>
      </c>
      <c r="Q168" s="388"/>
      <c r="R168" s="389">
        <f t="shared" si="50"/>
        <v>100</v>
      </c>
      <c r="S168" s="387"/>
      <c r="T168" s="388"/>
      <c r="U168" s="388"/>
      <c r="V168" s="388"/>
      <c r="W168" s="388">
        <f t="shared" si="61"/>
        <v>100</v>
      </c>
      <c r="X168" s="388"/>
      <c r="Y168" s="389">
        <f t="shared" si="51"/>
        <v>100</v>
      </c>
    </row>
    <row r="169" spans="1:25" s="58" customFormat="1" x14ac:dyDescent="0.25">
      <c r="A169" s="388" t="s">
        <v>2747</v>
      </c>
      <c r="B169" s="388" t="str">
        <f>VLOOKUP(A169,TaskValues_ref!E:F,2,FALSE)</f>
        <v>STH behavior change</v>
      </c>
      <c r="C169" s="388">
        <v>100</v>
      </c>
      <c r="D169" s="388"/>
      <c r="E169" s="389">
        <f t="shared" si="62"/>
        <v>100</v>
      </c>
      <c r="F169" s="387"/>
      <c r="G169" s="388"/>
      <c r="H169" s="388">
        <v>100</v>
      </c>
      <c r="I169" s="388"/>
      <c r="J169" s="389">
        <f t="shared" si="49"/>
        <v>100</v>
      </c>
      <c r="K169" s="387"/>
      <c r="L169" s="388"/>
      <c r="M169" s="388">
        <v>50</v>
      </c>
      <c r="N169" s="388"/>
      <c r="O169" s="388"/>
      <c r="P169" s="388">
        <v>50</v>
      </c>
      <c r="Q169" s="388"/>
      <c r="R169" s="389">
        <f t="shared" si="50"/>
        <v>100</v>
      </c>
      <c r="S169" s="387"/>
      <c r="T169" s="388"/>
      <c r="U169" s="388">
        <v>50</v>
      </c>
      <c r="V169" s="388"/>
      <c r="W169" s="388">
        <v>50</v>
      </c>
      <c r="X169" s="388"/>
      <c r="Y169" s="389">
        <f t="shared" si="51"/>
        <v>100</v>
      </c>
    </row>
    <row r="170" spans="1:25" s="58" customFormat="1" x14ac:dyDescent="0.25">
      <c r="A170" s="388" t="s">
        <v>2748</v>
      </c>
      <c r="B170" s="388" t="str">
        <f>VLOOKUP(A170,TaskValues_ref!E:F,2,FALSE)</f>
        <v>STH MDA</v>
      </c>
      <c r="C170" s="388">
        <v>100</v>
      </c>
      <c r="D170" s="388"/>
      <c r="E170" s="389">
        <f t="shared" si="62"/>
        <v>100</v>
      </c>
      <c r="F170" s="387"/>
      <c r="G170" s="388"/>
      <c r="H170" s="388">
        <v>100</v>
      </c>
      <c r="I170" s="388"/>
      <c r="J170" s="389">
        <f t="shared" si="49"/>
        <v>100</v>
      </c>
      <c r="K170" s="387"/>
      <c r="L170" s="388"/>
      <c r="M170" s="388"/>
      <c r="N170" s="388"/>
      <c r="O170" s="388"/>
      <c r="P170" s="390">
        <v>100</v>
      </c>
      <c r="Q170" s="388"/>
      <c r="R170" s="389">
        <f t="shared" si="50"/>
        <v>100</v>
      </c>
      <c r="S170" s="387"/>
      <c r="T170" s="388"/>
      <c r="U170" s="388"/>
      <c r="V170" s="388"/>
      <c r="W170" s="388">
        <f t="shared" si="61"/>
        <v>100</v>
      </c>
      <c r="X170" s="388"/>
      <c r="Y170" s="389">
        <f t="shared" si="51"/>
        <v>100</v>
      </c>
    </row>
    <row r="171" spans="1:25" s="58" customFormat="1" x14ac:dyDescent="0.25">
      <c r="A171" s="388" t="s">
        <v>2749</v>
      </c>
      <c r="B171" s="388" t="str">
        <f>VLOOKUP(A171,TaskValues_ref!E:F,2,FALSE)</f>
        <v>STH dx &amp; treat in pregnancy</v>
      </c>
      <c r="C171" s="388">
        <v>100</v>
      </c>
      <c r="D171" s="388"/>
      <c r="E171" s="389">
        <f t="shared" si="62"/>
        <v>100</v>
      </c>
      <c r="F171" s="387">
        <v>100</v>
      </c>
      <c r="G171" s="388"/>
      <c r="H171" s="388"/>
      <c r="I171" s="388"/>
      <c r="J171" s="389">
        <f t="shared" si="49"/>
        <v>100</v>
      </c>
      <c r="K171" s="387">
        <v>100</v>
      </c>
      <c r="L171" s="388"/>
      <c r="M171" s="388"/>
      <c r="N171" s="388"/>
      <c r="O171" s="388"/>
      <c r="P171" s="390"/>
      <c r="Q171" s="388"/>
      <c r="R171" s="389">
        <f t="shared" si="50"/>
        <v>100</v>
      </c>
      <c r="S171" s="387">
        <v>100</v>
      </c>
      <c r="T171" s="388"/>
      <c r="U171" s="388"/>
      <c r="V171" s="388"/>
      <c r="W171" s="388"/>
      <c r="X171" s="388"/>
      <c r="Y171" s="389">
        <f t="shared" si="51"/>
        <v>100</v>
      </c>
    </row>
    <row r="172" spans="1:25" s="58" customFormat="1" x14ac:dyDescent="0.25">
      <c r="A172" s="388" t="s">
        <v>2750</v>
      </c>
      <c r="B172" s="388" t="str">
        <f>VLOOKUP(A172,TaskValues_ref!E:F,2,FALSE)</f>
        <v>Scabies behavior change</v>
      </c>
      <c r="C172" s="388">
        <v>100</v>
      </c>
      <c r="D172" s="388"/>
      <c r="E172" s="389">
        <f t="shared" si="62"/>
        <v>100</v>
      </c>
      <c r="F172" s="387"/>
      <c r="G172" s="388"/>
      <c r="H172" s="388">
        <v>100</v>
      </c>
      <c r="I172" s="388"/>
      <c r="J172" s="389">
        <f t="shared" si="49"/>
        <v>100</v>
      </c>
      <c r="K172" s="387"/>
      <c r="L172" s="388"/>
      <c r="M172" s="388">
        <v>50</v>
      </c>
      <c r="N172" s="388"/>
      <c r="O172" s="388"/>
      <c r="P172" s="388">
        <v>50</v>
      </c>
      <c r="Q172" s="388"/>
      <c r="R172" s="389">
        <f t="shared" si="50"/>
        <v>100</v>
      </c>
      <c r="S172" s="387"/>
      <c r="T172" s="388"/>
      <c r="U172" s="388">
        <v>50</v>
      </c>
      <c r="V172" s="388"/>
      <c r="W172" s="388">
        <v>50</v>
      </c>
      <c r="X172" s="388"/>
      <c r="Y172" s="389">
        <f t="shared" si="51"/>
        <v>100</v>
      </c>
    </row>
    <row r="173" spans="1:25" s="58" customFormat="1" x14ac:dyDescent="0.25">
      <c r="A173" s="388" t="s">
        <v>2751</v>
      </c>
      <c r="B173" s="388" t="str">
        <f>VLOOKUP(A173,TaskValues_ref!E:F,2,FALSE)</f>
        <v>Scabies MDA</v>
      </c>
      <c r="C173" s="388">
        <v>100</v>
      </c>
      <c r="D173" s="388"/>
      <c r="E173" s="389">
        <f t="shared" si="62"/>
        <v>100</v>
      </c>
      <c r="F173" s="387"/>
      <c r="G173" s="388"/>
      <c r="H173" s="388">
        <v>100</v>
      </c>
      <c r="I173" s="388"/>
      <c r="J173" s="389">
        <f t="shared" si="49"/>
        <v>100</v>
      </c>
      <c r="K173" s="387"/>
      <c r="L173" s="388"/>
      <c r="M173" s="388"/>
      <c r="N173" s="388"/>
      <c r="O173" s="388"/>
      <c r="P173" s="390">
        <v>100</v>
      </c>
      <c r="Q173" s="388"/>
      <c r="R173" s="389">
        <f t="shared" si="50"/>
        <v>100</v>
      </c>
      <c r="S173" s="387"/>
      <c r="T173" s="388"/>
      <c r="U173" s="388"/>
      <c r="V173" s="388"/>
      <c r="W173" s="388">
        <f t="shared" si="61"/>
        <v>100</v>
      </c>
      <c r="X173" s="388"/>
      <c r="Y173" s="389">
        <f t="shared" si="51"/>
        <v>100</v>
      </c>
    </row>
    <row r="174" spans="1:25" x14ac:dyDescent="0.25">
      <c r="A174" s="319" t="s">
        <v>2627</v>
      </c>
      <c r="B174" s="319" t="str">
        <f>VLOOKUP(A174,TaskValues_ref!E:F,2,FALSE)</f>
        <v>Model household program</v>
      </c>
      <c r="C174" s="388">
        <v>100</v>
      </c>
      <c r="E174" s="320">
        <f t="shared" si="62"/>
        <v>100</v>
      </c>
      <c r="H174" s="319">
        <v>100</v>
      </c>
      <c r="J174" s="320">
        <f t="shared" si="49"/>
        <v>100</v>
      </c>
      <c r="P174" s="390">
        <v>100</v>
      </c>
      <c r="R174" s="320">
        <f t="shared" si="50"/>
        <v>100</v>
      </c>
      <c r="W174" s="319">
        <v>100</v>
      </c>
      <c r="Y174" s="320">
        <f t="shared" si="51"/>
        <v>100</v>
      </c>
    </row>
    <row r="175" spans="1:25" x14ac:dyDescent="0.25">
      <c r="A175" s="319" t="s">
        <v>2628</v>
      </c>
      <c r="B175" s="319" t="str">
        <f>VLOOKUP(A175,TaskValues_ref!E:F,2,FALSE)</f>
        <v>Model household program</v>
      </c>
      <c r="C175" s="388">
        <v>100</v>
      </c>
      <c r="E175" s="320">
        <f t="shared" si="62"/>
        <v>100</v>
      </c>
      <c r="H175" s="319">
        <v>100</v>
      </c>
      <c r="J175" s="320">
        <f t="shared" si="49"/>
        <v>100</v>
      </c>
      <c r="M175" s="319">
        <v>50</v>
      </c>
      <c r="N175" s="319">
        <v>50</v>
      </c>
      <c r="R175" s="320">
        <f t="shared" si="50"/>
        <v>100</v>
      </c>
      <c r="U175" s="319">
        <v>100</v>
      </c>
      <c r="Y175" s="320">
        <f t="shared" si="51"/>
        <v>100</v>
      </c>
    </row>
    <row r="176" spans="1:25" x14ac:dyDescent="0.25">
      <c r="A176" s="319" t="s">
        <v>1953</v>
      </c>
      <c r="B176" s="319" t="str">
        <f>VLOOKUP(A176,TaskValues_ref!E:F,2,FALSE)</f>
        <v>Record keeping</v>
      </c>
      <c r="C176" s="388">
        <v>100</v>
      </c>
      <c r="E176" s="320">
        <f t="shared" si="62"/>
        <v>100</v>
      </c>
      <c r="F176" s="64">
        <v>25</v>
      </c>
      <c r="G176" s="321">
        <v>25</v>
      </c>
      <c r="H176" s="390">
        <v>50</v>
      </c>
      <c r="J176" s="320">
        <f t="shared" si="49"/>
        <v>100</v>
      </c>
      <c r="K176" s="64">
        <f>1/6*100</f>
        <v>16.666666666666664</v>
      </c>
      <c r="L176" s="319">
        <f t="shared" ref="L176:P176" si="63">1/6*100</f>
        <v>16.666666666666664</v>
      </c>
      <c r="M176" s="319">
        <f t="shared" si="63"/>
        <v>16.666666666666664</v>
      </c>
      <c r="N176" s="319">
        <f t="shared" si="63"/>
        <v>16.666666666666664</v>
      </c>
      <c r="O176" s="319">
        <f t="shared" si="63"/>
        <v>16.666666666666664</v>
      </c>
      <c r="P176" s="319">
        <f t="shared" si="63"/>
        <v>16.666666666666664</v>
      </c>
      <c r="R176" s="320">
        <f>SUM(K176:Q176)</f>
        <v>99.999999999999972</v>
      </c>
      <c r="S176" s="64">
        <f>1/6*100</f>
        <v>16.666666666666664</v>
      </c>
      <c r="T176" s="319">
        <f t="shared" ref="T176:W176" si="64">1/6*100</f>
        <v>16.666666666666664</v>
      </c>
      <c r="U176" s="319">
        <f>1/6*100*2</f>
        <v>33.333333333333329</v>
      </c>
      <c r="V176" s="319">
        <f t="shared" si="64"/>
        <v>16.666666666666664</v>
      </c>
      <c r="W176" s="319">
        <f t="shared" si="64"/>
        <v>16.666666666666664</v>
      </c>
      <c r="Y176" s="320">
        <f t="shared" si="51"/>
        <v>99.999999999999972</v>
      </c>
    </row>
    <row r="177" spans="1:25" x14ac:dyDescent="0.25">
      <c r="A177" s="319" t="s">
        <v>2795</v>
      </c>
      <c r="B177" s="319" t="s">
        <v>2797</v>
      </c>
      <c r="C177" s="388">
        <v>100</v>
      </c>
      <c r="E177" s="320">
        <f t="shared" si="62"/>
        <v>100</v>
      </c>
      <c r="H177" s="321">
        <v>100</v>
      </c>
      <c r="J177" s="320">
        <f t="shared" ref="J177:J178" si="65">SUM(F177:I177)</f>
        <v>100</v>
      </c>
      <c r="P177" s="321">
        <v>100</v>
      </c>
      <c r="R177" s="320">
        <f>SUM(K177:Q177)</f>
        <v>100</v>
      </c>
      <c r="W177" s="319">
        <v>100</v>
      </c>
      <c r="Y177" s="320">
        <f t="shared" si="51"/>
        <v>100</v>
      </c>
    </row>
    <row r="178" spans="1:25" x14ac:dyDescent="0.25">
      <c r="A178" s="319" t="s">
        <v>2796</v>
      </c>
      <c r="B178" s="319" t="s">
        <v>2798</v>
      </c>
      <c r="C178" s="388">
        <v>100</v>
      </c>
      <c r="E178" s="320">
        <f t="shared" si="62"/>
        <v>100</v>
      </c>
      <c r="H178" s="321">
        <v>100</v>
      </c>
      <c r="J178" s="320">
        <f t="shared" si="65"/>
        <v>100</v>
      </c>
      <c r="M178" s="319">
        <v>100</v>
      </c>
      <c r="P178" s="321"/>
      <c r="R178" s="320">
        <f>SUM(K178:Q178)</f>
        <v>100</v>
      </c>
      <c r="U178" s="319">
        <v>100</v>
      </c>
      <c r="Y178" s="320">
        <f t="shared" si="51"/>
        <v>100</v>
      </c>
    </row>
    <row r="179" spans="1:25" x14ac:dyDescent="0.25">
      <c r="A179" s="64" t="s">
        <v>2813</v>
      </c>
      <c r="B179" s="321" t="s">
        <v>2819</v>
      </c>
      <c r="C179" s="388">
        <v>100</v>
      </c>
      <c r="E179" s="320">
        <f t="shared" si="62"/>
        <v>100</v>
      </c>
      <c r="H179" s="319">
        <v>100</v>
      </c>
      <c r="J179" s="320">
        <f t="shared" ref="J179:J182" si="66">SUM(F179:I179)</f>
        <v>100</v>
      </c>
      <c r="K179" s="64">
        <v>100</v>
      </c>
      <c r="R179" s="320">
        <f t="shared" ref="R179:R184" si="67">SUM(K179:Q179)</f>
        <v>100</v>
      </c>
      <c r="S179" s="64">
        <v>100</v>
      </c>
      <c r="Y179" s="320">
        <f t="shared" si="51"/>
        <v>100</v>
      </c>
    </row>
    <row r="180" spans="1:25" x14ac:dyDescent="0.25">
      <c r="A180" s="64" t="s">
        <v>2814</v>
      </c>
      <c r="B180" s="321" t="s">
        <v>2820</v>
      </c>
      <c r="C180" s="388">
        <v>100</v>
      </c>
      <c r="E180" s="320">
        <f t="shared" si="62"/>
        <v>100</v>
      </c>
      <c r="H180" s="319">
        <v>100</v>
      </c>
      <c r="J180" s="320">
        <f t="shared" si="66"/>
        <v>100</v>
      </c>
      <c r="L180" s="319">
        <v>100</v>
      </c>
      <c r="R180" s="320">
        <f t="shared" si="67"/>
        <v>100</v>
      </c>
      <c r="T180" s="319">
        <v>100</v>
      </c>
      <c r="Y180" s="320">
        <f t="shared" si="51"/>
        <v>100</v>
      </c>
    </row>
    <row r="181" spans="1:25" x14ac:dyDescent="0.25">
      <c r="A181" s="64" t="s">
        <v>2815</v>
      </c>
      <c r="B181" s="321" t="s">
        <v>2821</v>
      </c>
      <c r="H181" s="319">
        <v>100</v>
      </c>
      <c r="J181" s="320">
        <f t="shared" si="66"/>
        <v>100</v>
      </c>
      <c r="M181" s="319">
        <v>100</v>
      </c>
      <c r="R181" s="320">
        <f t="shared" si="67"/>
        <v>100</v>
      </c>
      <c r="U181" s="319">
        <v>100</v>
      </c>
      <c r="Y181" s="320">
        <f t="shared" si="51"/>
        <v>100</v>
      </c>
    </row>
    <row r="182" spans="1:25" x14ac:dyDescent="0.25">
      <c r="A182" s="64" t="s">
        <v>2816</v>
      </c>
      <c r="B182" s="321" t="s">
        <v>2822</v>
      </c>
      <c r="C182" s="321"/>
      <c r="H182" s="321">
        <v>100</v>
      </c>
      <c r="J182" s="320">
        <f t="shared" si="66"/>
        <v>100</v>
      </c>
      <c r="N182" s="319">
        <v>100</v>
      </c>
      <c r="R182" s="320">
        <f t="shared" si="67"/>
        <v>100</v>
      </c>
      <c r="U182" s="319">
        <v>100</v>
      </c>
      <c r="Y182" s="320">
        <f t="shared" si="51"/>
        <v>100</v>
      </c>
    </row>
    <row r="183" spans="1:25" x14ac:dyDescent="0.25">
      <c r="A183" s="321" t="s">
        <v>2817</v>
      </c>
      <c r="B183" s="321" t="s">
        <v>2823</v>
      </c>
      <c r="O183" s="319">
        <v>100</v>
      </c>
      <c r="R183" s="320">
        <f t="shared" si="67"/>
        <v>100</v>
      </c>
      <c r="V183" s="319">
        <v>100</v>
      </c>
      <c r="Y183" s="320">
        <f t="shared" si="51"/>
        <v>100</v>
      </c>
    </row>
    <row r="184" spans="1:25" x14ac:dyDescent="0.25">
      <c r="A184" s="321" t="s">
        <v>2818</v>
      </c>
      <c r="B184" s="321" t="s">
        <v>2824</v>
      </c>
      <c r="P184" s="319">
        <v>100</v>
      </c>
      <c r="R184" s="320">
        <f t="shared" si="67"/>
        <v>100</v>
      </c>
      <c r="W184" s="319">
        <v>100</v>
      </c>
      <c r="Y184" s="320">
        <f t="shared" si="51"/>
        <v>100</v>
      </c>
    </row>
  </sheetData>
  <conditionalFormatting sqref="E2:E31 E34:E40 E43:E53 E55:E59 E62:E66 E68 E86:E93 E96:E108 E70 E72 E74:E78 E123:E128 E115:E116 E110:E112 E119 E142 J152:J176 R152:R176 Y151:Y176 E152:E184">
    <cfRule type="cellIs" dxfId="316" priority="213" operator="notEqual">
      <formula>100</formula>
    </cfRule>
  </conditionalFormatting>
  <conditionalFormatting sqref="J2:J31 J34:J40 J43:J53 J55:J59 J62:J66 J68 J86:J93 J96:J108 J70 J72 J74:J78 J123:J128 J115:J116 J110:J112 J119 J142">
    <cfRule type="cellIs" dxfId="315" priority="212" operator="notEqual">
      <formula>100</formula>
    </cfRule>
  </conditionalFormatting>
  <conditionalFormatting sqref="R2:R31 R34:R40 R43:R53 R55:R59 R62:R66 R68 R86:R93 R96:R108 R70 R72 R74:R78 R123:R128 R115:R116 R110:R112 R119 R142">
    <cfRule type="cellIs" dxfId="314" priority="211" operator="notEqual">
      <formula>100</formula>
    </cfRule>
  </conditionalFormatting>
  <conditionalFormatting sqref="Y2:Y31 Y34:Y40 Y43:Y53 Y55:Y59 Y62:Y66 Y68 Y86:Y93 Y96:Y108 Y70 Y72 Y74:Y78 Y123:Y128 Y115:Y116 Y110:Y112 Y119 Y142">
    <cfRule type="cellIs" dxfId="313" priority="210" operator="notEqual">
      <formula>100</formula>
    </cfRule>
  </conditionalFormatting>
  <conditionalFormatting sqref="E151">
    <cfRule type="cellIs" dxfId="312" priority="209" operator="notEqual">
      <formula>100</formula>
    </cfRule>
  </conditionalFormatting>
  <conditionalFormatting sqref="J151">
    <cfRule type="cellIs" dxfId="311" priority="208" operator="notEqual">
      <formula>100</formula>
    </cfRule>
  </conditionalFormatting>
  <conditionalFormatting sqref="R151">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43">
    <cfRule type="cellIs" dxfId="213" priority="110" operator="notEqual">
      <formula>100</formula>
    </cfRule>
  </conditionalFormatting>
  <conditionalFormatting sqref="J143">
    <cfRule type="cellIs" dxfId="212" priority="109" operator="notEqual">
      <formula>100</formula>
    </cfRule>
  </conditionalFormatting>
  <conditionalFormatting sqref="R143">
    <cfRule type="cellIs" dxfId="211" priority="108" operator="notEqual">
      <formula>100</formula>
    </cfRule>
  </conditionalFormatting>
  <conditionalFormatting sqref="Y143">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33">
    <cfRule type="cellIs" dxfId="193" priority="90" operator="notEqual">
      <formula>100</formula>
    </cfRule>
  </conditionalFormatting>
  <conditionalFormatting sqref="J133">
    <cfRule type="cellIs" dxfId="192" priority="89" operator="notEqual">
      <formula>100</formula>
    </cfRule>
  </conditionalFormatting>
  <conditionalFormatting sqref="R133">
    <cfRule type="cellIs" dxfId="191" priority="88" operator="notEqual">
      <formula>100</formula>
    </cfRule>
  </conditionalFormatting>
  <conditionalFormatting sqref="Y133">
    <cfRule type="cellIs" dxfId="190" priority="87" operator="notEqual">
      <formula>100</formula>
    </cfRule>
  </conditionalFormatting>
  <conditionalFormatting sqref="E134">
    <cfRule type="cellIs" dxfId="189" priority="86" operator="notEqual">
      <formula>100</formula>
    </cfRule>
  </conditionalFormatting>
  <conditionalFormatting sqref="J134">
    <cfRule type="cellIs" dxfId="188" priority="85" operator="notEqual">
      <formula>100</formula>
    </cfRule>
  </conditionalFormatting>
  <conditionalFormatting sqref="R134">
    <cfRule type="cellIs" dxfId="187" priority="84" operator="notEqual">
      <formula>100</formula>
    </cfRule>
  </conditionalFormatting>
  <conditionalFormatting sqref="Y134">
    <cfRule type="cellIs" dxfId="186" priority="83" operator="notEqual">
      <formula>100</formula>
    </cfRule>
  </conditionalFormatting>
  <conditionalFormatting sqref="E137">
    <cfRule type="cellIs" dxfId="185" priority="82" operator="notEqual">
      <formula>100</formula>
    </cfRule>
  </conditionalFormatting>
  <conditionalFormatting sqref="J137">
    <cfRule type="cellIs" dxfId="184" priority="81" operator="notEqual">
      <formula>100</formula>
    </cfRule>
  </conditionalFormatting>
  <conditionalFormatting sqref="R137">
    <cfRule type="cellIs" dxfId="183" priority="80" operator="notEqual">
      <formula>100</formula>
    </cfRule>
  </conditionalFormatting>
  <conditionalFormatting sqref="Y137">
    <cfRule type="cellIs" dxfId="182" priority="79" operator="notEqual">
      <formula>100</formula>
    </cfRule>
  </conditionalFormatting>
  <conditionalFormatting sqref="E139">
    <cfRule type="cellIs" dxfId="181" priority="78" operator="notEqual">
      <formula>100</formula>
    </cfRule>
  </conditionalFormatting>
  <conditionalFormatting sqref="J139">
    <cfRule type="cellIs" dxfId="180" priority="77" operator="notEqual">
      <formula>100</formula>
    </cfRule>
  </conditionalFormatting>
  <conditionalFormatting sqref="R139">
    <cfRule type="cellIs" dxfId="179" priority="76" operator="notEqual">
      <formula>100</formula>
    </cfRule>
  </conditionalFormatting>
  <conditionalFormatting sqref="Y139">
    <cfRule type="cellIs" dxfId="178" priority="75" operator="notEqual">
      <formula>100</formula>
    </cfRule>
  </conditionalFormatting>
  <conditionalFormatting sqref="E140">
    <cfRule type="cellIs" dxfId="177" priority="74" operator="notEqual">
      <formula>100</formula>
    </cfRule>
  </conditionalFormatting>
  <conditionalFormatting sqref="J140">
    <cfRule type="cellIs" dxfId="176" priority="73" operator="notEqual">
      <formula>100</formula>
    </cfRule>
  </conditionalFormatting>
  <conditionalFormatting sqref="R140">
    <cfRule type="cellIs" dxfId="175" priority="72" operator="notEqual">
      <formula>100</formula>
    </cfRule>
  </conditionalFormatting>
  <conditionalFormatting sqref="Y140">
    <cfRule type="cellIs" dxfId="174" priority="71" operator="notEqual">
      <formula>100</formula>
    </cfRule>
  </conditionalFormatting>
  <conditionalFormatting sqref="E146">
    <cfRule type="cellIs" dxfId="173" priority="70" operator="notEqual">
      <formula>100</formula>
    </cfRule>
  </conditionalFormatting>
  <conditionalFormatting sqref="J146">
    <cfRule type="cellIs" dxfId="172" priority="69" operator="notEqual">
      <formula>100</formula>
    </cfRule>
  </conditionalFormatting>
  <conditionalFormatting sqref="R146">
    <cfRule type="cellIs" dxfId="171" priority="68" operator="notEqual">
      <formula>100</formula>
    </cfRule>
  </conditionalFormatting>
  <conditionalFormatting sqref="Y146">
    <cfRule type="cellIs" dxfId="170" priority="67" operator="notEqual">
      <formula>100</formula>
    </cfRule>
  </conditionalFormatting>
  <conditionalFormatting sqref="E129">
    <cfRule type="cellIs" dxfId="169" priority="66" operator="notEqual">
      <formula>100</formula>
    </cfRule>
  </conditionalFormatting>
  <conditionalFormatting sqref="J129">
    <cfRule type="cellIs" dxfId="168" priority="65" operator="notEqual">
      <formula>100</formula>
    </cfRule>
  </conditionalFormatting>
  <conditionalFormatting sqref="R129">
    <cfRule type="cellIs" dxfId="167" priority="64" operator="notEqual">
      <formula>100</formula>
    </cfRule>
  </conditionalFormatting>
  <conditionalFormatting sqref="Y129">
    <cfRule type="cellIs" dxfId="166" priority="63" operator="notEqual">
      <formula>100</formula>
    </cfRule>
  </conditionalFormatting>
  <conditionalFormatting sqref="E130">
    <cfRule type="cellIs" dxfId="165" priority="62" operator="notEqual">
      <formula>100</formula>
    </cfRule>
  </conditionalFormatting>
  <conditionalFormatting sqref="J130">
    <cfRule type="cellIs" dxfId="164" priority="61" operator="notEqual">
      <formula>100</formula>
    </cfRule>
  </conditionalFormatting>
  <conditionalFormatting sqref="R130">
    <cfRule type="cellIs" dxfId="163" priority="60" operator="notEqual">
      <formula>100</formula>
    </cfRule>
  </conditionalFormatting>
  <conditionalFormatting sqref="Y130">
    <cfRule type="cellIs" dxfId="162" priority="59" operator="notEqual">
      <formula>100</formula>
    </cfRule>
  </conditionalFormatting>
  <conditionalFormatting sqref="E131">
    <cfRule type="cellIs" dxfId="161" priority="58" operator="notEqual">
      <formula>100</formula>
    </cfRule>
  </conditionalFormatting>
  <conditionalFormatting sqref="J131">
    <cfRule type="cellIs" dxfId="160" priority="57" operator="notEqual">
      <formula>100</formula>
    </cfRule>
  </conditionalFormatting>
  <conditionalFormatting sqref="R131">
    <cfRule type="cellIs" dxfId="159" priority="56" operator="notEqual">
      <formula>100</formula>
    </cfRule>
  </conditionalFormatting>
  <conditionalFormatting sqref="Y131">
    <cfRule type="cellIs" dxfId="158" priority="55" operator="notEqual">
      <formula>100</formula>
    </cfRule>
  </conditionalFormatting>
  <conditionalFormatting sqref="E132">
    <cfRule type="cellIs" dxfId="157" priority="54" operator="notEqual">
      <formula>100</formula>
    </cfRule>
  </conditionalFormatting>
  <conditionalFormatting sqref="J132">
    <cfRule type="cellIs" dxfId="156" priority="53" operator="notEqual">
      <formula>100</formula>
    </cfRule>
  </conditionalFormatting>
  <conditionalFormatting sqref="R132">
    <cfRule type="cellIs" dxfId="155" priority="52" operator="notEqual">
      <formula>100</formula>
    </cfRule>
  </conditionalFormatting>
  <conditionalFormatting sqref="Y132">
    <cfRule type="cellIs" dxfId="154" priority="51" operator="notEqual">
      <formula>100</formula>
    </cfRule>
  </conditionalFormatting>
  <conditionalFormatting sqref="E135">
    <cfRule type="cellIs" dxfId="153" priority="50" operator="notEqual">
      <formula>100</formula>
    </cfRule>
  </conditionalFormatting>
  <conditionalFormatting sqref="J135">
    <cfRule type="cellIs" dxfId="152" priority="49" operator="notEqual">
      <formula>100</formula>
    </cfRule>
  </conditionalFormatting>
  <conditionalFormatting sqref="R135">
    <cfRule type="cellIs" dxfId="151" priority="48" operator="notEqual">
      <formula>100</formula>
    </cfRule>
  </conditionalFormatting>
  <conditionalFormatting sqref="Y135">
    <cfRule type="cellIs" dxfId="150" priority="47" operator="notEqual">
      <formula>100</formula>
    </cfRule>
  </conditionalFormatting>
  <conditionalFormatting sqref="E136">
    <cfRule type="cellIs" dxfId="149" priority="46" operator="notEqual">
      <formula>100</formula>
    </cfRule>
  </conditionalFormatting>
  <conditionalFormatting sqref="J136">
    <cfRule type="cellIs" dxfId="148" priority="45" operator="notEqual">
      <formula>100</formula>
    </cfRule>
  </conditionalFormatting>
  <conditionalFormatting sqref="R136">
    <cfRule type="cellIs" dxfId="147" priority="44" operator="notEqual">
      <formula>100</formula>
    </cfRule>
  </conditionalFormatting>
  <conditionalFormatting sqref="Y136">
    <cfRule type="cellIs" dxfId="146" priority="43" operator="notEqual">
      <formula>100</formula>
    </cfRule>
  </conditionalFormatting>
  <conditionalFormatting sqref="E138">
    <cfRule type="cellIs" dxfId="145" priority="42" operator="notEqual">
      <formula>100</formula>
    </cfRule>
  </conditionalFormatting>
  <conditionalFormatting sqref="J138">
    <cfRule type="cellIs" dxfId="144" priority="41" operator="notEqual">
      <formula>100</formula>
    </cfRule>
  </conditionalFormatting>
  <conditionalFormatting sqref="R138">
    <cfRule type="cellIs" dxfId="143" priority="40" operator="notEqual">
      <formula>100</formula>
    </cfRule>
  </conditionalFormatting>
  <conditionalFormatting sqref="Y138">
    <cfRule type="cellIs" dxfId="142" priority="39" operator="notEqual">
      <formula>100</formula>
    </cfRule>
  </conditionalFormatting>
  <conditionalFormatting sqref="E141">
    <cfRule type="cellIs" dxfId="141" priority="38" operator="notEqual">
      <formula>100</formula>
    </cfRule>
  </conditionalFormatting>
  <conditionalFormatting sqref="J141">
    <cfRule type="cellIs" dxfId="140" priority="37" operator="notEqual">
      <formula>100</formula>
    </cfRule>
  </conditionalFormatting>
  <conditionalFormatting sqref="R141">
    <cfRule type="cellIs" dxfId="139" priority="36" operator="notEqual">
      <formula>100</formula>
    </cfRule>
  </conditionalFormatting>
  <conditionalFormatting sqref="Y141">
    <cfRule type="cellIs" dxfId="138" priority="35" operator="notEqual">
      <formula>100</formula>
    </cfRule>
  </conditionalFormatting>
  <conditionalFormatting sqref="E144">
    <cfRule type="cellIs" dxfId="137" priority="34" operator="notEqual">
      <formula>100</formula>
    </cfRule>
  </conditionalFormatting>
  <conditionalFormatting sqref="J144">
    <cfRule type="cellIs" dxfId="136" priority="33" operator="notEqual">
      <formula>100</formula>
    </cfRule>
  </conditionalFormatting>
  <conditionalFormatting sqref="R144">
    <cfRule type="cellIs" dxfId="135" priority="32" operator="notEqual">
      <formula>100</formula>
    </cfRule>
  </conditionalFormatting>
  <conditionalFormatting sqref="Y144">
    <cfRule type="cellIs" dxfId="134" priority="31" operator="notEqual">
      <formula>100</formula>
    </cfRule>
  </conditionalFormatting>
  <conditionalFormatting sqref="E145">
    <cfRule type="cellIs" dxfId="133" priority="30" operator="notEqual">
      <formula>100</formula>
    </cfRule>
  </conditionalFormatting>
  <conditionalFormatting sqref="J145">
    <cfRule type="cellIs" dxfId="132" priority="29" operator="notEqual">
      <formula>100</formula>
    </cfRule>
  </conditionalFormatting>
  <conditionalFormatting sqref="R145">
    <cfRule type="cellIs" dxfId="131" priority="28" operator="notEqual">
      <formula>100</formula>
    </cfRule>
  </conditionalFormatting>
  <conditionalFormatting sqref="Y145">
    <cfRule type="cellIs" dxfId="130" priority="27" operator="notEqual">
      <formula>100</formula>
    </cfRule>
  </conditionalFormatting>
  <conditionalFormatting sqref="E147">
    <cfRule type="cellIs" dxfId="129" priority="26" operator="notEqual">
      <formula>100</formula>
    </cfRule>
  </conditionalFormatting>
  <conditionalFormatting sqref="J147">
    <cfRule type="cellIs" dxfId="128" priority="25" operator="notEqual">
      <formula>100</formula>
    </cfRule>
  </conditionalFormatting>
  <conditionalFormatting sqref="R147">
    <cfRule type="cellIs" dxfId="127" priority="24" operator="notEqual">
      <formula>100</formula>
    </cfRule>
  </conditionalFormatting>
  <conditionalFormatting sqref="Y147">
    <cfRule type="cellIs" dxfId="126" priority="23" operator="notEqual">
      <formula>100</formula>
    </cfRule>
  </conditionalFormatting>
  <conditionalFormatting sqref="E148">
    <cfRule type="cellIs" dxfId="125" priority="22" operator="notEqual">
      <formula>100</formula>
    </cfRule>
  </conditionalFormatting>
  <conditionalFormatting sqref="J148">
    <cfRule type="cellIs" dxfId="124" priority="21" operator="notEqual">
      <formula>100</formula>
    </cfRule>
  </conditionalFormatting>
  <conditionalFormatting sqref="R148">
    <cfRule type="cellIs" dxfId="123" priority="20" operator="notEqual">
      <formula>100</formula>
    </cfRule>
  </conditionalFormatting>
  <conditionalFormatting sqref="Y148">
    <cfRule type="cellIs" dxfId="122" priority="19" operator="notEqual">
      <formula>100</formula>
    </cfRule>
  </conditionalFormatting>
  <conditionalFormatting sqref="E150">
    <cfRule type="cellIs" dxfId="121" priority="14" operator="notEqual">
      <formula>100</formula>
    </cfRule>
  </conditionalFormatting>
  <conditionalFormatting sqref="J150">
    <cfRule type="cellIs" dxfId="120" priority="13" operator="notEqual">
      <formula>100</formula>
    </cfRule>
  </conditionalFormatting>
  <conditionalFormatting sqref="R150">
    <cfRule type="cellIs" dxfId="119" priority="12" operator="notEqual">
      <formula>100</formula>
    </cfRule>
  </conditionalFormatting>
  <conditionalFormatting sqref="Y150">
    <cfRule type="cellIs" dxfId="118" priority="11" operator="notEqual">
      <formula>100</formula>
    </cfRule>
  </conditionalFormatting>
  <conditionalFormatting sqref="E149">
    <cfRule type="cellIs" dxfId="117" priority="10" operator="notEqual">
      <formula>100</formula>
    </cfRule>
  </conditionalFormatting>
  <conditionalFormatting sqref="J149">
    <cfRule type="cellIs" dxfId="116" priority="9" operator="notEqual">
      <formula>100</formula>
    </cfRule>
  </conditionalFormatting>
  <conditionalFormatting sqref="R149">
    <cfRule type="cellIs" dxfId="115" priority="8" operator="notEqual">
      <formula>100</formula>
    </cfRule>
  </conditionalFormatting>
  <conditionalFormatting sqref="Y149">
    <cfRule type="cellIs" dxfId="114" priority="7" operator="notEqual">
      <formula>100</formula>
    </cfRule>
  </conditionalFormatting>
  <conditionalFormatting sqref="J177:J178">
    <cfRule type="cellIs" dxfId="113" priority="6" operator="notEqual">
      <formula>100</formula>
    </cfRule>
  </conditionalFormatting>
  <conditionalFormatting sqref="R177:R184">
    <cfRule type="cellIs" dxfId="112" priority="5" operator="notEqual">
      <formula>100</formula>
    </cfRule>
  </conditionalFormatting>
  <conditionalFormatting sqref="Y177">
    <cfRule type="cellIs" dxfId="111" priority="4" operator="notEqual">
      <formula>100</formula>
    </cfRule>
  </conditionalFormatting>
  <conditionalFormatting sqref="Y178:Y184">
    <cfRule type="cellIs" dxfId="110" priority="2" operator="notEqual">
      <formula>100</formula>
    </cfRule>
  </conditionalFormatting>
  <conditionalFormatting sqref="J179:J182">
    <cfRule type="cellIs" dxfId="109" priority="1" operator="notEqual">
      <formula>100</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9"/>
  <sheetViews>
    <sheetView zoomScale="60" zoomScaleNormal="60" workbookViewId="0">
      <pane ySplit="1" topLeftCell="A2" activePane="bottomLeft" state="frozen"/>
      <selection activeCell="O195" sqref="O195"/>
      <selection pane="bottomLeft" activeCell="J169" sqref="J169"/>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2778</v>
      </c>
      <c r="B1" s="325" t="s">
        <v>2779</v>
      </c>
      <c r="C1" s="325" t="s">
        <v>1012</v>
      </c>
      <c r="D1" s="325" t="s">
        <v>2780</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2164</v>
      </c>
      <c r="B2" s="355" t="s">
        <v>2165</v>
      </c>
      <c r="C2" s="356" t="s">
        <v>153</v>
      </c>
      <c r="D2" s="353">
        <v>1</v>
      </c>
      <c r="E2" s="64" t="s">
        <v>2166</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Ethiopia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2164</v>
      </c>
      <c r="B3" s="355" t="s">
        <v>2165</v>
      </c>
      <c r="C3" s="356" t="s">
        <v>153</v>
      </c>
      <c r="D3" s="353">
        <v>2</v>
      </c>
      <c r="E3" s="64" t="s">
        <v>2199</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Ethiopia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5" t="s">
        <v>2164</v>
      </c>
      <c r="B4" s="355" t="s">
        <v>2165</v>
      </c>
      <c r="C4" s="356" t="s">
        <v>2186</v>
      </c>
      <c r="D4" s="353">
        <v>7</v>
      </c>
      <c r="E4" s="64" t="s">
        <v>2192</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Ethiopia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25">
      <c r="A5" s="355" t="s">
        <v>2164</v>
      </c>
      <c r="B5" s="355" t="s">
        <v>2165</v>
      </c>
      <c r="C5" s="356" t="s">
        <v>2186</v>
      </c>
      <c r="D5" s="353">
        <v>9</v>
      </c>
      <c r="E5" s="64" t="s">
        <v>2194</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Ethiopia</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25">
      <c r="A6" s="355" t="s">
        <v>2164</v>
      </c>
      <c r="B6" s="355" t="s">
        <v>2165</v>
      </c>
      <c r="C6" s="356" t="s">
        <v>2186</v>
      </c>
      <c r="D6" s="353">
        <v>11</v>
      </c>
      <c r="E6" s="64" t="s">
        <v>2203</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Ethiopia</v>
      </c>
      <c r="L6" s="195">
        <f>IF(VLOOKUP($E6,TaskValues_ref!$E:$Z,11,FALSE)=0,"",VLOOKUP($E6,TaskValues_ref!$E:$Z,11,FALSE))</f>
        <v>8.2400000000000001E-2</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25">
      <c r="A7" s="355" t="s">
        <v>2164</v>
      </c>
      <c r="B7" s="355" t="s">
        <v>2165</v>
      </c>
      <c r="C7" s="356" t="s">
        <v>2207</v>
      </c>
      <c r="D7" s="353">
        <v>12</v>
      </c>
      <c r="E7" s="64" t="s">
        <v>2208</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Ethiopia</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5" t="s">
        <v>2164</v>
      </c>
      <c r="B8" s="355" t="s">
        <v>2165</v>
      </c>
      <c r="C8" s="356" t="s">
        <v>2207</v>
      </c>
      <c r="D8" s="353">
        <v>13</v>
      </c>
      <c r="E8" s="64" t="s">
        <v>2770</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Ethiopia</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5" t="s">
        <v>2164</v>
      </c>
      <c r="B9" s="355" t="s">
        <v>2165</v>
      </c>
      <c r="C9" s="356" t="s">
        <v>2207</v>
      </c>
      <c r="D9" s="353">
        <v>14</v>
      </c>
      <c r="E9" s="64" t="s">
        <v>2771</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Ethiopia</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5" t="s">
        <v>2164</v>
      </c>
      <c r="B10" s="356" t="s">
        <v>2214</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Ethiopia</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25">
      <c r="A11" s="355" t="s">
        <v>2164</v>
      </c>
      <c r="B11" s="356" t="s">
        <v>2214</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Ethiopia</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25">
      <c r="A12" s="355" t="s">
        <v>2164</v>
      </c>
      <c r="B12" s="356" t="s">
        <v>2214</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Ethiopia</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25">
      <c r="A13" s="355" t="s">
        <v>2164</v>
      </c>
      <c r="B13" s="356" t="s">
        <v>2214</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Ethiopia</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5" t="s">
        <v>2164</v>
      </c>
      <c r="B14" s="356" t="s">
        <v>2214</v>
      </c>
      <c r="C14" s="356"/>
      <c r="D14" s="353">
        <v>19</v>
      </c>
      <c r="E14" s="64" t="s">
        <v>2226</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Ethiopia</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5" t="s">
        <v>2164</v>
      </c>
      <c r="B15" s="356" t="s">
        <v>2214</v>
      </c>
      <c r="C15" s="356"/>
      <c r="D15" s="353">
        <v>19</v>
      </c>
      <c r="E15" s="64" t="s">
        <v>2228</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Ethiopia</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25">
      <c r="A16" s="355" t="s">
        <v>2164</v>
      </c>
      <c r="B16" s="356" t="s">
        <v>2214</v>
      </c>
      <c r="C16" s="356"/>
      <c r="D16" s="353">
        <v>19</v>
      </c>
      <c r="E16" s="64" t="s">
        <v>2229</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Ethiopia</v>
      </c>
      <c r="L16" s="195">
        <f>IF(VLOOKUP($E16,TaskValues_ref!$E:$Z,11,FALSE)=0,"",VLOOKUP($E16,TaskValues_ref!$E:$Z,11,FALSE))</f>
        <v>0.46090000000000003</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25">
      <c r="A17" s="355" t="s">
        <v>2164</v>
      </c>
      <c r="B17" s="356" t="s">
        <v>2214</v>
      </c>
      <c r="C17" s="356"/>
      <c r="D17" s="353">
        <v>19</v>
      </c>
      <c r="E17" s="64" t="s">
        <v>2831</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Ethiopia</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25">
      <c r="A18" s="355" t="s">
        <v>2164</v>
      </c>
      <c r="B18" s="356" t="s">
        <v>2214</v>
      </c>
      <c r="C18" s="356"/>
      <c r="D18" s="353">
        <v>21</v>
      </c>
      <c r="E18" s="64" t="s">
        <v>2227</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Ethiopia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25">
      <c r="A19" s="355" t="s">
        <v>2164</v>
      </c>
      <c r="B19" s="356" t="s">
        <v>2214</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Ethiopia</v>
      </c>
      <c r="L19" s="195">
        <f>IF(VLOOKUP($E19,TaskValues_ref!$E:$Z,11,FALSE)=0,"",VLOOKUP($E19,TaskValues_ref!$E:$Z,11,FALSE))</f>
        <v>0.124</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25">
      <c r="A20" s="355" t="s">
        <v>2164</v>
      </c>
      <c r="B20" s="356" t="s">
        <v>2214</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Ethiopia</v>
      </c>
      <c r="L20" s="195">
        <f>IF(VLOOKUP($E20,TaskValues_ref!$E:$Z,11,FALSE)=0,"",VLOOKUP($E20,TaskValues_ref!$E:$Z,11,FALSE))</f>
        <v>0.36799999999999999</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2164</v>
      </c>
      <c r="B21" s="356" t="s">
        <v>2214</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Ethiopia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2164</v>
      </c>
      <c r="B22" s="356" t="s">
        <v>2214</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Ethiopia</v>
      </c>
      <c r="L22" s="195">
        <f>IF(VLOOKUP($E22,TaskValues_ref!$E:$Z,11,FALSE)=0,"",VLOOKUP($E22,TaskValues_ref!$E:$Z,11,FALSE))</f>
        <v>3.5000000000000001E-3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25">
      <c r="A23" s="355" t="s">
        <v>2164</v>
      </c>
      <c r="B23" s="356" t="s">
        <v>2214</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Ethiopia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25">
      <c r="A24" s="355" t="s">
        <v>2164</v>
      </c>
      <c r="B24" s="356" t="s">
        <v>2214</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Ethiopia</v>
      </c>
      <c r="L24" s="195">
        <f>IF(VLOOKUP($E24,TaskValues_ref!$E:$Z,11,FALSE)=0,"",VLOOKUP($E24,TaskValues_ref!$E:$Z,11,FALSE))</f>
        <v>3.3599999999999998E-2</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5" t="s">
        <v>2164</v>
      </c>
      <c r="B25" s="356" t="s">
        <v>2214</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Ethiopia</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25">
      <c r="A26" s="355" t="s">
        <v>2164</v>
      </c>
      <c r="B26" s="356" t="s">
        <v>2214</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Ethiopia</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25">
      <c r="A27" s="355" t="s">
        <v>2164</v>
      </c>
      <c r="B27" s="356" t="s">
        <v>2236</v>
      </c>
      <c r="C27" s="356"/>
      <c r="D27" s="353">
        <v>31</v>
      </c>
      <c r="E27" s="64" t="s">
        <v>2254</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Ethiopia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5" t="s">
        <v>2164</v>
      </c>
      <c r="B28" s="356" t="s">
        <v>2236</v>
      </c>
      <c r="C28" s="356"/>
      <c r="D28" s="353">
        <v>32</v>
      </c>
      <c r="E28" s="64" t="s">
        <v>2260</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Ethiopia</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25">
      <c r="A29" s="355" t="s">
        <v>2164</v>
      </c>
      <c r="B29" s="356" t="s">
        <v>2236</v>
      </c>
      <c r="C29" s="356"/>
      <c r="D29" s="353">
        <v>32</v>
      </c>
      <c r="E29" s="64" t="s">
        <v>2261</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Ethiopia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25">
      <c r="A30" s="355" t="s">
        <v>2164</v>
      </c>
      <c r="B30" s="356" t="s">
        <v>2236</v>
      </c>
      <c r="C30" s="356"/>
      <c r="D30" s="353">
        <v>32</v>
      </c>
      <c r="E30" s="64" t="s">
        <v>2262</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Ethiopia</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25">
      <c r="A31" s="355" t="s">
        <v>2164</v>
      </c>
      <c r="B31" s="356" t="s">
        <v>2236</v>
      </c>
      <c r="C31" s="356"/>
      <c r="D31" s="353">
        <v>32</v>
      </c>
      <c r="E31" s="64" t="s">
        <v>2263</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Ethiopia</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25">
      <c r="A32" s="355" t="s">
        <v>2164</v>
      </c>
      <c r="B32" s="356" t="s">
        <v>2236</v>
      </c>
      <c r="C32" s="356"/>
      <c r="D32" s="353">
        <v>33</v>
      </c>
      <c r="E32" s="64" t="s">
        <v>2255</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Ethiopia</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25">
      <c r="A33" s="355" t="s">
        <v>2164</v>
      </c>
      <c r="B33" s="356" t="s">
        <v>2236</v>
      </c>
      <c r="C33" s="356"/>
      <c r="D33" s="353">
        <v>34</v>
      </c>
      <c r="E33" s="64" t="s">
        <v>2256</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Ethiopia</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25">
      <c r="A34" s="355" t="s">
        <v>2164</v>
      </c>
      <c r="B34" s="356" t="s">
        <v>2236</v>
      </c>
      <c r="C34" s="356"/>
      <c r="D34" s="353">
        <v>35</v>
      </c>
      <c r="E34" s="64" t="s">
        <v>2257</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Ethiopia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2164</v>
      </c>
      <c r="B35" s="356" t="s">
        <v>2236</v>
      </c>
      <c r="C35" s="356"/>
      <c r="D35" s="353">
        <v>36</v>
      </c>
      <c r="E35" s="64" t="s">
        <v>2258</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Ethiopia</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2164</v>
      </c>
      <c r="B36" s="356" t="s">
        <v>2236</v>
      </c>
      <c r="C36" s="356"/>
      <c r="D36" s="353">
        <v>37</v>
      </c>
      <c r="E36" s="64" t="s">
        <v>2259</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Ethiopia</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5" t="s">
        <v>2164</v>
      </c>
      <c r="B37" s="356" t="s">
        <v>2267</v>
      </c>
      <c r="C37" s="356"/>
      <c r="D37" s="353">
        <v>38</v>
      </c>
      <c r="E37" s="64" t="s">
        <v>2294</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Ethiopia</v>
      </c>
      <c r="L37" s="195">
        <f>IF(VLOOKUP($E37,TaskValues_ref!$E:$Z,11,FALSE)=0,"",VLOOKUP($E37,TaskValues_ref!$E:$Z,11,FALSE))</f>
        <v>0.40500000000000003</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25">
      <c r="A38" s="355" t="s">
        <v>2164</v>
      </c>
      <c r="B38" s="356" t="s">
        <v>2267</v>
      </c>
      <c r="C38" s="356"/>
      <c r="D38" s="353">
        <v>38</v>
      </c>
      <c r="E38" s="64" t="s">
        <v>2295</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Ethiopia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25">
      <c r="A39" s="355" t="s">
        <v>2164</v>
      </c>
      <c r="B39" s="356" t="s">
        <v>2267</v>
      </c>
      <c r="C39" s="356"/>
      <c r="D39" s="353">
        <v>38</v>
      </c>
      <c r="E39" s="64" t="s">
        <v>2296</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Ethiopia</v>
      </c>
      <c r="L39" s="195">
        <f>IF(VLOOKUP($E39,TaskValues_ref!$E:$Z,11,FALSE)=0,"",VLOOKUP($E39,TaskValues_ref!$E:$Z,11,FALSE))</f>
        <v>1.9911686746987955E-2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25">
      <c r="A40" s="355" t="s">
        <v>2164</v>
      </c>
      <c r="B40" s="356" t="s">
        <v>2267</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Ethiopia</v>
      </c>
      <c r="L40" s="195">
        <f>IF(VLOOKUP($E40,TaskValues_ref!$E:$Z,11,FALSE)=0,"",VLOOKUP($E40,TaskValues_ref!$E:$Z,11,FALSE))</f>
        <v>0.27813253012048195</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5" t="s">
        <v>2164</v>
      </c>
      <c r="B41" s="356" t="s">
        <v>2267</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Ethiopia</v>
      </c>
      <c r="L41" s="195">
        <f>IF(VLOOKUP($E41,TaskValues_ref!$E:$Z,11,FALSE)=0,"",VLOOKUP($E41,TaskValues_ref!$E:$Z,11,FALSE))</f>
        <v>0.11548192771084338</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25">
      <c r="A42" s="355" t="s">
        <v>2164</v>
      </c>
      <c r="B42" s="356" t="s">
        <v>2267</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Ethiopia</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25">
      <c r="A43" s="355" t="s">
        <v>2164</v>
      </c>
      <c r="B43" s="356" t="s">
        <v>2267</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Ethiopia</v>
      </c>
      <c r="L43" s="195">
        <f>IF(VLOOKUP($E43,TaskValues_ref!$E:$Z,11,FALSE)=0,"",VLOOKUP($E43,TaskValues_ref!$E:$Z,11,FALSE))</f>
        <v>9.6000000000000002E-2</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25">
      <c r="A44" s="355" t="s">
        <v>2164</v>
      </c>
      <c r="B44" s="356" t="s">
        <v>2267</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Ethiopia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25">
      <c r="A45" s="355" t="s">
        <v>2164</v>
      </c>
      <c r="B45" s="356" t="s">
        <v>2267</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Ethiopia</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25">
      <c r="A46" s="355" t="s">
        <v>2164</v>
      </c>
      <c r="B46" s="356" t="s">
        <v>2267</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Ethiopia</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5" t="s">
        <v>2164</v>
      </c>
      <c r="B47" s="356" t="s">
        <v>2267</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Ethiopia</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5" t="s">
        <v>2164</v>
      </c>
      <c r="B48" s="356" t="s">
        <v>2267</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Ethiopia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5" t="s">
        <v>2164</v>
      </c>
      <c r="B49" s="356" t="s">
        <v>2267</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Ethiopia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5" t="s">
        <v>2164</v>
      </c>
      <c r="B50" s="356" t="s">
        <v>2267</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Ethiopia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5" t="s">
        <v>2164</v>
      </c>
      <c r="B51" s="356" t="s">
        <v>2267</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Ethiopia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5" t="s">
        <v>2164</v>
      </c>
      <c r="B52" s="356" t="s">
        <v>2267</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Ethiopia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5" t="s">
        <v>2164</v>
      </c>
      <c r="B53" s="356" t="s">
        <v>2267</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Ethiopia</v>
      </c>
      <c r="L53" s="195">
        <f>IF(VLOOKUP($E53,TaskValues_ref!$E:$Z,11,FALSE)=0,"",VLOOKUP($E53,TaskValues_ref!$E:$Z,11,FALSE))</f>
        <v>6.5000000000000002E-2</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25">
      <c r="A54" s="355" t="s">
        <v>2164</v>
      </c>
      <c r="B54" s="356" t="s">
        <v>2267</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Ethiopia</v>
      </c>
      <c r="L54" s="195">
        <f>IF(VLOOKUP($E54,TaskValues_ref!$E:$Z,11,FALSE)=0,"",VLOOKUP($E54,TaskValues_ref!$E:$Z,11,FALSE))</f>
        <v>6.5000000000000002E-2</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25">
      <c r="A55" s="355" t="s">
        <v>2164</v>
      </c>
      <c r="B55" s="356" t="s">
        <v>2267</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Ethiopia</v>
      </c>
      <c r="L55" s="195">
        <f>IF(VLOOKUP($E55,TaskValues_ref!$E:$Z,11,FALSE)=0,"",VLOOKUP($E55,TaskValues_ref!$E:$Z,11,FALSE))</f>
        <v>0.14800000000000002</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25">
      <c r="A56" s="355" t="s">
        <v>2164</v>
      </c>
      <c r="B56" s="356" t="s">
        <v>2267</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Ethiopia</v>
      </c>
      <c r="L56" s="195">
        <f>IF(VLOOKUP($E56,TaskValues_ref!$E:$Z,11,FALSE)=0,"",VLOOKUP($E56,TaskValues_ref!$E:$Z,11,FALSE))</f>
        <v>0.14800000000000002</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25">
      <c r="A57" s="355" t="s">
        <v>2164</v>
      </c>
      <c r="B57" s="356" t="s">
        <v>2267</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Ethiopia</v>
      </c>
      <c r="L57" s="195">
        <f>IF(VLOOKUP($E57,TaskValues_ref!$E:$Z,11,FALSE)=0,"",VLOOKUP($E57,TaskValues_ref!$E:$Z,11,FALSE))</f>
        <v>0.21300000000000002</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25">
      <c r="A58" s="355" t="s">
        <v>2164</v>
      </c>
      <c r="B58" s="356" t="s">
        <v>2267</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Ethiopia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2164</v>
      </c>
      <c r="B59" s="356" t="s">
        <v>2267</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Ethiopia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2164</v>
      </c>
      <c r="B60" s="356" t="s">
        <v>2267</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Ethiopia</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2164</v>
      </c>
      <c r="B61" s="356" t="s">
        <v>2267</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Ethiopia</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25">
      <c r="A62" s="355" t="s">
        <v>2164</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Ethiopia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5" t="s">
        <v>2164</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Ethiopia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5" t="s">
        <v>2164</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Ethiopia</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25">
      <c r="A65" s="355" t="s">
        <v>2164</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Ethiopia</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25">
      <c r="A66" s="355" t="s">
        <v>2164</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Ethiopia</v>
      </c>
      <c r="L66" s="195">
        <f>IF(VLOOKUP($E66,TaskValues_ref!$E:$Z,11,FALSE)=0,"",VLOOKUP($E66,TaskValues_ref!$E:$Z,11,FALSE))</f>
        <v>0.29070000000000001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25">
      <c r="A67" s="355" t="s">
        <v>2164</v>
      </c>
      <c r="B67" s="356" t="s">
        <v>70</v>
      </c>
      <c r="C67" s="356"/>
      <c r="D67" s="370"/>
      <c r="E67" s="265" t="s">
        <v>2623</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Ethiopia</v>
      </c>
      <c r="L67" s="195">
        <f>IF(VLOOKUP($E67,TaskValues_ref!$E:$Z,11,FALSE)=0,"",VLOOKUP($E67,TaskValues_ref!$E:$Z,11,FALSE))</f>
        <v>3.1E-2</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25">
      <c r="A68" s="355" t="s">
        <v>2164</v>
      </c>
      <c r="B68" s="356" t="s">
        <v>70</v>
      </c>
      <c r="C68" s="356"/>
      <c r="D68" s="370"/>
      <c r="E68" s="265" t="s">
        <v>2536</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Ethiopia</v>
      </c>
      <c r="L68" s="195">
        <f>IF(VLOOKUP($E68,TaskValues_ref!$E:$Z,11,FALSE)=0,"",VLOOKUP($E68,TaskValues_ref!$E:$Z,11,FALSE))</f>
        <v>1.3000000000000001E-2</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25">
      <c r="A69" s="355" t="s">
        <v>2164</v>
      </c>
      <c r="B69" s="356" t="s">
        <v>70</v>
      </c>
      <c r="C69" s="356"/>
      <c r="D69" s="370"/>
      <c r="E69" s="265" t="s">
        <v>2537</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Ethiopia</v>
      </c>
      <c r="L69" s="195">
        <f>IF(VLOOKUP($E69,TaskValues_ref!$E:$Z,11,FALSE)=0,"",VLOOKUP($E69,TaskValues_ref!$E:$Z,11,FALSE))</f>
        <v>1.3999999999999999E-2</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25">
      <c r="A70" s="355" t="s">
        <v>2164</v>
      </c>
      <c r="B70" s="356" t="s">
        <v>70</v>
      </c>
      <c r="C70" s="356"/>
      <c r="D70" s="370">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Ethiopia</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25">
      <c r="A71" s="355" t="s">
        <v>2164</v>
      </c>
      <c r="B71" s="356" t="s">
        <v>70</v>
      </c>
      <c r="C71" s="356"/>
      <c r="D71" s="370">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Ethiopia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5" t="s">
        <v>2164</v>
      </c>
      <c r="B72" s="356" t="s">
        <v>70</v>
      </c>
      <c r="C72" s="356"/>
      <c r="D72" s="370">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Ethiopia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5" t="s">
        <v>2164</v>
      </c>
      <c r="B73" s="356" t="s">
        <v>70</v>
      </c>
      <c r="C73" s="356"/>
      <c r="D73" s="370">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Ethiopia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5" t="s">
        <v>2164</v>
      </c>
      <c r="B74" s="356" t="s">
        <v>70</v>
      </c>
      <c r="C74" s="356"/>
      <c r="D74" s="370">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Ethiopia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5" t="s">
        <v>2164</v>
      </c>
      <c r="B75" s="356" t="s">
        <v>70</v>
      </c>
      <c r="C75" s="356"/>
      <c r="D75" s="370">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Ethiopia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5" t="s">
        <v>2164</v>
      </c>
      <c r="B76" s="356" t="s">
        <v>70</v>
      </c>
      <c r="C76" s="356"/>
      <c r="D76" s="370">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Ethiopia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5" t="s">
        <v>2164</v>
      </c>
      <c r="B77" s="356" t="s">
        <v>70</v>
      </c>
      <c r="C77" s="356"/>
      <c r="D77" s="370">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Ethiopia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5" t="s">
        <v>2164</v>
      </c>
      <c r="B78" s="356" t="s">
        <v>70</v>
      </c>
      <c r="C78" s="356"/>
      <c r="D78" s="370">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Ethiopia</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25">
      <c r="A79" s="355" t="s">
        <v>2164</v>
      </c>
      <c r="B79" s="356" t="s">
        <v>70</v>
      </c>
      <c r="C79" s="356"/>
      <c r="D79" s="370">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Ethiopia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5" t="s">
        <v>2164</v>
      </c>
      <c r="B80" s="356" t="s">
        <v>70</v>
      </c>
      <c r="C80" s="356"/>
      <c r="D80" s="370">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Ethiopia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5" t="s">
        <v>2164</v>
      </c>
      <c r="B81" s="356" t="s">
        <v>70</v>
      </c>
      <c r="C81" s="356"/>
      <c r="D81" s="370">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Ethiopia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5" t="s">
        <v>2164</v>
      </c>
      <c r="B82" s="356" t="s">
        <v>70</v>
      </c>
      <c r="C82" s="356"/>
      <c r="D82" s="370">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Ethiopia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5" t="s">
        <v>2164</v>
      </c>
      <c r="B83" s="356" t="s">
        <v>70</v>
      </c>
      <c r="C83" s="356"/>
      <c r="D83" s="370">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Ethiopia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5" t="s">
        <v>2164</v>
      </c>
      <c r="B84" s="356" t="s">
        <v>70</v>
      </c>
      <c r="C84" s="356"/>
      <c r="D84" s="370">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Ethiopia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5" t="s">
        <v>2164</v>
      </c>
      <c r="B85" s="356" t="s">
        <v>70</v>
      </c>
      <c r="C85" s="356"/>
      <c r="D85" s="370">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Ethiopia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5" t="s">
        <v>2164</v>
      </c>
      <c r="B86" s="356" t="s">
        <v>70</v>
      </c>
      <c r="C86" s="356"/>
      <c r="D86" s="370">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Ethiopia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7" t="s">
        <v>2339</v>
      </c>
      <c r="B87" s="357" t="s">
        <v>2337</v>
      </c>
      <c r="C87" s="357" t="s">
        <v>2338</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Ethiopia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25">
      <c r="A88" s="357" t="s">
        <v>2339</v>
      </c>
      <c r="B88" s="357" t="s">
        <v>2337</v>
      </c>
      <c r="C88" s="357" t="s">
        <v>2338</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Ethiopia</v>
      </c>
      <c r="L88" s="195">
        <f>IF(VLOOKUP($E88,TaskValues_ref!$E:$Z,11,FALSE)=0,"",VLOOKUP($E88,TaskValues_ref!$E:$Z,11,FALSE))</f>
        <v>2.0927000000000001E-4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25">
      <c r="A89" s="357" t="s">
        <v>2339</v>
      </c>
      <c r="B89" s="357" t="s">
        <v>2337</v>
      </c>
      <c r="C89" s="357" t="s">
        <v>2338</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Ethiopia</v>
      </c>
      <c r="L89" s="195">
        <f>IF(VLOOKUP($E89,TaskValues_ref!$E:$Z,11,FALSE)=0,"",VLOOKUP($E89,TaskValues_ref!$E:$Z,11,FALSE))</f>
        <v>2.0927000000000001E-4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25">
      <c r="A90" s="357" t="s">
        <v>2339</v>
      </c>
      <c r="B90" s="357" t="s">
        <v>2337</v>
      </c>
      <c r="C90" s="357" t="s">
        <v>2338</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Ethiopia</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25">
      <c r="A91" s="357" t="s">
        <v>2339</v>
      </c>
      <c r="B91" s="357" t="s">
        <v>2337</v>
      </c>
      <c r="C91" s="357" t="s">
        <v>2338</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Ethiopia</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25">
      <c r="A92" s="357" t="s">
        <v>2339</v>
      </c>
      <c r="B92" s="357" t="s">
        <v>2337</v>
      </c>
      <c r="C92" s="357" t="s">
        <v>2338</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Ethiopia</v>
      </c>
      <c r="L92" s="195">
        <f>IF(VLOOKUP($E92,TaskValues_ref!$E:$Z,11,FALSE)=0,"",VLOOKUP($E92,TaskValues_ref!$E:$Z,11,FALSE))</f>
        <v>2.0927000000000001E-4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357" t="s">
        <v>2339</v>
      </c>
      <c r="B93" s="357" t="s">
        <v>2337</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Ethiopia</v>
      </c>
      <c r="L93" s="195">
        <f>IF(VLOOKUP($E93,TaskValues_ref!$E:$Z,11,FALSE)=0,"",VLOOKUP($E93,TaskValues_ref!$E:$Z,11,FALSE))</f>
        <v>0.21276595744680851</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25">
      <c r="A94" s="357" t="s">
        <v>2339</v>
      </c>
      <c r="B94" s="357" t="s">
        <v>2337</v>
      </c>
      <c r="C94" s="357" t="s">
        <v>69</v>
      </c>
      <c r="D94" s="66">
        <v>103</v>
      </c>
      <c r="E94" s="64" t="s">
        <v>2356</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Ethiopia</v>
      </c>
      <c r="L94" s="195">
        <f>IF(VLOOKUP($E94,TaskValues_ref!$E:$Z,11,FALSE)=0,"",VLOOKUP($E94,TaskValues_ref!$E:$Z,11,FALSE))</f>
        <v>3.3109200000000005E-2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25">
      <c r="A95" s="357" t="s">
        <v>2339</v>
      </c>
      <c r="B95" s="357" t="s">
        <v>2337</v>
      </c>
      <c r="C95" s="357" t="s">
        <v>69</v>
      </c>
      <c r="D95" s="66">
        <v>103</v>
      </c>
      <c r="E95" s="64" t="s">
        <v>2357</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Ethiopia</v>
      </c>
      <c r="L95" s="195">
        <f>IF(VLOOKUP($E95,TaskValues_ref!$E:$Z,11,FALSE)=0,"",VLOOKUP($E95,TaskValues_ref!$E:$Z,11,FALSE))</f>
        <v>3.3109200000000005E-2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25">
      <c r="A96" s="357" t="s">
        <v>2339</v>
      </c>
      <c r="B96" s="357" t="s">
        <v>2337</v>
      </c>
      <c r="C96" s="357" t="s">
        <v>69</v>
      </c>
      <c r="D96" s="66">
        <v>103</v>
      </c>
      <c r="E96" s="64" t="s">
        <v>2360</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Ethiopia</v>
      </c>
      <c r="L96" s="195">
        <f>IF(VLOOKUP($E96,TaskValues_ref!$E:$Z,11,FALSE)=0,"",VLOOKUP($E96,TaskValues_ref!$E:$Z,11,FALSE))</f>
        <v>3.6788000000000001E-2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25">
      <c r="A97" s="357" t="s">
        <v>2339</v>
      </c>
      <c r="B97" s="357" t="s">
        <v>2337</v>
      </c>
      <c r="C97" s="357" t="s">
        <v>69</v>
      </c>
      <c r="D97" s="66">
        <v>104</v>
      </c>
      <c r="E97" s="64" t="s">
        <v>2358</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Ethiopia</v>
      </c>
      <c r="L97" s="195">
        <f>IF(VLOOKUP($E97,TaskValues_ref!$E:$Z,11,FALSE)=0,"",VLOOKUP($E97,TaskValues_ref!$E:$Z,11,FALSE))</f>
        <v>3.6788000000000003E-3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25">
      <c r="A98" s="357" t="s">
        <v>2339</v>
      </c>
      <c r="B98" s="357" t="s">
        <v>2337</v>
      </c>
      <c r="C98" s="357" t="s">
        <v>69</v>
      </c>
      <c r="D98" s="66">
        <v>104</v>
      </c>
      <c r="E98" s="64" t="s">
        <v>2359</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Ethiopia</v>
      </c>
      <c r="L98" s="195">
        <f>IF(VLOOKUP($E98,TaskValues_ref!$E:$Z,11,FALSE)=0,"",VLOOKUP($E98,TaskValues_ref!$E:$Z,11,FALSE))</f>
        <v>3.6788000000000003E-3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25">
      <c r="A99" s="357" t="s">
        <v>2339</v>
      </c>
      <c r="B99" s="357" t="s">
        <v>2337</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Ethiopia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357" t="s">
        <v>2339</v>
      </c>
      <c r="B100" s="357" t="s">
        <v>2337</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Ethiopia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357" t="s">
        <v>2339</v>
      </c>
      <c r="B101" s="357" t="s">
        <v>2337</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Ethiopia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357" t="s">
        <v>2339</v>
      </c>
      <c r="B102" s="357" t="s">
        <v>2337</v>
      </c>
      <c r="C102" s="357" t="s">
        <v>2369</v>
      </c>
      <c r="D102" s="66">
        <v>108</v>
      </c>
      <c r="E102" s="64" t="s">
        <v>2375</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Ethiopia</v>
      </c>
      <c r="L102" s="195">
        <f>IF(VLOOKUP($E102,TaskValues_ref!$E:$Z,11,FALSE)=0,"",VLOOKUP($E102,TaskValues_ref!$E:$Z,11,FALSE))</f>
        <v>1.32E-3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25">
      <c r="A103" s="357" t="s">
        <v>2339</v>
      </c>
      <c r="B103" s="357" t="s">
        <v>2337</v>
      </c>
      <c r="C103" s="357" t="s">
        <v>2369</v>
      </c>
      <c r="D103" s="66">
        <v>108</v>
      </c>
      <c r="E103" s="64" t="s">
        <v>2376</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Ethiopia</v>
      </c>
      <c r="L103" s="195">
        <f>IF(VLOOKUP($E103,TaskValues_ref!$E:$Z,11,FALSE)=0,"",VLOOKUP($E103,TaskValues_ref!$E:$Z,11,FALSE))</f>
        <v>1.32E-3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25">
      <c r="A104" s="357" t="s">
        <v>2339</v>
      </c>
      <c r="B104" s="357" t="s">
        <v>2337</v>
      </c>
      <c r="C104" s="357" t="s">
        <v>2369</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Ethiopia</v>
      </c>
      <c r="L104" s="195">
        <f>IF(VLOOKUP($E104,TaskValues_ref!$E:$Z,11,FALSE)=0,"",VLOOKUP($E104,TaskValues_ref!$E:$Z,11,FALSE))</f>
        <v>1.32E-3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25">
      <c r="A105" s="357" t="s">
        <v>2339</v>
      </c>
      <c r="B105" s="357" t="s">
        <v>2337</v>
      </c>
      <c r="C105" s="357" t="s">
        <v>2369</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Ethiopia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25">
      <c r="A106" s="357" t="s">
        <v>2339</v>
      </c>
      <c r="B106" s="357" t="s">
        <v>2380</v>
      </c>
      <c r="C106" s="357" t="s">
        <v>2381</v>
      </c>
      <c r="D106" s="66">
        <v>112</v>
      </c>
      <c r="E106" s="64" t="s">
        <v>2385</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Ethiopia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25">
      <c r="A107" s="357" t="s">
        <v>2339</v>
      </c>
      <c r="B107" s="357" t="s">
        <v>2380</v>
      </c>
      <c r="C107" s="357" t="s">
        <v>2381</v>
      </c>
      <c r="D107" s="66">
        <v>113</v>
      </c>
      <c r="E107" s="64" t="s">
        <v>2386</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Ethiopia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25">
      <c r="A108" s="357" t="s">
        <v>2339</v>
      </c>
      <c r="B108" s="357" t="s">
        <v>2380</v>
      </c>
      <c r="C108" s="357" t="s">
        <v>2381</v>
      </c>
      <c r="D108" s="66">
        <v>114</v>
      </c>
      <c r="E108" s="64" t="s">
        <v>2387</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Ethiopia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25">
      <c r="A109" s="357" t="s">
        <v>2339</v>
      </c>
      <c r="B109" s="357" t="s">
        <v>2380</v>
      </c>
      <c r="C109" s="357" t="s">
        <v>2388</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Ethiopia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25">
      <c r="A110" s="357" t="s">
        <v>2339</v>
      </c>
      <c r="B110" s="357" t="s">
        <v>2380</v>
      </c>
      <c r="C110" s="357" t="s">
        <v>2388</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Ethiopia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25">
      <c r="A111" s="357" t="s">
        <v>2339</v>
      </c>
      <c r="B111" s="357" t="s">
        <v>2380</v>
      </c>
      <c r="C111" s="357" t="s">
        <v>2388</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Ethiopia</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25">
      <c r="A112" s="357" t="s">
        <v>2339</v>
      </c>
      <c r="B112" s="357" t="s">
        <v>2380</v>
      </c>
      <c r="C112" s="357" t="s">
        <v>2388</v>
      </c>
      <c r="D112" s="66">
        <v>119</v>
      </c>
      <c r="E112" s="64" t="str">
        <f>_xlfn.CONCAT("DPC.Cncr.",D112)</f>
        <v>DPC.Cncr.119</v>
      </c>
      <c r="F112" s="319" t="str">
        <f>VLOOKUP(E112,TaskValues_ref!E:F,2,FALSE)</f>
        <v>Palliative care for cancer</v>
      </c>
      <c r="G112" s="321" t="str">
        <f>VLOOKUP($E112,TaskValues_ref!$E:$Z,3,FALSE)</f>
        <v>Clinical</v>
      </c>
      <c r="H112" s="321" t="str">
        <f>VLOOKUP($E112,TaskValues_ref!$E:$Z,4,FALSE)</f>
        <v>Acute</v>
      </c>
      <c r="I112" s="321" t="str">
        <f>VLOOKUP($E112,TaskValues_ref!$E:$Z,5,FALSE)</f>
        <v>NCDs</v>
      </c>
      <c r="J112" s="320" t="str">
        <f>VLOOKUP($E112,TaskValues_ref!$E:$Z,6,FALSE)</f>
        <v>adults 18+</v>
      </c>
      <c r="K112" s="321" t="str">
        <f>VLOOKUP($E112,TaskValues_ref!$E:$Z,10,FALSE)</f>
        <v>Ethiopia</v>
      </c>
      <c r="L112" s="195">
        <f>IF(VLOOKUP($E112,TaskValues_ref!$E:$Z,11,FALSE)=0,"",VLOOKUP($E112,TaskValues_ref!$E:$Z,11,FALSE))</f>
        <v>4.5100000000000001E-4</v>
      </c>
      <c r="M112" s="321">
        <f>IF(VLOOKUP($E112,TaskValues_ref!$E:$Z,13,FALSE)=0,"",VLOOKUP($E112,TaskValues_ref!$E:$Z,13,FALSE))</f>
        <v>0.5</v>
      </c>
      <c r="N112" s="89">
        <f>IF(VLOOKUP($E112,TaskValues_ref!$E:$Z,15,FALSE)=0,"",VLOOKUP($E112,TaskValues_ref!$E:$Z,15,FALSE))</f>
        <v>1.01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25">
      <c r="A113" s="357" t="s">
        <v>2339</v>
      </c>
      <c r="B113" s="357" t="s">
        <v>2380</v>
      </c>
      <c r="C113" s="357" t="s">
        <v>2395</v>
      </c>
      <c r="D113" s="66">
        <v>120</v>
      </c>
      <c r="E113" s="64" t="str">
        <f>_xlfn.CONCAT("DPC.Hyp.",D113)</f>
        <v>DPC.Hyp.120</v>
      </c>
      <c r="F113" s="319" t="str">
        <f>VLOOKUP(E113,TaskValues_ref!E:F,2,FALSE)</f>
        <v>Lifestyle counseling</v>
      </c>
      <c r="G113" s="321" t="str">
        <f>VLOOKUP($E113,TaskValues_ref!$E:$Z,3,FALSE)</f>
        <v>Clinical</v>
      </c>
      <c r="H113" s="321" t="str">
        <f>VLOOKUP($E113,TaskValues_ref!$E:$Z,4,FALSE)</f>
        <v>Preventive</v>
      </c>
      <c r="I113" s="321" t="str">
        <f>VLOOKUP($E113,TaskValues_ref!$E:$Z,5,FALSE)</f>
        <v>NCDs</v>
      </c>
      <c r="J113" s="320" t="str">
        <f>VLOOKUP($E113,TaskValues_ref!$E:$Z,6,FALSE)</f>
        <v>-</v>
      </c>
      <c r="K113" s="321" t="str">
        <f>VLOOKUP($E113,TaskValues_ref!$E:$Z,10,FALSE)</f>
        <v>Ethiopia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7" t="s">
        <v>2339</v>
      </c>
      <c r="B114" s="357" t="s">
        <v>2380</v>
      </c>
      <c r="C114" s="357" t="s">
        <v>2395</v>
      </c>
      <c r="D114" s="66">
        <v>121</v>
      </c>
      <c r="E114" s="64" t="str">
        <f>_xlfn.CONCAT("DPC.Hyp.",D114)</f>
        <v>DPC.Hyp.121</v>
      </c>
      <c r="F114" s="319" t="str">
        <f>VLOOKUP(E114,TaskValues_ref!E:F,2,FALSE)</f>
        <v>Hypertension screening</v>
      </c>
      <c r="G114" s="321" t="str">
        <f>VLOOKUP($E114,TaskValues_ref!$E:$Z,3,FALSE)</f>
        <v>Clinical</v>
      </c>
      <c r="H114" s="321" t="str">
        <f>VLOOKUP($E114,TaskValues_ref!$E:$Z,4,FALSE)</f>
        <v>Preventive</v>
      </c>
      <c r="I114" s="321" t="str">
        <f>VLOOKUP($E114,TaskValues_ref!$E:$Z,5,FALSE)</f>
        <v>NCDs</v>
      </c>
      <c r="J114" s="320" t="str">
        <f>VLOOKUP($E114,TaskValues_ref!$E:$Z,6,FALSE)</f>
        <v>adults 18+</v>
      </c>
      <c r="K114" s="321" t="str">
        <f>VLOOKUP($E114,TaskValues_ref!$E:$Z,10,FALSE)</f>
        <v>Ethiopia</v>
      </c>
      <c r="L114" s="195">
        <f>IF(VLOOKUP($E114,TaskValues_ref!$E:$Z,11,FALSE)=0,"",VLOOKUP($E114,TaskValues_ref!$E:$Z,11,FALSE))</f>
        <v>1</v>
      </c>
      <c r="M114" s="321">
        <f>IF(VLOOKUP($E114,TaskValues_ref!$E:$Z,13,FALSE)=0,"",VLOOKUP($E114,TaskValues_ref!$E:$Z,13,FALSE))</f>
        <v>0.2</v>
      </c>
      <c r="N114" s="89">
        <f>IF(VLOOKUP($E114,TaskValues_ref!$E:$Z,15,FALSE)=0,"",VLOOKUP($E114,TaskValues_ref!$E:$Z,15,FALSE))</f>
        <v>1</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25">
      <c r="A115" s="357" t="s">
        <v>2339</v>
      </c>
      <c r="B115" s="357" t="s">
        <v>2380</v>
      </c>
      <c r="C115" s="357" t="s">
        <v>2395</v>
      </c>
      <c r="D115" s="66">
        <v>122</v>
      </c>
      <c r="E115" s="64" t="str">
        <f>_xlfn.CONCAT("DPC.Hyp.",D115)</f>
        <v>DPC.Hyp.122</v>
      </c>
      <c r="F115" s="319" t="str">
        <f>VLOOKUP(E115,TaskValues_ref!E:F,2,FALSE)</f>
        <v>Hypertension routine care</v>
      </c>
      <c r="G115" s="321" t="str">
        <f>VLOOKUP($E115,TaskValues_ref!$E:$Z,3,FALSE)</f>
        <v>Clinical</v>
      </c>
      <c r="H115" s="321" t="str">
        <f>VLOOKUP($E115,TaskValues_ref!$E:$Z,4,FALSE)</f>
        <v>Acute</v>
      </c>
      <c r="I115" s="321" t="str">
        <f>VLOOKUP($E115,TaskValues_ref!$E:$Z,5,FALSE)</f>
        <v>NCDs</v>
      </c>
      <c r="J115" s="320" t="str">
        <f>VLOOKUP($E115,TaskValues_ref!$E:$Z,6,FALSE)</f>
        <v>adults 18+</v>
      </c>
      <c r="K115" s="321" t="str">
        <f>VLOOKUP($E115,TaskValues_ref!$E:$Z,10,FALSE)</f>
        <v>Ethiopia</v>
      </c>
      <c r="L115" s="195">
        <f>IF(VLOOKUP($E115,TaskValues_ref!$E:$Z,11,FALSE)=0,"",VLOOKUP($E115,TaskValues_ref!$E:$Z,11,FALSE))</f>
        <v>0.21809999999999999</v>
      </c>
      <c r="M115" s="321" t="str">
        <f>IF(VLOOKUP($E115,TaskValues_ref!$E:$Z,13,FALSE)=0,"",VLOOKUP($E115,TaskValues_ref!$E:$Z,13,FALSE))</f>
        <v/>
      </c>
      <c r="N115" s="89">
        <f>IF(VLOOKUP($E115,TaskValues_ref!$E:$Z,15,FALSE)=0,"",VLOOKUP($E115,TaskValues_ref!$E:$Z,15,FALSE))</f>
        <v>1.02</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x14ac:dyDescent="0.25">
      <c r="A116" s="357" t="s">
        <v>2339</v>
      </c>
      <c r="B116" s="357" t="s">
        <v>2380</v>
      </c>
      <c r="C116" s="357" t="s">
        <v>519</v>
      </c>
      <c r="D116" s="66">
        <v>123</v>
      </c>
      <c r="E116" s="64" t="str">
        <f>_xlfn.CONCAT("DPC.Dbt.",D116)</f>
        <v>DPC.Dbt.123</v>
      </c>
      <c r="F116" s="319" t="str">
        <f>VLOOKUP(E116,TaskValues_ref!E:F,2,FALSE)</f>
        <v>Lifestyle counseling</v>
      </c>
      <c r="G116" s="321" t="str">
        <f>VLOOKUP($E116,TaskValues_ref!$E:$Z,3,FALSE)</f>
        <v>Clinical</v>
      </c>
      <c r="H116" s="321" t="str">
        <f>VLOOKUP($E116,TaskValues_ref!$E:$Z,4,FALSE)</f>
        <v>Preventive</v>
      </c>
      <c r="I116" s="321" t="str">
        <f>VLOOKUP($E116,TaskValues_ref!$E:$Z,5,FALSE)</f>
        <v>NCDs</v>
      </c>
      <c r="J116" s="320" t="str">
        <f>VLOOKUP($E116,TaskValues_ref!$E:$Z,6,FALSE)</f>
        <v>-</v>
      </c>
      <c r="K116" s="321" t="str">
        <f>VLOOKUP($E116,TaskValues_ref!$E:$Z,10,FALSE)</f>
        <v>Ethiopia</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t="str">
        <f>IF(VLOOKUP($E116,TaskValues_ref!$E:$Z,19,FALSE)=0,"",VLOOKUP($E116,TaskValues_ref!$E:$Z,19,FALSE))</f>
        <v/>
      </c>
      <c r="S116" t="str">
        <f>IF(VLOOKUP($E116,TaskValues_ref!$E:$Z,20,FALSE)=0,"",VLOOKUP($E116,TaskValues_ref!$E:$Z,20,FALSE))</f>
        <v/>
      </c>
    </row>
    <row r="117" spans="1:19" x14ac:dyDescent="0.25">
      <c r="A117" s="357" t="s">
        <v>2339</v>
      </c>
      <c r="B117" s="357" t="s">
        <v>2380</v>
      </c>
      <c r="C117" s="357" t="s">
        <v>519</v>
      </c>
      <c r="D117" s="66">
        <v>124</v>
      </c>
      <c r="E117" s="64" t="str">
        <f>_xlfn.CONCAT("DPC.Dbt.",D117)</f>
        <v>DPC.Dbt.124</v>
      </c>
      <c r="F117" s="319" t="str">
        <f>VLOOKUP(E117,TaskValues_ref!E:F,2,FALSE)</f>
        <v>Screening for type 2 diabetes</v>
      </c>
      <c r="G117" s="321" t="str">
        <f>VLOOKUP($E117,TaskValues_ref!$E:$Z,3,FALSE)</f>
        <v>Clinical</v>
      </c>
      <c r="H117" s="321" t="str">
        <f>VLOOKUP($E117,TaskValues_ref!$E:$Z,4,FALSE)</f>
        <v>Preventive</v>
      </c>
      <c r="I117" s="321" t="str">
        <f>VLOOKUP($E117,TaskValues_ref!$E:$Z,5,FALSE)</f>
        <v>NCDs</v>
      </c>
      <c r="J117" s="320" t="str">
        <f>VLOOKUP($E117,TaskValues_ref!$E:$Z,6,FALSE)</f>
        <v>adults 18+</v>
      </c>
      <c r="K117" s="321" t="str">
        <f>VLOOKUP($E117,TaskValues_ref!$E:$Z,10,FALSE)</f>
        <v>Ethiopia</v>
      </c>
      <c r="L117" s="195">
        <f>IF(VLOOKUP($E117,TaskValues_ref!$E:$Z,11,FALSE)=0,"",VLOOKUP($E117,TaskValues_ref!$E:$Z,11,FALSE))</f>
        <v>1</v>
      </c>
      <c r="M117" s="321">
        <f>IF(VLOOKUP($E117,TaskValues_ref!$E:$Z,13,FALSE)=0,"",VLOOKUP($E117,TaskValues_ref!$E:$Z,13,FALSE))</f>
        <v>0.2</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25">
      <c r="A118" s="357" t="s">
        <v>2339</v>
      </c>
      <c r="B118" s="357" t="s">
        <v>2380</v>
      </c>
      <c r="C118" s="357" t="s">
        <v>519</v>
      </c>
      <c r="D118" s="66">
        <v>125</v>
      </c>
      <c r="E118" s="64" t="str">
        <f>_xlfn.CONCAT("DPC.Dbt.",D118)</f>
        <v>DPC.Dbt.125</v>
      </c>
      <c r="F118" s="319" t="str">
        <f>VLOOKUP(E118,TaskValues_ref!E:F,2,FALSE)</f>
        <v>Diabetes routine care</v>
      </c>
      <c r="G118" s="321" t="str">
        <f>VLOOKUP($E118,TaskValues_ref!$E:$Z,3,FALSE)</f>
        <v>Clinical</v>
      </c>
      <c r="H118" s="321" t="str">
        <f>VLOOKUP($E118,TaskValues_ref!$E:$Z,4,FALSE)</f>
        <v>Acute</v>
      </c>
      <c r="I118" s="321" t="str">
        <f>VLOOKUP($E118,TaskValues_ref!$E:$Z,5,FALSE)</f>
        <v>NCDs</v>
      </c>
      <c r="J118" s="320" t="str">
        <f>VLOOKUP($E118,TaskValues_ref!$E:$Z,6,FALSE)</f>
        <v>adults 18+</v>
      </c>
      <c r="K118" s="321" t="str">
        <f>VLOOKUP($E118,TaskValues_ref!$E:$Z,10,FALSE)</f>
        <v>Ethiopia</v>
      </c>
      <c r="L118" s="195">
        <f>IF(VLOOKUP($E118,TaskValues_ref!$E:$Z,11,FALSE)=0,"",VLOOKUP($E118,TaskValues_ref!$E:$Z,11,FALSE))</f>
        <v>3.2000000000000001E-2</v>
      </c>
      <c r="M118" s="321" t="str">
        <f>IF(VLOOKUP($E118,TaskValues_ref!$E:$Z,13,FALSE)=0,"",VLOOKUP($E118,TaskValues_ref!$E:$Z,13,FALSE))</f>
        <v/>
      </c>
      <c r="N118" s="89">
        <f>IF(VLOOKUP($E118,TaskValues_ref!$E:$Z,15,FALSE)=0,"",VLOOKUP($E118,TaskValues_ref!$E:$Z,15,FALSE))</f>
        <v>1.02</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x14ac:dyDescent="0.25">
      <c r="A119" s="357" t="s">
        <v>2339</v>
      </c>
      <c r="B119" s="357" t="s">
        <v>2380</v>
      </c>
      <c r="C119" s="357" t="s">
        <v>2396</v>
      </c>
      <c r="D119" s="66">
        <v>126</v>
      </c>
      <c r="E119" s="64" t="str">
        <f>_xlfn.CONCAT("DPC.Asth.",D119)</f>
        <v>DPC.Asth.126</v>
      </c>
      <c r="F119" s="319" t="str">
        <f>VLOOKUP(E119,TaskValues_ref!E:F,2,FALSE)</f>
        <v>Smoking cessation</v>
      </c>
      <c r="G119" s="321" t="str">
        <f>VLOOKUP($E119,TaskValues_ref!$E:$Z,3,FALSE)</f>
        <v>Clinical</v>
      </c>
      <c r="H119" s="321" t="str">
        <f>VLOOKUP($E119,TaskValues_ref!$E:$Z,4,FALSE)</f>
        <v>Preventive</v>
      </c>
      <c r="I119" s="321" t="str">
        <f>VLOOKUP($E119,TaskValues_ref!$E:$Z,5,FALSE)</f>
        <v>NCDs</v>
      </c>
      <c r="J119" s="320" t="str">
        <f>VLOOKUP($E119,TaskValues_ref!$E:$Z,6,FALSE)</f>
        <v>men 18+</v>
      </c>
      <c r="K119" s="321" t="str">
        <f>VLOOKUP($E119,TaskValues_ref!$E:$Z,10,FALSE)</f>
        <v>Ethiopia</v>
      </c>
      <c r="L119" s="195">
        <f>IF(VLOOKUP($E119,TaskValues_ref!$E:$Z,11,FALSE)=0,"",VLOOKUP($E119,TaskValues_ref!$E:$Z,11,FALSE))</f>
        <v>4.7E-2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x14ac:dyDescent="0.25">
      <c r="A120" s="357" t="s">
        <v>2339</v>
      </c>
      <c r="B120" s="357" t="s">
        <v>2380</v>
      </c>
      <c r="C120" s="357" t="s">
        <v>2396</v>
      </c>
      <c r="D120" s="66">
        <v>127</v>
      </c>
      <c r="E120" s="64" t="str">
        <f>_xlfn.CONCAT("DPC.Asth.",D120)</f>
        <v>DPC.Asth.127</v>
      </c>
      <c r="F120" s="319" t="str">
        <f>VLOOKUP(E120,TaskValues_ref!E:F,2,FALSE)</f>
        <v>Prevention of risk factors</v>
      </c>
      <c r="G120" s="321" t="str">
        <f>VLOOKUP($E120,TaskValues_ref!$E:$Z,3,FALSE)</f>
        <v>Clinical</v>
      </c>
      <c r="H120" s="321" t="str">
        <f>VLOOKUP($E120,TaskValues_ref!$E:$Z,4,FALSE)</f>
        <v>Preventive</v>
      </c>
      <c r="I120" s="321" t="str">
        <f>VLOOKUP($E120,TaskValues_ref!$E:$Z,5,FALSE)</f>
        <v>NCDs</v>
      </c>
      <c r="J120" s="320" t="str">
        <f>VLOOKUP($E120,TaskValues_ref!$E:$Z,6,FALSE)</f>
        <v>adults 18+</v>
      </c>
      <c r="K120" s="321" t="str">
        <f>VLOOKUP($E120,TaskValues_ref!$E:$Z,10,FALSE)</f>
        <v>Ethiopia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7" t="s">
        <v>2339</v>
      </c>
      <c r="B121" s="357" t="s">
        <v>2380</v>
      </c>
      <c r="C121" s="357" t="s">
        <v>232</v>
      </c>
      <c r="D121" s="66">
        <v>130</v>
      </c>
      <c r="E121" s="64" t="s">
        <v>2444</v>
      </c>
      <c r="F121" s="319" t="str">
        <f>VLOOKUP(E121,TaskValues_ref!E:F,2,FALSE)</f>
        <v>Generate community awareness</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Ethiopia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7" t="s">
        <v>2339</v>
      </c>
      <c r="B122" s="357" t="s">
        <v>2380</v>
      </c>
      <c r="C122" s="357" t="s">
        <v>232</v>
      </c>
      <c r="D122" s="66">
        <v>130</v>
      </c>
      <c r="E122" s="64" t="s">
        <v>2445</v>
      </c>
      <c r="F122" s="319" t="str">
        <f>VLOOKUP(E122,TaskValues_ref!E:F,2,FALSE)</f>
        <v>Identify &amp; link to care</v>
      </c>
      <c r="G122" s="321" t="str">
        <f>VLOOKUP($E122,TaskValues_ref!$E:$Z,3,FALSE)</f>
        <v>Clinical</v>
      </c>
      <c r="H122" s="321" t="str">
        <f>VLOOKUP($E122,TaskValues_ref!$E:$Z,4,FALSE)</f>
        <v>Acute</v>
      </c>
      <c r="I122" s="321" t="str">
        <f>VLOOKUP($E122,TaskValues_ref!$E:$Z,5,FALSE)</f>
        <v>Mental health</v>
      </c>
      <c r="J122" s="320" t="str">
        <f>VLOOKUP($E122,TaskValues_ref!$E:$Z,6,FALSE)</f>
        <v>30 yo adults</v>
      </c>
      <c r="K122" s="321" t="str">
        <f>VLOOKUP($E122,TaskValues_ref!$E:$Z,10,FALSE)</f>
        <v>Ethiopia</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25">
      <c r="A123" s="357" t="s">
        <v>2339</v>
      </c>
      <c r="B123" s="357" t="s">
        <v>2380</v>
      </c>
      <c r="C123" s="357" t="s">
        <v>232</v>
      </c>
      <c r="D123" s="66">
        <v>131</v>
      </c>
      <c r="E123" s="64" t="str">
        <f>_xlfn.CONCAT("DPC.MH.",D123)</f>
        <v>DPC.MH.131</v>
      </c>
      <c r="F123" s="319" t="str">
        <f>VLOOKUP(E123,TaskValues_ref!E:F,2,FALSE)</f>
        <v>Workplace stress reduction</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Ethiopia</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25">
      <c r="A124" s="357" t="s">
        <v>2339</v>
      </c>
      <c r="B124" s="357" t="s">
        <v>2380</v>
      </c>
      <c r="C124" s="357" t="s">
        <v>232</v>
      </c>
      <c r="D124" s="66">
        <v>132</v>
      </c>
      <c r="E124" s="64" t="str">
        <f>_xlfn.CONCAT("DPC.MH.",D124)</f>
        <v>DPC.MH.132</v>
      </c>
      <c r="F124" s="319" t="str">
        <f>VLOOKUP(E124,TaskValues_ref!E:F,2,FALSE)</f>
        <v>School-based mental health programs</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Ethiopia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7" t="s">
        <v>2339</v>
      </c>
      <c r="B125" s="357" t="s">
        <v>2380</v>
      </c>
      <c r="C125" s="357" t="s">
        <v>232</v>
      </c>
      <c r="D125" s="66">
        <v>133</v>
      </c>
      <c r="E125" s="64" t="str">
        <f>_xlfn.CONCAT("DPC.MH.",D125)</f>
        <v>DPC.MH.133</v>
      </c>
      <c r="F125" s="319" t="str">
        <f>VLOOKUP(E125,TaskValues_ref!E:F,2,FALSE)</f>
        <v>Identify &amp; assess drug use</v>
      </c>
      <c r="G125" s="321" t="str">
        <f>VLOOKUP($E125,TaskValues_ref!$E:$Z,3,FALSE)</f>
        <v>Clinical</v>
      </c>
      <c r="H125" s="321" t="str">
        <f>VLOOKUP($E125,TaskValues_ref!$E:$Z,4,FALSE)</f>
        <v>Acute</v>
      </c>
      <c r="I125" s="321" t="str">
        <f>VLOOKUP($E125,TaskValues_ref!$E:$Z,5,FALSE)</f>
        <v>Mental health</v>
      </c>
      <c r="J125" s="320" t="str">
        <f>VLOOKUP($E125,TaskValues_ref!$E:$Z,6,FALSE)</f>
        <v>30 yo adults</v>
      </c>
      <c r="K125" s="321" t="str">
        <f>VLOOKUP($E125,TaskValues_ref!$E:$Z,10,FALSE)</f>
        <v>Ethiopia</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x14ac:dyDescent="0.25">
      <c r="A126" s="357" t="s">
        <v>2339</v>
      </c>
      <c r="B126" s="357" t="s">
        <v>2380</v>
      </c>
      <c r="C126" s="357" t="s">
        <v>232</v>
      </c>
      <c r="D126" s="66">
        <v>134</v>
      </c>
      <c r="E126" s="64" t="str">
        <f>_xlfn.CONCAT("DPC.MH.",D126)</f>
        <v>DPC.MH.134</v>
      </c>
      <c r="F126" s="319" t="str">
        <f>VLOOKUP(E126,TaskValues_ref!E:F,2,FALSE)</f>
        <v>Safer storage of pesticides</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Ethiopia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25">
      <c r="A127" s="357" t="s">
        <v>2339</v>
      </c>
      <c r="B127" s="357" t="s">
        <v>2380</v>
      </c>
      <c r="C127" s="357" t="s">
        <v>232</v>
      </c>
      <c r="D127" s="66">
        <v>135</v>
      </c>
      <c r="E127" s="64" t="str">
        <f>_xlfn.CONCAT("DPC.MH.",D127)</f>
        <v>DPC.MH.135</v>
      </c>
      <c r="F127" s="319" t="str">
        <f>VLOOKUP(E127,TaskValues_ref!E:F,2,FALSE)</f>
        <v>Emergency poisoning response</v>
      </c>
      <c r="G127" s="321" t="str">
        <f>VLOOKUP($E127,TaskValues_ref!$E:$Z,3,FALSE)</f>
        <v>Clinical</v>
      </c>
      <c r="H127" s="321" t="str">
        <f>VLOOKUP($E127,TaskValues_ref!$E:$Z,4,FALSE)</f>
        <v>Acute</v>
      </c>
      <c r="I127" s="321" t="str">
        <f>VLOOKUP($E127,TaskValues_ref!$E:$Z,5,FALSE)</f>
        <v>Mental health</v>
      </c>
      <c r="J127" s="320" t="str">
        <f>VLOOKUP($E127,TaskValues_ref!$E:$Z,6,FALSE)</f>
        <v>adults 18+</v>
      </c>
      <c r="K127" s="321" t="str">
        <f>VLOOKUP($E127,TaskValues_ref!$E:$Z,10,FALSE)</f>
        <v>Ethiopia</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25">
      <c r="A128" s="357" t="s">
        <v>2339</v>
      </c>
      <c r="B128" s="357" t="s">
        <v>2380</v>
      </c>
      <c r="C128" s="357" t="s">
        <v>2397</v>
      </c>
      <c r="D128" s="66">
        <v>136</v>
      </c>
      <c r="E128" s="64" t="str">
        <f>_xlfn.CONCAT("DPC.Oph.",D128)</f>
        <v>DPC.Oph.136</v>
      </c>
      <c r="F128" s="319" t="str">
        <f>VLOOKUP(E128,TaskValues_ref!E:F,2,FALSE)</f>
        <v>Awareness &amp; screening for cataracts</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Ethiopia</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x14ac:dyDescent="0.25">
      <c r="A129" s="357" t="s">
        <v>2339</v>
      </c>
      <c r="B129" s="357" t="s">
        <v>2380</v>
      </c>
      <c r="C129" s="357" t="s">
        <v>2397</v>
      </c>
      <c r="D129" s="66">
        <v>137</v>
      </c>
      <c r="E129" s="64" t="str">
        <f>_xlfn.CONCAT("DPC.Oph.",D129)</f>
        <v>DPC.Oph.137</v>
      </c>
      <c r="F129" s="319" t="str">
        <f>VLOOKUP(E129,TaskValues_ref!E:F,2,FALSE)</f>
        <v>Awareness of eye glasses</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Ethiopia</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x14ac:dyDescent="0.25">
      <c r="A130" s="357" t="s">
        <v>2339</v>
      </c>
      <c r="B130" s="357" t="s">
        <v>2380</v>
      </c>
      <c r="C130" s="357" t="s">
        <v>2397</v>
      </c>
      <c r="D130" s="66">
        <v>138</v>
      </c>
      <c r="E130" s="64" t="str">
        <f>_xlfn.CONCAT("DPC.Oph.",D130)</f>
        <v>DPC.Oph.138</v>
      </c>
      <c r="F130" s="319" t="str">
        <f>VLOOKUP(E130,TaskValues_ref!E:F,2,FALSE)</f>
        <v>School screenings for vision impairment</v>
      </c>
      <c r="G130" s="321" t="str">
        <f>VLOOKUP($E130,TaskValues_ref!$E:$Z,3,FALSE)</f>
        <v>Clinical</v>
      </c>
      <c r="H130" s="321" t="str">
        <f>VLOOKUP($E130,TaskValues_ref!$E:$Z,4,FALSE)</f>
        <v>Preventive</v>
      </c>
      <c r="I130" s="321" t="str">
        <f>VLOOKUP($E130,TaskValues_ref!$E:$Z,5,FALSE)</f>
        <v>NCDs</v>
      </c>
      <c r="J130" s="320" t="str">
        <f>VLOOKUP($E130,TaskValues_ref!$E:$Z,6,FALSE)</f>
        <v>15 yo</v>
      </c>
      <c r="K130" s="321" t="str">
        <f>VLOOKUP($E130,TaskValues_ref!$E:$Z,10,FALSE)</f>
        <v>Ethiopia</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25">
      <c r="A131" s="357" t="s">
        <v>2339</v>
      </c>
      <c r="B131" s="357" t="s">
        <v>2380</v>
      </c>
      <c r="C131" s="357" t="s">
        <v>2397</v>
      </c>
      <c r="D131" s="66">
        <v>139</v>
      </c>
      <c r="E131" s="64" t="str">
        <f>_xlfn.CONCAT("DPC.Oph.",D131)</f>
        <v>DPC.Oph.139</v>
      </c>
      <c r="F131" s="319" t="str">
        <f>VLOOKUP(E131,TaskValues_ref!E:F,2,FALSE)</f>
        <v>Opportunistic screenings for vision impairment</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Ethiopia</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7" t="s">
        <v>2339</v>
      </c>
      <c r="B132" s="357" t="s">
        <v>2380</v>
      </c>
      <c r="C132" s="357" t="s">
        <v>2397</v>
      </c>
      <c r="D132" s="66">
        <v>140</v>
      </c>
      <c r="E132" s="64" t="str">
        <f>_xlfn.CONCAT("DPC.Oph.",D132)</f>
        <v>DPC.Oph.140</v>
      </c>
      <c r="F132" s="319" t="str">
        <f>VLOOKUP(E132,TaskValues_ref!E:F,2,FALSE)</f>
        <v>Awareness &amp; screening for glaucoma</v>
      </c>
      <c r="G132" s="321" t="str">
        <f>VLOOKUP($E132,TaskValues_ref!$E:$Z,3,FALSE)</f>
        <v>Clinical</v>
      </c>
      <c r="H132" s="321" t="str">
        <f>VLOOKUP($E132,TaskValues_ref!$E:$Z,4,FALSE)</f>
        <v>Preventive</v>
      </c>
      <c r="I132" s="321" t="str">
        <f>VLOOKUP($E132,TaskValues_ref!$E:$Z,5,FALSE)</f>
        <v>NCDs</v>
      </c>
      <c r="J132" s="320" t="str">
        <f>VLOOKUP($E132,TaskValues_ref!$E:$Z,6,FALSE)</f>
        <v>50 yo adults</v>
      </c>
      <c r="K132" s="321" t="str">
        <f>VLOOKUP($E132,TaskValues_ref!$E:$Z,10,FALSE)</f>
        <v>Ethiopia</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25">
      <c r="A133" s="357" t="s">
        <v>2339</v>
      </c>
      <c r="B133" s="357" t="s">
        <v>2380</v>
      </c>
      <c r="C133" s="357" t="s">
        <v>2398</v>
      </c>
      <c r="E133" s="64" t="s">
        <v>2594</v>
      </c>
      <c r="F133" s="319" t="str">
        <f>VLOOKUP(E133,TaskValues_ref!E:F,2,FALSE)</f>
        <v>Basic first aid</v>
      </c>
      <c r="G133" s="321" t="str">
        <f>VLOOKUP($E133,TaskValues_ref!$E:$Z,3,FALSE)</f>
        <v>Clinical</v>
      </c>
      <c r="H133" s="321" t="str">
        <f>VLOOKUP($E133,TaskValues_ref!$E:$Z,4,FALSE)</f>
        <v>Acute</v>
      </c>
      <c r="I133" s="321" t="str">
        <f>VLOOKUP($E133,TaskValues_ref!$E:$Z,5,FALSE)</f>
        <v>First aid</v>
      </c>
      <c r="J133" s="320" t="str">
        <f>VLOOKUP($E133,TaskValues_ref!$E:$Z,6,FALSE)</f>
        <v>all</v>
      </c>
      <c r="K133" s="321" t="str">
        <f>VLOOKUP($E133,TaskValues_ref!$E:$Z,10,FALSE)</f>
        <v>Ethiopia</v>
      </c>
      <c r="L133" s="195">
        <f>IF(VLOOKUP($E133,TaskValues_ref!$E:$Z,11,FALSE)=0,"",VLOOKUP($E133,TaskValues_ref!$E:$Z,11,FALSE))</f>
        <v>1.8504347826086959E-3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x14ac:dyDescent="0.25">
      <c r="A134" s="66" t="s">
        <v>2339</v>
      </c>
      <c r="B134" s="66" t="s">
        <v>528</v>
      </c>
      <c r="D134" s="66">
        <v>156</v>
      </c>
      <c r="E134" s="64" t="s">
        <v>2453</v>
      </c>
      <c r="F134" s="319" t="str">
        <f>VLOOKUP(E134,TaskValues_ref!E:F,2,FALSE)</f>
        <v>Surveillance for NTDs</v>
      </c>
      <c r="G134" s="321" t="str">
        <f>VLOOKUP($E134,TaskValues_ref!$E:$Z,3,FALSE)</f>
        <v>Non-productive</v>
      </c>
      <c r="H134" s="321" t="str">
        <f>VLOOKUP($E134,TaskValues_ref!$E:$Z,4,FALSE)</f>
        <v>Public Health</v>
      </c>
      <c r="I134" s="321" t="str">
        <f>VLOOKUP($E134,TaskValues_ref!$E:$Z,5,FALSE)</f>
        <v>-</v>
      </c>
      <c r="J134" s="320" t="str">
        <f>VLOOKUP($E134,TaskValues_ref!$E:$Z,6,FALSE)</f>
        <v>-</v>
      </c>
      <c r="K134" s="321" t="str">
        <f>VLOOKUP($E134,TaskValues_ref!$E:$Z,10,FALSE)</f>
        <v>Ethiopia</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25">
      <c r="A135" s="66" t="s">
        <v>2339</v>
      </c>
      <c r="B135" s="66" t="s">
        <v>528</v>
      </c>
      <c r="C135" s="66" t="s">
        <v>2455</v>
      </c>
      <c r="D135" s="66">
        <f t="shared" ref="D135:D153" si="4">D134+1</f>
        <v>157</v>
      </c>
      <c r="E135" s="64" t="str">
        <f t="shared" ref="E135:E153" si="5">_xlfn.CONCAT("DPC.NTD.",D135)</f>
        <v>DPC.NTD.157</v>
      </c>
      <c r="F135" s="319" t="str">
        <f>VLOOKUP(E135,TaskValues_ref!E:F,2,FALSE)</f>
        <v>LF screening &amp; referral</v>
      </c>
      <c r="G135" s="321" t="str">
        <f>VLOOKUP($E135,TaskValues_ref!$E:$Z,3,FALSE)</f>
        <v>Clinical</v>
      </c>
      <c r="H135" s="321" t="str">
        <f>VLOOKUP($E135,TaskValues_ref!$E:$Z,4,FALSE)</f>
        <v>Acute</v>
      </c>
      <c r="I135" s="321" t="str">
        <f>VLOOKUP($E135,TaskValues_ref!$E:$Z,5,FALSE)</f>
        <v>NTDs</v>
      </c>
      <c r="J135" s="320" t="str">
        <f>VLOOKUP($E135,TaskValues_ref!$E:$Z,6,FALSE)</f>
        <v>adults 18+</v>
      </c>
      <c r="K135" s="321" t="str">
        <f>VLOOKUP($E135,TaskValues_ref!$E:$Z,10,FALSE)</f>
        <v>Ethiopia</v>
      </c>
      <c r="L135" s="195">
        <f>IF(VLOOKUP($E135,TaskValues_ref!$E:$Z,11,FALSE)=0,"",VLOOKUP($E135,TaskValues_ref!$E:$Z,11,FALSE))</f>
        <v>4.6529294056327089E-3</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25">
      <c r="A136" s="66" t="s">
        <v>2339</v>
      </c>
      <c r="B136" s="66" t="s">
        <v>528</v>
      </c>
      <c r="C136" s="66" t="s">
        <v>2455</v>
      </c>
      <c r="D136" s="66">
        <f t="shared" si="4"/>
        <v>158</v>
      </c>
      <c r="E136" s="64" t="str">
        <f t="shared" si="5"/>
        <v>DPC.NTD.158</v>
      </c>
      <c r="F136" s="319" t="str">
        <f>VLOOKUP(E136,TaskValues_ref!E:F,2,FALSE)</f>
        <v>LF MDA</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Ethiopia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25">
      <c r="A137" s="66" t="s">
        <v>2339</v>
      </c>
      <c r="B137" s="66" t="s">
        <v>528</v>
      </c>
      <c r="C137" s="66" t="s">
        <v>2455</v>
      </c>
      <c r="D137" s="66">
        <f t="shared" si="4"/>
        <v>159</v>
      </c>
      <c r="E137" s="64" t="str">
        <f t="shared" si="5"/>
        <v>DPC.NTD.159</v>
      </c>
      <c r="F137" s="319" t="str">
        <f>VLOOKUP(E137,TaskValues_ref!E:F,2,FALSE)</f>
        <v>LLINs and IRS</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Ethiopia</v>
      </c>
      <c r="L137" s="195">
        <f>IF(VLOOKUP($E137,TaskValues_ref!$E:$Z,11,FALSE)=0,"",VLOOKUP($E137,TaskValues_ref!$E:$Z,11,FALSE))</f>
        <v>0.21276595744680851</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x14ac:dyDescent="0.25">
      <c r="A138" s="66" t="s">
        <v>2339</v>
      </c>
      <c r="B138" s="66" t="s">
        <v>528</v>
      </c>
      <c r="C138" s="66" t="s">
        <v>406</v>
      </c>
      <c r="D138" s="66">
        <f t="shared" si="4"/>
        <v>160</v>
      </c>
      <c r="E138" s="64" t="str">
        <f t="shared" si="5"/>
        <v>DPC.NTD.160</v>
      </c>
      <c r="F138" s="319" t="str">
        <f>VLOOKUP(E138,TaskValues_ref!E:F,2,FALSE)</f>
        <v>LF behavior change</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Ethiopia</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25">
      <c r="A139" s="66" t="s">
        <v>2339</v>
      </c>
      <c r="B139" s="66" t="s">
        <v>528</v>
      </c>
      <c r="C139" s="66" t="s">
        <v>410</v>
      </c>
      <c r="D139" s="66">
        <f t="shared" si="4"/>
        <v>161</v>
      </c>
      <c r="E139" s="64" t="str">
        <f t="shared" si="5"/>
        <v>DPC.NTD.161</v>
      </c>
      <c r="F139" s="319" t="str">
        <f>VLOOKUP(E139,TaskValues_ref!E:F,2,FALSE)</f>
        <v>Oncho MDA</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Ethiopia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25">
      <c r="A140" s="66" t="s">
        <v>2339</v>
      </c>
      <c r="B140" s="66" t="s">
        <v>528</v>
      </c>
      <c r="C140" s="66" t="s">
        <v>410</v>
      </c>
      <c r="D140" s="66">
        <f t="shared" si="4"/>
        <v>162</v>
      </c>
      <c r="E140" s="64" t="str">
        <f t="shared" si="5"/>
        <v>DPC.NTD.162</v>
      </c>
      <c r="F140" s="319" t="str">
        <f>VLOOKUP(E140,TaskValues_ref!E:F,2,FALSE)</f>
        <v>Oncho behavior change</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Ethiopia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66" t="s">
        <v>2339</v>
      </c>
      <c r="B141" s="66" t="s">
        <v>528</v>
      </c>
      <c r="C141" s="66" t="s">
        <v>410</v>
      </c>
      <c r="D141" s="66">
        <f t="shared" si="4"/>
        <v>163</v>
      </c>
      <c r="E141" s="64" t="str">
        <f t="shared" si="5"/>
        <v>DPC.NTD.163</v>
      </c>
      <c r="F141" s="319" t="str">
        <f>VLOOKUP(E141,TaskValues_ref!E:F,2,FALSE)</f>
        <v>Trachoma behavior change</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Ethiopia</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25">
      <c r="A142" s="66" t="s">
        <v>2339</v>
      </c>
      <c r="B142" s="66" t="s">
        <v>528</v>
      </c>
      <c r="C142" s="66" t="s">
        <v>410</v>
      </c>
      <c r="D142" s="66">
        <f t="shared" si="4"/>
        <v>164</v>
      </c>
      <c r="E142" s="64" t="str">
        <f t="shared" si="5"/>
        <v>DPC.NTD.164</v>
      </c>
      <c r="F142" s="319" t="str">
        <f>VLOOKUP(E142,TaskValues_ref!E:F,2,FALSE)</f>
        <v>Promote water and sanitation</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Ethiopia</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25">
      <c r="A143" s="66" t="s">
        <v>2339</v>
      </c>
      <c r="B143" s="66" t="s">
        <v>528</v>
      </c>
      <c r="C143" s="66" t="s">
        <v>2456</v>
      </c>
      <c r="D143" s="66">
        <f t="shared" si="4"/>
        <v>165</v>
      </c>
      <c r="E143" s="64" t="str">
        <f t="shared" si="5"/>
        <v>DPC.NTD.165</v>
      </c>
      <c r="F143" s="319" t="str">
        <f>VLOOKUP(E143,TaskValues_ref!E:F,2,FALSE)</f>
        <v>Dx &amp; treat trachoma</v>
      </c>
      <c r="G143" s="321" t="str">
        <f>VLOOKUP($E143,TaskValues_ref!$E:$Z,3,FALSE)</f>
        <v>Clinical</v>
      </c>
      <c r="H143" s="321" t="str">
        <f>VLOOKUP($E143,TaskValues_ref!$E:$Z,4,FALSE)</f>
        <v>Acute</v>
      </c>
      <c r="I143" s="321" t="str">
        <f>VLOOKUP($E143,TaskValues_ref!$E:$Z,5,FALSE)</f>
        <v>NTDs</v>
      </c>
      <c r="J143" s="320" t="str">
        <f>VLOOKUP($E143,TaskValues_ref!$E:$Z,6,FALSE)</f>
        <v>children 0-9</v>
      </c>
      <c r="K143" s="321" t="str">
        <f>VLOOKUP($E143,TaskValues_ref!$E:$Z,10,FALSE)</f>
        <v>Ethiopia</v>
      </c>
      <c r="L143" s="195">
        <f>IF(VLOOKUP($E143,TaskValues_ref!$E:$Z,11,FALSE)=0,"",VLOOKUP($E143,TaskValues_ref!$E:$Z,11,FALSE))</f>
        <v>1.0375000000000001E-2</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25">
      <c r="A144" s="66" t="s">
        <v>2339</v>
      </c>
      <c r="B144" s="66" t="s">
        <v>528</v>
      </c>
      <c r="C144" s="66" t="s">
        <v>2456</v>
      </c>
      <c r="D144" s="66">
        <f t="shared" si="4"/>
        <v>166</v>
      </c>
      <c r="E144" s="64" t="str">
        <f t="shared" si="5"/>
        <v>DPC.NTD.166</v>
      </c>
      <c r="F144" s="319" t="str">
        <f>VLOOKUP(E144,TaskValues_ref!E:F,2,FALSE)</f>
        <v>Trochomatous trichiasis surgery</v>
      </c>
      <c r="G144" s="321" t="str">
        <f>VLOOKUP($E144,TaskValues_ref!$E:$Z,3,FALSE)</f>
        <v>Clinical</v>
      </c>
      <c r="H144" s="321" t="str">
        <f>VLOOKUP($E144,TaskValues_ref!$E:$Z,4,FALSE)</f>
        <v>Acute</v>
      </c>
      <c r="I144" s="321" t="str">
        <f>VLOOKUP($E144,TaskValues_ref!$E:$Z,5,FALSE)</f>
        <v>NTDs</v>
      </c>
      <c r="J144" s="320" t="str">
        <f>VLOOKUP($E144,TaskValues_ref!$E:$Z,6,FALSE)</f>
        <v>adults 18+</v>
      </c>
      <c r="K144" s="321" t="str">
        <f>VLOOKUP($E144,TaskValues_ref!$E:$Z,10,FALSE)</f>
        <v>Ethiopia</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x14ac:dyDescent="0.25">
      <c r="A145" s="66" t="s">
        <v>2339</v>
      </c>
      <c r="B145" s="66" t="s">
        <v>528</v>
      </c>
      <c r="C145" s="66" t="s">
        <v>2457</v>
      </c>
      <c r="D145" s="66">
        <f t="shared" si="4"/>
        <v>167</v>
      </c>
      <c r="E145" s="64" t="str">
        <f t="shared" si="5"/>
        <v>DPC.NTD.167</v>
      </c>
      <c r="F145" s="319" t="str">
        <f>VLOOKUP(E145,TaskValues_ref!E:F,2,FALSE)</f>
        <v>Trachoma MDA</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Ethiopia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66" t="s">
        <v>2339</v>
      </c>
      <c r="B146" s="66" t="s">
        <v>528</v>
      </c>
      <c r="C146" s="66" t="s">
        <v>2457</v>
      </c>
      <c r="D146" s="66">
        <f t="shared" si="4"/>
        <v>168</v>
      </c>
      <c r="E146" s="64" t="str">
        <f t="shared" si="5"/>
        <v>DPC.NTD.168</v>
      </c>
      <c r="F146" s="319" t="str">
        <f>VLOOKUP(E146,TaskValues_ref!E:F,2,FALSE)</f>
        <v>Promote face washing</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Ethiopia</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25">
      <c r="A147" s="66" t="s">
        <v>2339</v>
      </c>
      <c r="B147" s="66" t="s">
        <v>528</v>
      </c>
      <c r="C147" s="66" t="s">
        <v>2238</v>
      </c>
      <c r="D147" s="66">
        <f t="shared" si="4"/>
        <v>169</v>
      </c>
      <c r="E147" s="64" t="str">
        <f t="shared" si="5"/>
        <v>DPC.NTD.169</v>
      </c>
      <c r="F147" s="319" t="str">
        <f>VLOOKUP(E147,TaskValues_ref!E:F,2,FALSE)</f>
        <v>Schisto behavior change</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Ethiopia</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25">
      <c r="A148" s="66" t="s">
        <v>2339</v>
      </c>
      <c r="B148" s="66" t="s">
        <v>528</v>
      </c>
      <c r="C148" s="66" t="s">
        <v>2238</v>
      </c>
      <c r="D148" s="66">
        <f t="shared" si="4"/>
        <v>170</v>
      </c>
      <c r="E148" s="64" t="str">
        <f t="shared" si="5"/>
        <v>DPC.NTD.170</v>
      </c>
      <c r="F148" s="319" t="str">
        <f>VLOOKUP(E148,TaskValues_ref!E:F,2,FALSE)</f>
        <v>Snail control</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Ethiopia</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25">
      <c r="A149" s="66" t="s">
        <v>2339</v>
      </c>
      <c r="B149" s="66" t="s">
        <v>528</v>
      </c>
      <c r="C149" s="66" t="s">
        <v>2458</v>
      </c>
      <c r="D149" s="66">
        <f t="shared" si="4"/>
        <v>171</v>
      </c>
      <c r="E149" s="64" t="str">
        <f t="shared" si="5"/>
        <v>DPC.NTD.171</v>
      </c>
      <c r="F149" s="319" t="str">
        <f>VLOOKUP(E149,TaskValues_ref!E:F,2,FALSE)</f>
        <v>Schisto MDA</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Ethiopia</v>
      </c>
      <c r="L149" s="195">
        <f>IF(VLOOKUP($E149,TaskValues_ref!$E:$Z,11,FALSE)=0,"",VLOOKUP($E149,TaskValues_ref!$E:$Z,11,FALSE))</f>
        <v>0.21276595744680851</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x14ac:dyDescent="0.25">
      <c r="A150" s="66" t="s">
        <v>2339</v>
      </c>
      <c r="B150" s="66" t="s">
        <v>528</v>
      </c>
      <c r="C150" s="66" t="s">
        <v>2458</v>
      </c>
      <c r="D150" s="66">
        <f t="shared" si="4"/>
        <v>172</v>
      </c>
      <c r="E150" s="64" t="str">
        <f t="shared" si="5"/>
        <v>DPC.NTD.172</v>
      </c>
      <c r="F150" s="319" t="str">
        <f>VLOOKUP(E150,TaskValues_ref!E:F,2,FALSE)</f>
        <v>STH behavior change</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Ethiopia</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25">
      <c r="A151" s="66" t="s">
        <v>2339</v>
      </c>
      <c r="B151" s="66" t="s">
        <v>528</v>
      </c>
      <c r="C151" s="66" t="s">
        <v>2458</v>
      </c>
      <c r="D151" s="66">
        <f t="shared" si="4"/>
        <v>173</v>
      </c>
      <c r="E151" s="64" t="str">
        <f t="shared" si="5"/>
        <v>DPC.NTD.173</v>
      </c>
      <c r="F151" s="319" t="str">
        <f>VLOOKUP(E151,TaskValues_ref!E:F,2,FALSE)</f>
        <v>STH MDA</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Ethiopia</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25">
      <c r="A152" s="66" t="s">
        <v>2339</v>
      </c>
      <c r="B152" s="66" t="s">
        <v>528</v>
      </c>
      <c r="C152" s="66" t="s">
        <v>2484</v>
      </c>
      <c r="D152" s="66">
        <f t="shared" si="4"/>
        <v>174</v>
      </c>
      <c r="E152" s="64" t="str">
        <f t="shared" si="5"/>
        <v>DPC.NTD.174</v>
      </c>
      <c r="F152" s="319" t="str">
        <f>VLOOKUP(E152,TaskValues_ref!E:F,2,FALSE)</f>
        <v>STH dx &amp; treat in pregnancy</v>
      </c>
      <c r="G152" s="321" t="str">
        <f>VLOOKUP($E152,TaskValues_ref!$E:$Z,3,FALSE)</f>
        <v>Clinical</v>
      </c>
      <c r="H152" s="321" t="str">
        <f>VLOOKUP($E152,TaskValues_ref!$E:$Z,4,FALSE)</f>
        <v>Acute</v>
      </c>
      <c r="I152" s="321" t="str">
        <f>VLOOKUP($E152,TaskValues_ref!$E:$Z,5,FALSE)</f>
        <v>NTDs</v>
      </c>
      <c r="J152" s="320" t="str">
        <f>VLOOKUP($E152,TaskValues_ref!$E:$Z,6,FALSE)</f>
        <v>women 15-49</v>
      </c>
      <c r="K152" s="321" t="str">
        <f>VLOOKUP($E152,TaskValues_ref!$E:$Z,10,FALSE)</f>
        <v>Ethiopia</v>
      </c>
      <c r="L152" s="195">
        <f>IF(VLOOKUP($E152,TaskValues_ref!$E:$Z,11,FALSE)=0,"",VLOOKUP($E152,TaskValues_ref!$E:$Z,11,FALSE))</f>
        <v>0.33399999999999996</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25">
      <c r="A153" s="66" t="s">
        <v>2339</v>
      </c>
      <c r="B153" s="66" t="s">
        <v>528</v>
      </c>
      <c r="C153" s="66" t="s">
        <v>2484</v>
      </c>
      <c r="D153" s="66">
        <f t="shared" si="4"/>
        <v>175</v>
      </c>
      <c r="E153" s="64" t="str">
        <f t="shared" si="5"/>
        <v>DPC.NTD.175</v>
      </c>
      <c r="F153" s="319" t="str">
        <f>VLOOKUP(E153,TaskValues_ref!E:F,2,FALSE)</f>
        <v>Scabies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Ethiopia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66" t="s">
        <v>2486</v>
      </c>
      <c r="D154" s="66" t="s">
        <v>2488</v>
      </c>
      <c r="E154" s="64" t="s">
        <v>2627</v>
      </c>
      <c r="F154" s="319" t="str">
        <f>VLOOKUP(E154,TaskValues_ref!E:F,2,FALSE)</f>
        <v>Model household program</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Ethiopia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7</v>
      </c>
      <c r="S154" t="str">
        <f>IF(VLOOKUP($E154,TaskValues_ref!$E:$Z,20,FALSE)=0,"",VLOOKUP($E154,TaskValues_ref!$E:$Z,20,FALSE))</f>
        <v/>
      </c>
    </row>
    <row r="155" spans="1:19" x14ac:dyDescent="0.25">
      <c r="A155" s="66" t="s">
        <v>2489</v>
      </c>
      <c r="D155" s="66" t="s">
        <v>2490</v>
      </c>
      <c r="E155" s="64" t="s">
        <v>2628</v>
      </c>
      <c r="F155" s="319" t="str">
        <f>VLOOKUP(E155,TaskValues_ref!E:F,2,FALSE)</f>
        <v>Model household program</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Ethiopia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7</v>
      </c>
      <c r="S155" t="str">
        <f>IF(VLOOKUP($E155,TaskValues_ref!$E:$Z,20,FALSE)=0,"",VLOOKUP($E155,TaskValues_ref!$E:$Z,20,FALSE))</f>
        <v/>
      </c>
    </row>
    <row r="156" spans="1:19" x14ac:dyDescent="0.25">
      <c r="A156" s="319"/>
      <c r="E156" s="64" t="s">
        <v>1953</v>
      </c>
      <c r="F156" s="319" t="str">
        <f>VLOOKUP(E156,TaskValues_ref!E:F,2,FALSE)</f>
        <v>Record keeping</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Ethiopia</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45.844447190612613</v>
      </c>
      <c r="R156" t="str">
        <f>IF(VLOOKUP($E156,TaskValues_ref!$E:$Z,19,FALSE)=0,"",VLOOKUP($E156,TaskValues_ref!$E:$Z,19,FALSE))</f>
        <v/>
      </c>
      <c r="S156" t="str">
        <f>IF(VLOOKUP($E156,TaskValues_ref!$E:$Z,20,FALSE)=0,"",VLOOKUP($E156,TaskValues_ref!$E:$Z,20,FALSE))</f>
        <v/>
      </c>
    </row>
    <row r="157" spans="1:19" s="127" customFormat="1" x14ac:dyDescent="0.25">
      <c r="A157" s="373"/>
      <c r="B157" s="373"/>
      <c r="C157" s="373"/>
      <c r="D157" s="373"/>
      <c r="E157" s="373" t="s">
        <v>2772</v>
      </c>
      <c r="F157" s="374" t="str">
        <f>VLOOKUP(E157,TaskValues_ref!E:F,2,FALSE)</f>
        <v>Test additional</v>
      </c>
      <c r="G157" s="374"/>
      <c r="H157" s="374"/>
      <c r="I157" s="374"/>
      <c r="J157" s="376"/>
      <c r="K157" s="127" t="str">
        <f>VLOOKUP($E157,TaskValues_ref!$E:$Z,10,FALSE)</f>
        <v>Ethiopia</v>
      </c>
      <c r="L157" s="335"/>
      <c r="N157" s="377"/>
      <c r="Q157" s="258"/>
      <c r="S157" s="127">
        <v>1E-3</v>
      </c>
    </row>
    <row r="158" spans="1:19" s="127" customFormat="1" x14ac:dyDescent="0.25">
      <c r="A158" s="373"/>
      <c r="B158" s="373"/>
      <c r="C158" s="373"/>
      <c r="D158" s="373"/>
      <c r="E158" s="127" t="s">
        <v>2180</v>
      </c>
      <c r="F158" s="374" t="str">
        <f>VLOOKUP(E158,TaskValues_ref!E:F,2,FALSE)</f>
        <v>Normal labor management</v>
      </c>
      <c r="G158" s="374" t="s">
        <v>154</v>
      </c>
      <c r="H158" s="374" t="s">
        <v>155</v>
      </c>
      <c r="I158" s="375" t="s">
        <v>65</v>
      </c>
      <c r="J158" s="376" t="s">
        <v>156</v>
      </c>
      <c r="K158" s="375" t="str">
        <f>VLOOKUP($E158,TaskValues_ref!$E:$Z,10,FALSE)</f>
        <v>Ethiopia</v>
      </c>
      <c r="L158" s="335">
        <v>1</v>
      </c>
      <c r="N158" s="377">
        <v>1</v>
      </c>
      <c r="O158" s="127">
        <v>1</v>
      </c>
      <c r="Q158" s="378">
        <v>0</v>
      </c>
    </row>
    <row r="159" spans="1:19" s="127" customFormat="1" x14ac:dyDescent="0.25">
      <c r="A159" s="373"/>
      <c r="B159" s="373"/>
      <c r="C159" s="373"/>
      <c r="D159" s="373"/>
      <c r="E159" s="127" t="s">
        <v>2182</v>
      </c>
      <c r="F159" s="374" t="str">
        <f>VLOOKUP(E159,TaskValues_ref!E:F,2,FALSE)</f>
        <v>Emergency OB</v>
      </c>
      <c r="G159" s="374" t="s">
        <v>154</v>
      </c>
      <c r="H159" s="374" t="s">
        <v>155</v>
      </c>
      <c r="I159" s="375" t="s">
        <v>65</v>
      </c>
      <c r="J159" s="376" t="s">
        <v>156</v>
      </c>
      <c r="K159" s="375" t="str">
        <f>VLOOKUP($E159,TaskValues_ref!$E:$Z,10,FALSE)</f>
        <v>Ethiopia</v>
      </c>
      <c r="L159" s="335">
        <v>1</v>
      </c>
      <c r="N159" s="377">
        <v>1</v>
      </c>
      <c r="O159" s="127">
        <v>1</v>
      </c>
      <c r="Q159" s="378">
        <v>0</v>
      </c>
    </row>
    <row r="160" spans="1:19" s="127" customFormat="1" x14ac:dyDescent="0.25">
      <c r="A160" s="373"/>
      <c r="B160" s="373"/>
      <c r="C160" s="373"/>
      <c r="D160" s="373"/>
      <c r="E160" s="127" t="s">
        <v>2181</v>
      </c>
      <c r="F160" s="374" t="str">
        <f>VLOOKUP(E160,TaskValues_ref!E:F,2,FALSE)</f>
        <v>Active management 3rd stage</v>
      </c>
      <c r="G160" s="374" t="s">
        <v>154</v>
      </c>
      <c r="H160" s="374" t="s">
        <v>155</v>
      </c>
      <c r="I160" s="375" t="s">
        <v>65</v>
      </c>
      <c r="J160" s="376" t="s">
        <v>156</v>
      </c>
      <c r="K160" s="375" t="str">
        <f>VLOOKUP($E160,TaskValues_ref!$E:$Z,10,FALSE)</f>
        <v>Ethiopia</v>
      </c>
      <c r="L160" s="335">
        <v>1</v>
      </c>
      <c r="N160" s="377">
        <v>1</v>
      </c>
      <c r="O160" s="127">
        <v>1</v>
      </c>
      <c r="Q160" s="378">
        <v>0</v>
      </c>
    </row>
    <row r="161" spans="1:19" s="127" customFormat="1" x14ac:dyDescent="0.25">
      <c r="A161" s="373"/>
      <c r="B161" s="373"/>
      <c r="C161" s="373"/>
      <c r="D161" s="373"/>
      <c r="E161" s="127" t="s">
        <v>2193</v>
      </c>
      <c r="F161" s="374" t="str">
        <f>VLOOKUP(E161,TaskValues_ref!E:F,2,FALSE)</f>
        <v>Maternal sepsis</v>
      </c>
      <c r="G161" s="374" t="s">
        <v>154</v>
      </c>
      <c r="H161" s="374" t="s">
        <v>155</v>
      </c>
      <c r="I161" s="375" t="s">
        <v>65</v>
      </c>
      <c r="J161" s="376" t="s">
        <v>156</v>
      </c>
      <c r="K161" s="375" t="str">
        <f>VLOOKUP($E161,TaskValues_ref!$E:$Z,10,FALSE)</f>
        <v>Ethiopia</v>
      </c>
      <c r="L161" s="335">
        <v>1</v>
      </c>
      <c r="N161" s="377">
        <v>1</v>
      </c>
      <c r="O161" s="127">
        <v>1</v>
      </c>
      <c r="Q161" s="378">
        <v>0</v>
      </c>
    </row>
    <row r="162" spans="1:19" x14ac:dyDescent="0.25">
      <c r="E162" s="64" t="s">
        <v>2795</v>
      </c>
      <c r="F162" s="319" t="str">
        <f>VLOOKUP(E162,TaskValues_ref!E:F,2,FALSE)</f>
        <v>Travel HEH</v>
      </c>
      <c r="G162" s="321" t="str">
        <f>VLOOKUP($E162,TaskValues_ref!$E:$Z,3,FALSE)</f>
        <v>Non-productive</v>
      </c>
      <c r="H162" s="321" t="str">
        <f>VLOOKUP($E162,TaskValues_ref!$E:$Z,4,FALSE)</f>
        <v>-</v>
      </c>
      <c r="I162" s="321" t="str">
        <f>VLOOKUP($E162,TaskValues_ref!$E:$Z,5,FALSE)</f>
        <v>-</v>
      </c>
      <c r="J162" s="320" t="str">
        <f>VLOOKUP($E162,TaskValues_ref!$E:$Z,6,FALSE)</f>
        <v>all</v>
      </c>
      <c r="K162" s="321" t="str">
        <f>VLOOKUP($E162,TaskValues_ref!$E:$Z,10,FALSE)</f>
        <v>Ethiopia</v>
      </c>
      <c r="L162" s="195">
        <f>IF(VLOOKUP($E162,TaskValues_ref!$E:$Z,11,FALSE)=0,"",VLOOKUP($E162,TaskValues_ref!$E:$Z,11,FALSE))</f>
        <v>0.05</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53.832494807158753</v>
      </c>
      <c r="R162" t="str">
        <f>IF(VLOOKUP($E162,TaskValues_ref!$E:$Z,19,FALSE)=0,"",VLOOKUP($E162,TaskValues_ref!$E:$Z,19,FALSE))</f>
        <v/>
      </c>
      <c r="S162" t="str">
        <f>IF(VLOOKUP($E162,TaskValues_ref!$E:$Z,20,FALSE)=0,"",VLOOKUP($E162,TaskValues_ref!$E:$Z,20,FALSE))</f>
        <v/>
      </c>
    </row>
    <row r="163" spans="1:19" x14ac:dyDescent="0.25">
      <c r="E163" s="64" t="s">
        <v>2796</v>
      </c>
      <c r="F163" s="319" t="str">
        <f>VLOOKUP(E163,TaskValues_ref!E:F,2,FALSE)</f>
        <v>Travel HEP</v>
      </c>
      <c r="G163" s="321" t="str">
        <f>VLOOKUP($E163,TaskValues_ref!$E:$Z,3,FALSE)</f>
        <v>Non-productive</v>
      </c>
      <c r="H163" s="321" t="str">
        <f>VLOOKUP($E163,TaskValues_ref!$E:$Z,4,FALSE)</f>
        <v>-</v>
      </c>
      <c r="I163" s="321" t="str">
        <f>VLOOKUP($E163,TaskValues_ref!$E:$Z,5,FALSE)</f>
        <v>-</v>
      </c>
      <c r="J163" s="320" t="str">
        <f>VLOOKUP($E163,TaskValues_ref!$E:$Z,6,FALSE)</f>
        <v>all</v>
      </c>
      <c r="K163" s="321" t="str">
        <f>VLOOKUP($E163,TaskValues_ref!$E:$Z,10,FALSE)</f>
        <v>Ethiopia</v>
      </c>
      <c r="L163" s="195">
        <f>IF(VLOOKUP($E163,TaskValues_ref!$E:$Z,11,FALSE)=0,"",VLOOKUP($E163,TaskValues_ref!$E:$Z,11,FALSE))</f>
        <v>0.05</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53.832494807158753</v>
      </c>
      <c r="R163" t="str">
        <f>IF(VLOOKUP($E163,TaskValues_ref!$E:$Z,19,FALSE)=0,"",VLOOKUP($E163,TaskValues_ref!$E:$Z,19,FALSE))</f>
        <v/>
      </c>
      <c r="S163" t="str">
        <f>IF(VLOOKUP($E163,TaskValues_ref!$E:$Z,20,FALSE)=0,"",VLOOKUP($E163,TaskValues_ref!$E:$Z,20,FALSE))</f>
        <v/>
      </c>
    </row>
    <row r="164" spans="1:19" x14ac:dyDescent="0.25">
      <c r="E164" s="64" t="s">
        <v>2813</v>
      </c>
      <c r="F164" s="321" t="s">
        <v>2819</v>
      </c>
      <c r="G164" s="321" t="str">
        <f>VLOOKUP($E164,TaskValues_ref!$E:$Z,3,FALSE)</f>
        <v>Non-productive</v>
      </c>
      <c r="H164" s="321" t="str">
        <f>VLOOKUP($E164,TaskValues_ref!$E:$Z,4,FALSE)</f>
        <v>-</v>
      </c>
      <c r="I164" s="321" t="str">
        <f>VLOOKUP($E164,TaskValues_ref!$E:$Z,5,FALSE)</f>
        <v>-</v>
      </c>
      <c r="J164" s="320" t="str">
        <f>VLOOKUP($E164,TaskValues_ref!$E:$Z,6,FALSE)</f>
        <v>-</v>
      </c>
      <c r="K164" s="321" t="str">
        <f>VLOOKUP($E164,TaskValues_ref!$E:$Z,10,FALSE)</f>
        <v>Ethiopia</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f>IF(VLOOKUP($E164,TaskValues_ref!$E:$Z,19,FALSE)=0,"",VLOOKUP($E164,TaskValues_ref!$E:$Z,19,FALSE))</f>
        <v>4.5120000000000005</v>
      </c>
      <c r="S164" t="str">
        <f>IF(VLOOKUP($E164,TaskValues_ref!$E:$Z,20,FALSE)=0,"",VLOOKUP($E164,TaskValues_ref!$E:$Z,20,FALSE))</f>
        <v/>
      </c>
    </row>
    <row r="165" spans="1:19" x14ac:dyDescent="0.25">
      <c r="E165" s="64" t="s">
        <v>2814</v>
      </c>
      <c r="F165" s="321" t="s">
        <v>2820</v>
      </c>
      <c r="G165" s="321" t="str">
        <f>VLOOKUP($E165,TaskValues_ref!$E:$Z,3,FALSE)</f>
        <v>Non-productive</v>
      </c>
      <c r="H165" s="321" t="str">
        <f>VLOOKUP($E165,TaskValues_ref!$E:$Z,4,FALSE)</f>
        <v>-</v>
      </c>
      <c r="I165" s="321" t="str">
        <f>VLOOKUP($E165,TaskValues_ref!$E:$Z,5,FALSE)</f>
        <v>-</v>
      </c>
      <c r="J165" s="320" t="str">
        <f>VLOOKUP($E165,TaskValues_ref!$E:$Z,6,FALSE)</f>
        <v>-</v>
      </c>
      <c r="K165" s="321" t="str">
        <f>VLOOKUP($E165,TaskValues_ref!$E:$Z,10,FALSE)</f>
        <v>Ethiopia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f>IF(VLOOKUP($E165,TaskValues_ref!$E:$Z,19,FALSE)=0,"",VLOOKUP($E165,TaskValues_ref!$E:$Z,19,FALSE))</f>
        <v>4.5120000000000005</v>
      </c>
      <c r="S165" t="str">
        <f>IF(VLOOKUP($E165,TaskValues_ref!$E:$Z,20,FALSE)=0,"",VLOOKUP($E165,TaskValues_ref!$E:$Z,20,FALSE))</f>
        <v/>
      </c>
    </row>
    <row r="166" spans="1:19" x14ac:dyDescent="0.25">
      <c r="E166" s="64" t="s">
        <v>2815</v>
      </c>
      <c r="F166" s="321" t="s">
        <v>2821</v>
      </c>
      <c r="G166" s="321" t="str">
        <f>VLOOKUP($E166,TaskValues_ref!$E:$Z,3,FALSE)</f>
        <v>Non-productive</v>
      </c>
      <c r="H166" s="321" t="str">
        <f>VLOOKUP($E166,TaskValues_ref!$E:$Z,4,FALSE)</f>
        <v>-</v>
      </c>
      <c r="I166" s="321" t="str">
        <f>VLOOKUP($E166,TaskValues_ref!$E:$Z,5,FALSE)</f>
        <v>-</v>
      </c>
      <c r="J166" s="320" t="str">
        <f>VLOOKUP($E166,TaskValues_ref!$E:$Z,6,FALSE)</f>
        <v>-</v>
      </c>
      <c r="K166" s="321" t="str">
        <f>VLOOKUP($E166,TaskValues_ref!$E:$Z,10,FALSE)</f>
        <v>Ethiopia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f>IF(VLOOKUP($E166,TaskValues_ref!$E:$Z,19,FALSE)=0,"",VLOOKUP($E166,TaskValues_ref!$E:$Z,19,FALSE))</f>
        <v>4.5120000000000005</v>
      </c>
      <c r="S166" t="str">
        <f>IF(VLOOKUP($E166,TaskValues_ref!$E:$Z,20,FALSE)=0,"",VLOOKUP($E166,TaskValues_ref!$E:$Z,20,FALSE))</f>
        <v/>
      </c>
    </row>
    <row r="167" spans="1:19" x14ac:dyDescent="0.25">
      <c r="E167" s="64" t="s">
        <v>2816</v>
      </c>
      <c r="F167" s="321" t="s">
        <v>2822</v>
      </c>
      <c r="G167" s="321" t="str">
        <f>VLOOKUP($E167,TaskValues_ref!$E:$Z,3,FALSE)</f>
        <v>Non-productive</v>
      </c>
      <c r="H167" s="321" t="str">
        <f>VLOOKUP($E167,TaskValues_ref!$E:$Z,4,FALSE)</f>
        <v>-</v>
      </c>
      <c r="I167" s="321" t="str">
        <f>VLOOKUP($E167,TaskValues_ref!$E:$Z,5,FALSE)</f>
        <v>-</v>
      </c>
      <c r="J167" s="320" t="str">
        <f>VLOOKUP($E167,TaskValues_ref!$E:$Z,6,FALSE)</f>
        <v>-</v>
      </c>
      <c r="K167" s="321" t="str">
        <f>VLOOKUP($E167,TaskValues_ref!$E:$Z,10,FALSE)</f>
        <v>Ethiopia</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f>IF(VLOOKUP($E167,TaskValues_ref!$E:$Z,19,FALSE)=0,"",VLOOKUP($E167,TaskValues_ref!$E:$Z,19,FALSE))</f>
        <v>4.5120000000000005</v>
      </c>
      <c r="S167" t="str">
        <f>IF(VLOOKUP($E167,TaskValues_ref!$E:$Z,20,FALSE)=0,"",VLOOKUP($E167,TaskValues_ref!$E:$Z,20,FALSE))</f>
        <v/>
      </c>
    </row>
    <row r="168" spans="1:19" x14ac:dyDescent="0.25">
      <c r="E168" s="64" t="s">
        <v>2817</v>
      </c>
      <c r="F168" s="321" t="s">
        <v>2823</v>
      </c>
      <c r="G168" s="321" t="str">
        <f>VLOOKUP($E168,TaskValues_ref!$E:$Z,3,FALSE)</f>
        <v>Non-productive</v>
      </c>
      <c r="H168" s="321" t="str">
        <f>VLOOKUP($E168,TaskValues_ref!$E:$Z,4,FALSE)</f>
        <v>-</v>
      </c>
      <c r="I168" s="321" t="str">
        <f>VLOOKUP($E168,TaskValues_ref!$E:$Z,5,FALSE)</f>
        <v>-</v>
      </c>
      <c r="J168" s="320" t="str">
        <f>VLOOKUP($E168,TaskValues_ref!$E:$Z,6,FALSE)</f>
        <v>-</v>
      </c>
      <c r="K168" s="321" t="str">
        <f>VLOOKUP($E168,TaskValues_ref!$E:$Z,10,FALSE)</f>
        <v>Ethiopia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f>IF(VLOOKUP($E168,TaskValues_ref!$E:$Z,19,FALSE)=0,"",VLOOKUP($E168,TaskValues_ref!$E:$Z,19,FALSE))</f>
        <v>4.5120000000000005</v>
      </c>
      <c r="S168" t="str">
        <f>IF(VLOOKUP($E168,TaskValues_ref!$E:$Z,20,FALSE)=0,"",VLOOKUP($E168,TaskValues_ref!$E:$Z,20,FALSE))</f>
        <v/>
      </c>
    </row>
    <row r="169" spans="1:19" x14ac:dyDescent="0.25">
      <c r="E169" s="64" t="s">
        <v>2818</v>
      </c>
      <c r="F169" s="321" t="s">
        <v>2824</v>
      </c>
      <c r="G169" s="321" t="str">
        <f>VLOOKUP($E169,TaskValues_ref!$E:$Z,3,FALSE)</f>
        <v>Non-productive</v>
      </c>
      <c r="H169" s="321" t="str">
        <f>VLOOKUP($E169,TaskValues_ref!$E:$Z,4,FALSE)</f>
        <v>-</v>
      </c>
      <c r="I169" s="321" t="str">
        <f>VLOOKUP($E169,TaskValues_ref!$E:$Z,5,FALSE)</f>
        <v>-</v>
      </c>
      <c r="J169" s="320" t="str">
        <f>VLOOKUP($E169,TaskValues_ref!$E:$Z,6,FALSE)</f>
        <v>-</v>
      </c>
      <c r="K169" s="321" t="str">
        <f>VLOOKUP($E169,TaskValues_ref!$E:$Z,10,FALSE)</f>
        <v>Ethiopia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4.5120000000000005</v>
      </c>
      <c r="S169" t="str">
        <f>IF(VLOOKUP($E169,TaskValues_ref!$E:$Z,20,FALSE)=0,"",VLOOKUP($E169,TaskValues_ref!$E:$Z,20,FALSE))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I157:I161 I170:I485</xm:sqref>
        </x14:dataValidation>
        <x14:dataValidation type="list" allowBlank="1" showInputMessage="1" showErrorMessage="1" xr:uid="{2DE55DD6-00CB-4F77-BE15-ADA13DE0C2EF}">
          <x14:formula1>
            <xm:f>lookups!$B$2:$B$9</xm:f>
          </x14:formula1>
          <xm:sqref>H157:H161 H170:H386</xm:sqref>
        </x14:dataValidation>
        <x14:dataValidation type="list" allowBlank="1" showInputMessage="1" showErrorMessage="1" xr:uid="{32A18B71-6E51-49D8-BEF1-5EC6D298D0A5}">
          <x14:formula1>
            <xm:f>lookups!$F$2:$F$25</xm:f>
          </x14:formula1>
          <xm:sqref>J2:J1048576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25"/>
  <sheetViews>
    <sheetView zoomScale="70" zoomScaleNormal="70" workbookViewId="0">
      <pane ySplit="1" topLeftCell="A20" activePane="bottomLeft" state="frozen"/>
      <selection pane="bottomLeft" activeCell="J1" sqref="J1"/>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customWidth="1"/>
    <col min="9" max="9" width="15.140625" style="319" customWidth="1"/>
    <col min="10" max="10" width="15.140625" style="320" customWidth="1"/>
    <col min="11" max="11" width="4" style="64" customWidth="1"/>
    <col min="12" max="12" width="4" style="319" customWidth="1"/>
    <col min="13" max="13" width="4" style="320" customWidth="1"/>
    <col min="14" max="14" width="15.140625" customWidth="1"/>
    <col min="15" max="15" width="17.42578125" style="195" customWidth="1"/>
    <col min="16" max="17" width="15.140625" customWidth="1"/>
    <col min="18" max="18" width="17" customWidth="1"/>
    <col min="19" max="19" width="18.42578125" style="89" customWidth="1"/>
    <col min="20" max="20" width="19.140625" customWidth="1"/>
    <col min="21" max="21" width="18.7109375" customWidth="1"/>
    <col min="22" max="22" width="15.140625" style="6" customWidth="1"/>
    <col min="23" max="25" width="15.140625" customWidth="1"/>
    <col min="26" max="26" width="27.5703125" customWidth="1"/>
    <col min="27" max="27" width="9.85546875" bestFit="1" customWidth="1"/>
  </cols>
  <sheetData>
    <row r="1" spans="1:27" s="177" customFormat="1" ht="87.6" customHeight="1" x14ac:dyDescent="0.25">
      <c r="A1" s="434" t="s">
        <v>2167</v>
      </c>
      <c r="B1" s="434"/>
      <c r="C1" s="434"/>
      <c r="D1" s="434"/>
      <c r="E1" s="327" t="s">
        <v>135</v>
      </c>
      <c r="F1" s="328" t="s">
        <v>136</v>
      </c>
      <c r="G1" s="328" t="s">
        <v>137</v>
      </c>
      <c r="H1" s="328" t="s">
        <v>138</v>
      </c>
      <c r="I1" s="328" t="s">
        <v>139</v>
      </c>
      <c r="J1" s="330" t="s">
        <v>140</v>
      </c>
      <c r="K1" s="327" t="s">
        <v>2171</v>
      </c>
      <c r="L1" s="328" t="s">
        <v>2172</v>
      </c>
      <c r="M1" s="329" t="s">
        <v>2173</v>
      </c>
      <c r="N1" s="325" t="s">
        <v>141</v>
      </c>
      <c r="O1" s="334" t="s">
        <v>142</v>
      </c>
      <c r="P1" s="325" t="s">
        <v>143</v>
      </c>
      <c r="Q1" s="326" t="s">
        <v>144</v>
      </c>
      <c r="R1" s="326" t="s">
        <v>145</v>
      </c>
      <c r="S1" s="326" t="s">
        <v>146</v>
      </c>
      <c r="T1" s="325" t="s">
        <v>147</v>
      </c>
      <c r="U1" s="325" t="s">
        <v>148</v>
      </c>
      <c r="V1" s="339" t="s">
        <v>149</v>
      </c>
      <c r="W1" s="325" t="s">
        <v>150</v>
      </c>
      <c r="X1" s="325" t="s">
        <v>151</v>
      </c>
      <c r="Y1" s="325" t="s">
        <v>2201</v>
      </c>
      <c r="Z1" s="325" t="s">
        <v>2184</v>
      </c>
      <c r="AA1" s="177" t="s">
        <v>2835</v>
      </c>
    </row>
    <row r="2" spans="1:27" x14ac:dyDescent="0.25">
      <c r="A2" s="355" t="s">
        <v>2164</v>
      </c>
      <c r="B2" s="355" t="s">
        <v>2165</v>
      </c>
      <c r="C2" s="356" t="s">
        <v>153</v>
      </c>
      <c r="D2" s="353">
        <v>1</v>
      </c>
      <c r="E2" s="64" t="s">
        <v>2166</v>
      </c>
      <c r="F2" s="319" t="s">
        <v>2168</v>
      </c>
      <c r="G2" s="321" t="s">
        <v>154</v>
      </c>
      <c r="H2" s="319" t="s">
        <v>2789</v>
      </c>
      <c r="I2" s="319" t="s">
        <v>65</v>
      </c>
      <c r="J2" s="320" t="s">
        <v>156</v>
      </c>
      <c r="K2" s="64" t="s">
        <v>975</v>
      </c>
      <c r="L2" s="321" t="s">
        <v>975</v>
      </c>
      <c r="M2" s="320" t="s">
        <v>975</v>
      </c>
      <c r="N2" s="321" t="str">
        <f>RegionSelect!$B$2</f>
        <v>Ethiopia</v>
      </c>
      <c r="O2" s="195">
        <v>1</v>
      </c>
      <c r="P2" s="321" t="s">
        <v>212</v>
      </c>
      <c r="Q2" s="321"/>
      <c r="R2" s="321"/>
      <c r="S2" s="89">
        <v>1</v>
      </c>
      <c r="T2">
        <v>4</v>
      </c>
      <c r="V2" s="6">
        <v>10</v>
      </c>
    </row>
    <row r="3" spans="1:27" x14ac:dyDescent="0.25">
      <c r="A3" s="355" t="s">
        <v>2164</v>
      </c>
      <c r="B3" s="355" t="s">
        <v>2165</v>
      </c>
      <c r="C3" s="356" t="s">
        <v>153</v>
      </c>
      <c r="D3" s="353">
        <v>2</v>
      </c>
      <c r="E3" s="64" t="s">
        <v>2199</v>
      </c>
      <c r="F3" s="319" t="s">
        <v>2174</v>
      </c>
      <c r="G3" s="319" t="s">
        <v>154</v>
      </c>
      <c r="H3" s="319" t="s">
        <v>2789</v>
      </c>
      <c r="I3" s="319" t="s">
        <v>65</v>
      </c>
      <c r="J3" s="320" t="s">
        <v>156</v>
      </c>
      <c r="K3" s="64" t="s">
        <v>975</v>
      </c>
      <c r="L3" s="319" t="s">
        <v>975</v>
      </c>
      <c r="M3" s="320" t="s">
        <v>194</v>
      </c>
      <c r="N3" s="321" t="str">
        <f>RegionSelect!$B$2</f>
        <v>Ethiopia</v>
      </c>
      <c r="O3" s="195">
        <v>1</v>
      </c>
      <c r="P3" s="321" t="s">
        <v>212</v>
      </c>
      <c r="Q3" s="321"/>
      <c r="R3" s="321"/>
      <c r="S3" s="89">
        <v>1</v>
      </c>
      <c r="T3">
        <v>1</v>
      </c>
      <c r="V3" s="359">
        <v>15</v>
      </c>
      <c r="Y3" t="s">
        <v>975</v>
      </c>
    </row>
    <row r="4" spans="1:27" x14ac:dyDescent="0.25">
      <c r="A4" s="355" t="s">
        <v>2164</v>
      </c>
      <c r="B4" s="355" t="s">
        <v>2165</v>
      </c>
      <c r="C4" s="356" t="s">
        <v>2175</v>
      </c>
      <c r="D4" s="353">
        <v>3</v>
      </c>
      <c r="E4" s="64" t="s">
        <v>2180</v>
      </c>
      <c r="F4" s="321" t="s">
        <v>2177</v>
      </c>
      <c r="G4" s="321" t="s">
        <v>154</v>
      </c>
      <c r="H4" s="319" t="s">
        <v>2791</v>
      </c>
      <c r="I4" s="321" t="s">
        <v>65</v>
      </c>
      <c r="J4" s="320" t="s">
        <v>156</v>
      </c>
      <c r="K4" s="64" t="s">
        <v>975</v>
      </c>
      <c r="L4" s="321" t="s">
        <v>194</v>
      </c>
      <c r="M4" s="320" t="s">
        <v>194</v>
      </c>
      <c r="N4" s="321" t="str">
        <f>RegionSelect!$B$2</f>
        <v>Ethiopia</v>
      </c>
      <c r="O4" s="195">
        <v>1</v>
      </c>
      <c r="P4" s="321" t="s">
        <v>212</v>
      </c>
      <c r="Q4" s="321"/>
      <c r="R4" s="321"/>
      <c r="S4" s="89">
        <v>1</v>
      </c>
      <c r="T4">
        <v>1</v>
      </c>
      <c r="V4" s="6">
        <v>15</v>
      </c>
    </row>
    <row r="5" spans="1:27" x14ac:dyDescent="0.25">
      <c r="A5" s="355" t="s">
        <v>2164</v>
      </c>
      <c r="B5" s="355" t="s">
        <v>2165</v>
      </c>
      <c r="C5" s="356" t="s">
        <v>2175</v>
      </c>
      <c r="D5" s="353">
        <v>4</v>
      </c>
      <c r="E5" s="64" t="s">
        <v>2181</v>
      </c>
      <c r="F5" s="321" t="s">
        <v>2176</v>
      </c>
      <c r="G5" s="321" t="s">
        <v>154</v>
      </c>
      <c r="H5" s="319" t="s">
        <v>2791</v>
      </c>
      <c r="I5" s="321" t="s">
        <v>65</v>
      </c>
      <c r="J5" s="320" t="s">
        <v>156</v>
      </c>
      <c r="K5" s="64" t="s">
        <v>975</v>
      </c>
      <c r="L5" s="321" t="s">
        <v>194</v>
      </c>
      <c r="M5" s="320" t="s">
        <v>194</v>
      </c>
      <c r="N5" s="321" t="str">
        <f>RegionSelect!$B$2</f>
        <v>Ethiopia</v>
      </c>
      <c r="O5" s="195">
        <v>1</v>
      </c>
      <c r="P5" s="321" t="s">
        <v>212</v>
      </c>
      <c r="Q5" s="321"/>
      <c r="R5" s="321"/>
      <c r="S5" s="89">
        <v>1</v>
      </c>
      <c r="T5">
        <v>1</v>
      </c>
      <c r="V5" s="6">
        <v>60</v>
      </c>
      <c r="Y5" t="s">
        <v>975</v>
      </c>
      <c r="Z5" t="s">
        <v>2185</v>
      </c>
    </row>
    <row r="6" spans="1:27" x14ac:dyDescent="0.25">
      <c r="A6" s="355" t="s">
        <v>2164</v>
      </c>
      <c r="B6" s="355" t="s">
        <v>2165</v>
      </c>
      <c r="C6" s="356" t="s">
        <v>2175</v>
      </c>
      <c r="D6" s="353">
        <v>5</v>
      </c>
      <c r="E6" s="64" t="s">
        <v>2182</v>
      </c>
      <c r="F6" s="321" t="s">
        <v>2178</v>
      </c>
      <c r="G6" s="321" t="s">
        <v>154</v>
      </c>
      <c r="H6" s="319" t="s">
        <v>2791</v>
      </c>
      <c r="I6" s="321" t="s">
        <v>65</v>
      </c>
      <c r="J6" s="320" t="s">
        <v>156</v>
      </c>
      <c r="K6" s="64" t="s">
        <v>975</v>
      </c>
      <c r="L6" s="321" t="s">
        <v>194</v>
      </c>
      <c r="M6" s="320" t="s">
        <v>194</v>
      </c>
      <c r="N6" s="321" t="str">
        <f>RegionSelect!$B$2</f>
        <v>Ethiopia</v>
      </c>
      <c r="O6" s="145">
        <f>IFERROR(VLOOKUP(_xlfn.CONCAT(AA6,RegionSelect!$C$2),RegionalData!$C:$S,13,FALSE),VLOOKUP(_xlfn.CONCAT(AA6,"ET"),RegionalData!$C:$S,13,FALSE))</f>
        <v>0.1902111301461854</v>
      </c>
      <c r="P6" s="321" t="s">
        <v>2196</v>
      </c>
      <c r="Q6" s="321"/>
      <c r="R6" s="321"/>
      <c r="S6" s="89">
        <v>1</v>
      </c>
      <c r="T6">
        <v>1</v>
      </c>
      <c r="V6" s="6">
        <v>30</v>
      </c>
      <c r="Y6" t="s">
        <v>975</v>
      </c>
      <c r="Z6" s="360" t="s">
        <v>2495</v>
      </c>
      <c r="AA6" t="s">
        <v>2890</v>
      </c>
    </row>
    <row r="7" spans="1:27" x14ac:dyDescent="0.25">
      <c r="A7" s="355" t="s">
        <v>2164</v>
      </c>
      <c r="B7" s="355" t="s">
        <v>2165</v>
      </c>
      <c r="C7" s="356" t="s">
        <v>2175</v>
      </c>
      <c r="D7" s="353">
        <v>6</v>
      </c>
      <c r="E7" s="64" t="s">
        <v>2183</v>
      </c>
      <c r="F7" s="321" t="s">
        <v>2179</v>
      </c>
      <c r="G7" s="321" t="s">
        <v>154</v>
      </c>
      <c r="H7" s="321" t="s">
        <v>2789</v>
      </c>
      <c r="I7" s="321" t="s">
        <v>65</v>
      </c>
      <c r="J7" s="320" t="s">
        <v>156</v>
      </c>
      <c r="K7" s="64" t="s">
        <v>975</v>
      </c>
      <c r="L7" s="321" t="s">
        <v>194</v>
      </c>
      <c r="M7" s="320" t="s">
        <v>194</v>
      </c>
      <c r="N7" s="321" t="str">
        <f>RegionSelect!$B$2</f>
        <v>Ethiopia</v>
      </c>
      <c r="O7" s="336"/>
      <c r="P7" s="321" t="s">
        <v>2196</v>
      </c>
      <c r="Q7" s="321"/>
      <c r="R7" s="321"/>
      <c r="S7" s="89">
        <v>1</v>
      </c>
      <c r="T7">
        <v>1</v>
      </c>
      <c r="V7" s="6">
        <v>0</v>
      </c>
      <c r="Z7" t="s">
        <v>2197</v>
      </c>
    </row>
    <row r="8" spans="1:27" x14ac:dyDescent="0.25">
      <c r="A8" s="355" t="s">
        <v>2164</v>
      </c>
      <c r="B8" s="355" t="s">
        <v>2165</v>
      </c>
      <c r="C8" s="356" t="s">
        <v>2186</v>
      </c>
      <c r="D8" s="353">
        <v>7</v>
      </c>
      <c r="E8" s="64" t="s">
        <v>2192</v>
      </c>
      <c r="F8" s="321" t="s">
        <v>2187</v>
      </c>
      <c r="G8" s="321" t="s">
        <v>154</v>
      </c>
      <c r="H8" s="321" t="s">
        <v>2789</v>
      </c>
      <c r="I8" s="321" t="s">
        <v>65</v>
      </c>
      <c r="J8" s="320" t="s">
        <v>156</v>
      </c>
      <c r="K8" s="64" t="s">
        <v>975</v>
      </c>
      <c r="L8" s="321" t="s">
        <v>975</v>
      </c>
      <c r="M8" s="320" t="s">
        <v>975</v>
      </c>
      <c r="N8" s="321" t="str">
        <f>RegionSelect!$B$2</f>
        <v>Ethiopia</v>
      </c>
      <c r="O8" s="195">
        <v>1</v>
      </c>
      <c r="P8" s="321" t="s">
        <v>212</v>
      </c>
      <c r="Q8" s="321"/>
      <c r="R8" s="321"/>
      <c r="S8" s="89">
        <v>1</v>
      </c>
      <c r="T8">
        <v>2</v>
      </c>
      <c r="V8" s="6">
        <v>60</v>
      </c>
    </row>
    <row r="9" spans="1:27" x14ac:dyDescent="0.25">
      <c r="A9" s="355" t="s">
        <v>2164</v>
      </c>
      <c r="B9" s="355" t="s">
        <v>2165</v>
      </c>
      <c r="C9" s="356" t="s">
        <v>2186</v>
      </c>
      <c r="D9" s="353">
        <v>8</v>
      </c>
      <c r="E9" s="64" t="s">
        <v>2193</v>
      </c>
      <c r="F9" s="321" t="s">
        <v>2188</v>
      </c>
      <c r="G9" s="321" t="s">
        <v>154</v>
      </c>
      <c r="H9" s="321" t="s">
        <v>2791</v>
      </c>
      <c r="I9" s="321" t="s">
        <v>65</v>
      </c>
      <c r="J9" s="320" t="s">
        <v>156</v>
      </c>
      <c r="K9" s="64" t="s">
        <v>975</v>
      </c>
      <c r="L9" s="321" t="s">
        <v>194</v>
      </c>
      <c r="M9" s="320" t="s">
        <v>194</v>
      </c>
      <c r="N9" s="372" t="str">
        <f>RegionSelect!$B$2</f>
        <v>Ethiopia</v>
      </c>
      <c r="O9" s="145">
        <f>IFERROR(VLOOKUP(_xlfn.CONCAT(AA9,RegionSelect!$C$2),RegionalData!$C:$S,13,FALSE),VLOOKUP(_xlfn.CONCAT(AA9,"ET"),RegionalData!$C:$S,13,FALSE))</f>
        <v>0.14810000000000001</v>
      </c>
      <c r="P9" s="321" t="s">
        <v>2196</v>
      </c>
      <c r="Q9" s="321"/>
      <c r="R9" s="321" t="s">
        <v>2202</v>
      </c>
      <c r="S9" s="139">
        <v>1</v>
      </c>
      <c r="T9">
        <v>1</v>
      </c>
      <c r="V9" s="6">
        <f>7*60</f>
        <v>420</v>
      </c>
      <c r="Y9" t="s">
        <v>975</v>
      </c>
      <c r="Z9" t="s">
        <v>2205</v>
      </c>
      <c r="AA9" t="s">
        <v>2908</v>
      </c>
    </row>
    <row r="10" spans="1:27" x14ac:dyDescent="0.25">
      <c r="A10" s="355" t="s">
        <v>2164</v>
      </c>
      <c r="B10" s="355" t="s">
        <v>2165</v>
      </c>
      <c r="C10" s="356" t="s">
        <v>2186</v>
      </c>
      <c r="D10" s="353">
        <v>9</v>
      </c>
      <c r="E10" s="64" t="s">
        <v>2194</v>
      </c>
      <c r="F10" s="321" t="s">
        <v>2189</v>
      </c>
      <c r="G10" s="321" t="s">
        <v>154</v>
      </c>
      <c r="H10" s="321" t="s">
        <v>2791</v>
      </c>
      <c r="I10" s="321" t="s">
        <v>65</v>
      </c>
      <c r="J10" s="320" t="s">
        <v>156</v>
      </c>
      <c r="K10" s="64" t="s">
        <v>975</v>
      </c>
      <c r="L10" s="321" t="s">
        <v>975</v>
      </c>
      <c r="M10" s="320" t="s">
        <v>194</v>
      </c>
      <c r="N10" s="321" t="str">
        <f>RegionSelect!$B$2</f>
        <v>Ethiopia</v>
      </c>
      <c r="O10" s="145">
        <f>IFERROR(VLOOKUP(_xlfn.CONCAT(AA10,RegionSelect!$C$2),RegionalData!$C:$S,13,FALSE),VLOOKUP(_xlfn.CONCAT(AA10,"ET"),RegionalData!$C:$S,13,FALSE))</f>
        <v>9.5000000000000001E-2</v>
      </c>
      <c r="P10" s="321" t="s">
        <v>2196</v>
      </c>
      <c r="Q10" s="321"/>
      <c r="R10" s="321"/>
      <c r="S10" s="139">
        <v>1</v>
      </c>
      <c r="T10">
        <v>3</v>
      </c>
      <c r="V10" s="6">
        <v>10</v>
      </c>
      <c r="Y10" t="s">
        <v>975</v>
      </c>
      <c r="Z10" t="s">
        <v>2204</v>
      </c>
      <c r="AA10" t="s">
        <v>2919</v>
      </c>
    </row>
    <row r="11" spans="1:27" x14ac:dyDescent="0.25">
      <c r="A11" s="355" t="s">
        <v>2164</v>
      </c>
      <c r="B11" s="355" t="s">
        <v>2165</v>
      </c>
      <c r="C11" s="356" t="s">
        <v>2186</v>
      </c>
      <c r="D11" s="353">
        <v>10</v>
      </c>
      <c r="E11" s="64" t="s">
        <v>2195</v>
      </c>
      <c r="F11" s="321" t="s">
        <v>2190</v>
      </c>
      <c r="G11" s="321" t="s">
        <v>154</v>
      </c>
      <c r="H11" s="321" t="s">
        <v>2791</v>
      </c>
      <c r="I11" s="321" t="s">
        <v>65</v>
      </c>
      <c r="J11" s="320" t="s">
        <v>156</v>
      </c>
      <c r="K11" s="64" t="s">
        <v>975</v>
      </c>
      <c r="L11" s="321" t="s">
        <v>194</v>
      </c>
      <c r="M11" s="320" t="s">
        <v>194</v>
      </c>
      <c r="N11" s="321" t="str">
        <f>RegionSelect!$B$2</f>
        <v>Ethiopia</v>
      </c>
      <c r="O11" s="145">
        <f>IFERROR(VLOOKUP(_xlfn.CONCAT(AA11,RegionSelect!$C$2),RegionalData!$C:$S,13,FALSE),VLOOKUP(_xlfn.CONCAT(AA11,"ET"),RegionalData!$C:$S,13,FALSE))</f>
        <v>8.2400000000000001E-2</v>
      </c>
      <c r="P11" s="321" t="s">
        <v>2196</v>
      </c>
      <c r="Q11" s="321"/>
      <c r="R11" s="321" t="s">
        <v>2202</v>
      </c>
      <c r="S11" s="139">
        <v>1</v>
      </c>
      <c r="T11">
        <v>3</v>
      </c>
      <c r="V11" s="6">
        <v>60</v>
      </c>
      <c r="Y11" t="s">
        <v>975</v>
      </c>
      <c r="Z11" t="s">
        <v>2200</v>
      </c>
      <c r="AA11" t="s">
        <v>2923</v>
      </c>
    </row>
    <row r="12" spans="1:27" x14ac:dyDescent="0.25">
      <c r="A12" s="355" t="s">
        <v>2164</v>
      </c>
      <c r="B12" s="355" t="s">
        <v>2165</v>
      </c>
      <c r="C12" s="356" t="s">
        <v>2186</v>
      </c>
      <c r="D12" s="353">
        <v>11</v>
      </c>
      <c r="E12" s="64" t="s">
        <v>2203</v>
      </c>
      <c r="F12" s="321" t="s">
        <v>2191</v>
      </c>
      <c r="G12" s="321" t="s">
        <v>154</v>
      </c>
      <c r="H12" s="321" t="s">
        <v>2789</v>
      </c>
      <c r="I12" s="321" t="s">
        <v>65</v>
      </c>
      <c r="J12" s="320" t="s">
        <v>156</v>
      </c>
      <c r="K12" s="64" t="s">
        <v>975</v>
      </c>
      <c r="L12" s="321" t="s">
        <v>975</v>
      </c>
      <c r="M12" s="320" t="s">
        <v>194</v>
      </c>
      <c r="N12" s="321" t="str">
        <f>RegionSelect!$B$2</f>
        <v>Ethiopia</v>
      </c>
      <c r="O12" s="333">
        <f>O11</f>
        <v>8.2400000000000001E-2</v>
      </c>
      <c r="P12" s="321" t="s">
        <v>2196</v>
      </c>
      <c r="Q12" s="321"/>
      <c r="R12" s="321" t="s">
        <v>2202</v>
      </c>
      <c r="S12" s="89">
        <f>S11</f>
        <v>1</v>
      </c>
      <c r="T12" s="321">
        <v>1</v>
      </c>
      <c r="V12" s="6">
        <v>10</v>
      </c>
      <c r="Y12" t="s">
        <v>975</v>
      </c>
      <c r="Z12" t="s">
        <v>2198</v>
      </c>
      <c r="AA12" t="s">
        <v>2923</v>
      </c>
    </row>
    <row r="13" spans="1:27" x14ac:dyDescent="0.25">
      <c r="A13" s="355" t="s">
        <v>2164</v>
      </c>
      <c r="B13" s="355" t="s">
        <v>2165</v>
      </c>
      <c r="C13" s="356" t="s">
        <v>2207</v>
      </c>
      <c r="D13" s="353">
        <v>12</v>
      </c>
      <c r="E13" s="64" t="s">
        <v>2208</v>
      </c>
      <c r="F13" s="321" t="s">
        <v>2209</v>
      </c>
      <c r="G13" s="321" t="s">
        <v>193</v>
      </c>
      <c r="H13" s="319" t="s">
        <v>206</v>
      </c>
      <c r="I13" s="321" t="s">
        <v>194</v>
      </c>
      <c r="J13" s="320" t="s">
        <v>194</v>
      </c>
      <c r="K13" s="64" t="s">
        <v>975</v>
      </c>
      <c r="L13" s="321" t="s">
        <v>975</v>
      </c>
      <c r="M13" s="320" t="s">
        <v>975</v>
      </c>
      <c r="N13" s="321" t="str">
        <f>RegionSelect!$B$2</f>
        <v>Ethiopia</v>
      </c>
      <c r="P13" s="195" t="s">
        <v>194</v>
      </c>
      <c r="Q13" s="195"/>
      <c r="R13" s="195"/>
      <c r="S13" s="195"/>
      <c r="T13" s="195"/>
      <c r="U13" s="195"/>
      <c r="W13" s="195"/>
      <c r="X13" s="195"/>
      <c r="Y13" t="s">
        <v>975</v>
      </c>
      <c r="Z13" s="234" t="s">
        <v>2212</v>
      </c>
    </row>
    <row r="14" spans="1:27" x14ac:dyDescent="0.25">
      <c r="A14" s="355" t="s">
        <v>2164</v>
      </c>
      <c r="B14" s="355" t="s">
        <v>2165</v>
      </c>
      <c r="C14" s="356" t="s">
        <v>2207</v>
      </c>
      <c r="D14" s="353">
        <v>13</v>
      </c>
      <c r="E14" s="64" t="s">
        <v>2770</v>
      </c>
      <c r="F14" s="321" t="s">
        <v>2210</v>
      </c>
      <c r="G14" s="321" t="s">
        <v>2249</v>
      </c>
      <c r="H14" s="319" t="s">
        <v>206</v>
      </c>
      <c r="I14" s="321" t="s">
        <v>194</v>
      </c>
      <c r="J14" s="320" t="s">
        <v>156</v>
      </c>
      <c r="K14" s="64" t="s">
        <v>975</v>
      </c>
      <c r="L14" s="321" t="s">
        <v>975</v>
      </c>
      <c r="M14" s="320" t="s">
        <v>975</v>
      </c>
      <c r="N14" s="321" t="str">
        <f>RegionSelect!$B$2</f>
        <v>Ethiopia</v>
      </c>
      <c r="P14" s="195" t="s">
        <v>194</v>
      </c>
      <c r="Q14" s="195"/>
      <c r="R14" s="195"/>
      <c r="S14" s="195"/>
      <c r="T14" s="195"/>
      <c r="U14" s="195"/>
      <c r="W14" s="195"/>
      <c r="X14" s="195"/>
      <c r="Y14" t="s">
        <v>975</v>
      </c>
      <c r="Z14" t="s">
        <v>2213</v>
      </c>
    </row>
    <row r="15" spans="1:27" x14ac:dyDescent="0.25">
      <c r="A15" s="355" t="s">
        <v>2164</v>
      </c>
      <c r="B15" s="355" t="s">
        <v>2165</v>
      </c>
      <c r="C15" s="356" t="s">
        <v>2207</v>
      </c>
      <c r="D15" s="353">
        <v>14</v>
      </c>
      <c r="E15" s="64" t="s">
        <v>2771</v>
      </c>
      <c r="F15" s="321" t="s">
        <v>2211</v>
      </c>
      <c r="G15" s="321" t="s">
        <v>2249</v>
      </c>
      <c r="H15" s="319" t="s">
        <v>2789</v>
      </c>
      <c r="I15" s="321" t="s">
        <v>2241</v>
      </c>
      <c r="J15" s="320" t="s">
        <v>253</v>
      </c>
      <c r="K15" s="64" t="s">
        <v>975</v>
      </c>
      <c r="L15" s="321" t="s">
        <v>975</v>
      </c>
      <c r="M15" s="320" t="s">
        <v>975</v>
      </c>
      <c r="N15" s="321" t="str">
        <f>RegionSelect!$B$2</f>
        <v>Ethiopia</v>
      </c>
      <c r="P15" s="195" t="s">
        <v>194</v>
      </c>
      <c r="Q15" s="195"/>
      <c r="R15" s="195"/>
      <c r="S15" s="195"/>
      <c r="T15" s="195"/>
      <c r="U15" s="195"/>
      <c r="W15" s="195"/>
      <c r="X15" s="195"/>
      <c r="Y15" t="s">
        <v>975</v>
      </c>
      <c r="Z15" s="234" t="s">
        <v>2250</v>
      </c>
    </row>
    <row r="16" spans="1:27" x14ac:dyDescent="0.25">
      <c r="A16" s="355" t="s">
        <v>2164</v>
      </c>
      <c r="B16" s="356" t="s">
        <v>2214</v>
      </c>
      <c r="C16" s="356"/>
      <c r="D16" s="353">
        <v>15</v>
      </c>
      <c r="E16" s="64" t="str">
        <f>_xlfn.CONCAT("FH.MN.",D16)</f>
        <v>FH.MN.15</v>
      </c>
      <c r="F16" s="321" t="s">
        <v>290</v>
      </c>
      <c r="G16" s="321" t="s">
        <v>154</v>
      </c>
      <c r="H16" s="319" t="s">
        <v>2789</v>
      </c>
      <c r="I16" s="319" t="s">
        <v>65</v>
      </c>
      <c r="J16" s="320" t="s">
        <v>156</v>
      </c>
      <c r="K16" s="64" t="s">
        <v>975</v>
      </c>
      <c r="L16" s="321" t="s">
        <v>975</v>
      </c>
      <c r="M16" s="320" t="s">
        <v>975</v>
      </c>
      <c r="N16" s="321" t="str">
        <f>RegionSelect!$B$2</f>
        <v>Ethiopia</v>
      </c>
      <c r="O16" s="195">
        <v>1</v>
      </c>
      <c r="P16" s="195" t="s">
        <v>212</v>
      </c>
      <c r="Q16" s="321"/>
      <c r="R16" s="321"/>
      <c r="S16" s="89">
        <v>1</v>
      </c>
      <c r="T16">
        <v>2</v>
      </c>
      <c r="U16" s="195"/>
      <c r="V16" s="6">
        <v>30</v>
      </c>
      <c r="W16" s="195"/>
      <c r="X16" s="195"/>
    </row>
    <row r="17" spans="1:27" x14ac:dyDescent="0.25">
      <c r="A17" s="355" t="s">
        <v>2164</v>
      </c>
      <c r="B17" s="356" t="s">
        <v>2214</v>
      </c>
      <c r="C17" s="356"/>
      <c r="D17" s="353">
        <v>16</v>
      </c>
      <c r="E17" s="64" t="str">
        <f t="shared" ref="E17:E36" si="0">_xlfn.CONCAT("FH.MN.",D17)</f>
        <v>FH.MN.16</v>
      </c>
      <c r="F17" s="321" t="s">
        <v>2215</v>
      </c>
      <c r="G17" s="321" t="s">
        <v>154</v>
      </c>
      <c r="H17" s="319" t="s">
        <v>2789</v>
      </c>
      <c r="I17" s="319" t="s">
        <v>65</v>
      </c>
      <c r="J17" s="320" t="s">
        <v>156</v>
      </c>
      <c r="K17" s="64" t="s">
        <v>975</v>
      </c>
      <c r="L17" s="321" t="s">
        <v>975</v>
      </c>
      <c r="M17" s="320" t="s">
        <v>194</v>
      </c>
      <c r="N17" s="321" t="str">
        <f>RegionSelect!$B$2</f>
        <v>Ethiopia</v>
      </c>
      <c r="O17" s="195">
        <v>1</v>
      </c>
      <c r="P17" s="195" t="s">
        <v>212</v>
      </c>
      <c r="Q17" s="321"/>
      <c r="R17" s="321"/>
      <c r="S17" s="89">
        <v>1</v>
      </c>
      <c r="T17" s="195"/>
      <c r="U17" s="195"/>
      <c r="W17" s="195"/>
      <c r="X17" s="195"/>
      <c r="Z17" t="s">
        <v>2232</v>
      </c>
    </row>
    <row r="18" spans="1:27" x14ac:dyDescent="0.25">
      <c r="A18" s="355" t="s">
        <v>2164</v>
      </c>
      <c r="B18" s="356" t="s">
        <v>2214</v>
      </c>
      <c r="C18" s="356"/>
      <c r="D18" s="353">
        <v>17</v>
      </c>
      <c r="E18" s="64" t="str">
        <f t="shared" si="0"/>
        <v>FH.MN.17</v>
      </c>
      <c r="F18" s="321" t="s">
        <v>2216</v>
      </c>
      <c r="G18" s="321" t="s">
        <v>154</v>
      </c>
      <c r="H18" s="319" t="s">
        <v>2789</v>
      </c>
      <c r="I18" s="319" t="s">
        <v>65</v>
      </c>
      <c r="J18" s="320" t="s">
        <v>156</v>
      </c>
      <c r="K18" s="64" t="s">
        <v>975</v>
      </c>
      <c r="L18" s="321" t="s">
        <v>975</v>
      </c>
      <c r="M18" s="320" t="s">
        <v>975</v>
      </c>
      <c r="N18" s="321" t="str">
        <f>RegionSelect!$B$2</f>
        <v>Ethiopia</v>
      </c>
      <c r="O18" s="195">
        <v>1</v>
      </c>
      <c r="P18" s="195" t="s">
        <v>212</v>
      </c>
      <c r="Q18" s="321"/>
      <c r="R18" s="321"/>
      <c r="S18" s="89">
        <v>1</v>
      </c>
      <c r="T18" s="195"/>
      <c r="U18" s="195"/>
      <c r="W18" s="195"/>
      <c r="X18" s="195"/>
      <c r="Z18" t="s">
        <v>2232</v>
      </c>
    </row>
    <row r="19" spans="1:27" x14ac:dyDescent="0.25">
      <c r="A19" s="355" t="s">
        <v>2164</v>
      </c>
      <c r="B19" s="356" t="s">
        <v>2214</v>
      </c>
      <c r="C19" s="356"/>
      <c r="D19" s="353">
        <v>18</v>
      </c>
      <c r="E19" s="64" t="str">
        <f t="shared" si="0"/>
        <v>FH.MN.18</v>
      </c>
      <c r="F19" s="321" t="s">
        <v>2217</v>
      </c>
      <c r="G19" s="321" t="s">
        <v>154</v>
      </c>
      <c r="H19" s="319" t="s">
        <v>2790</v>
      </c>
      <c r="I19" s="319" t="s">
        <v>67</v>
      </c>
      <c r="J19" s="320" t="s">
        <v>156</v>
      </c>
      <c r="K19" s="64" t="s">
        <v>975</v>
      </c>
      <c r="L19" s="321" t="s">
        <v>975</v>
      </c>
      <c r="M19" s="320" t="s">
        <v>975</v>
      </c>
      <c r="N19" s="321" t="str">
        <f>RegionSelect!$B$2</f>
        <v>Ethiopia</v>
      </c>
      <c r="O19" s="195">
        <v>1</v>
      </c>
      <c r="P19" s="195" t="s">
        <v>212</v>
      </c>
      <c r="Q19" s="321"/>
      <c r="R19" s="321"/>
      <c r="S19" s="89">
        <v>1</v>
      </c>
      <c r="T19" s="195"/>
      <c r="U19" s="195"/>
      <c r="W19" s="195"/>
      <c r="X19" s="195"/>
      <c r="Z19" t="s">
        <v>2232</v>
      </c>
    </row>
    <row r="20" spans="1:27" x14ac:dyDescent="0.25">
      <c r="A20" s="355" t="s">
        <v>2164</v>
      </c>
      <c r="B20" s="356" t="s">
        <v>2214</v>
      </c>
      <c r="C20" s="356"/>
      <c r="D20" s="353">
        <v>19</v>
      </c>
      <c r="F20" s="321" t="s">
        <v>2218</v>
      </c>
      <c r="G20" s="321" t="s">
        <v>154</v>
      </c>
      <c r="H20" s="319" t="s">
        <v>2791</v>
      </c>
      <c r="I20" s="319" t="s">
        <v>67</v>
      </c>
      <c r="J20" s="320" t="s">
        <v>169</v>
      </c>
      <c r="K20" s="64" t="s">
        <v>975</v>
      </c>
      <c r="L20" s="321" t="s">
        <v>975</v>
      </c>
      <c r="M20" s="320" t="s">
        <v>975</v>
      </c>
      <c r="N20" s="321" t="str">
        <f>RegionSelect!$B$2</f>
        <v>Ethiopia</v>
      </c>
      <c r="P20" s="195" t="s">
        <v>194</v>
      </c>
      <c r="Q20" s="195"/>
      <c r="R20" s="195"/>
      <c r="S20" s="195"/>
      <c r="T20" s="195"/>
      <c r="U20" s="195"/>
      <c r="W20" s="195"/>
      <c r="X20" s="195"/>
      <c r="Z20" s="195" t="s">
        <v>2231</v>
      </c>
    </row>
    <row r="21" spans="1:27" x14ac:dyDescent="0.25">
      <c r="A21" s="355" t="s">
        <v>2164</v>
      </c>
      <c r="B21" s="356" t="s">
        <v>2214</v>
      </c>
      <c r="C21" s="356"/>
      <c r="D21" s="353">
        <v>19</v>
      </c>
      <c r="E21" s="64" t="s">
        <v>2226</v>
      </c>
      <c r="F21" s="58" t="s">
        <v>2830</v>
      </c>
      <c r="G21" s="321" t="s">
        <v>154</v>
      </c>
      <c r="H21" s="319" t="s">
        <v>2791</v>
      </c>
      <c r="I21" s="319" t="s">
        <v>67</v>
      </c>
      <c r="J21" s="320" t="s">
        <v>169</v>
      </c>
      <c r="K21" s="64" t="s">
        <v>975</v>
      </c>
      <c r="L21" s="321" t="s">
        <v>975</v>
      </c>
      <c r="M21" s="320" t="s">
        <v>975</v>
      </c>
      <c r="N21" s="372" t="str">
        <f>RegionSelect!$B$2</f>
        <v>Ethiopia</v>
      </c>
      <c r="O21" s="130">
        <v>2</v>
      </c>
      <c r="P21" t="s">
        <v>2230</v>
      </c>
      <c r="Q21" s="195"/>
      <c r="R21" s="195"/>
      <c r="S21" s="130">
        <v>0.98</v>
      </c>
      <c r="T21" s="58">
        <v>1</v>
      </c>
      <c r="U21" s="195"/>
      <c r="V21" s="340">
        <v>5</v>
      </c>
      <c r="W21" s="195"/>
      <c r="X21" s="195"/>
    </row>
    <row r="22" spans="1:27" x14ac:dyDescent="0.25">
      <c r="A22" s="355" t="s">
        <v>2164</v>
      </c>
      <c r="B22" s="356" t="s">
        <v>2214</v>
      </c>
      <c r="C22" s="356"/>
      <c r="D22" s="353">
        <v>19</v>
      </c>
      <c r="E22" s="64" t="s">
        <v>2228</v>
      </c>
      <c r="F22" s="58" t="s">
        <v>171</v>
      </c>
      <c r="G22" s="321" t="s">
        <v>154</v>
      </c>
      <c r="H22" s="319" t="s">
        <v>2791</v>
      </c>
      <c r="I22" s="319" t="s">
        <v>67</v>
      </c>
      <c r="J22" s="320" t="s">
        <v>169</v>
      </c>
      <c r="K22" s="64" t="s">
        <v>975</v>
      </c>
      <c r="L22" s="321" t="s">
        <v>975</v>
      </c>
      <c r="M22" s="320" t="s">
        <v>975</v>
      </c>
      <c r="N22" s="372" t="str">
        <f>RegionSelect!$B$2</f>
        <v>Ethiopia</v>
      </c>
      <c r="O22" s="58">
        <f>5-O21</f>
        <v>3</v>
      </c>
      <c r="P22" t="s">
        <v>2230</v>
      </c>
      <c r="Q22" s="195"/>
      <c r="R22" s="195"/>
      <c r="S22" s="130">
        <v>0.98</v>
      </c>
      <c r="T22" s="58">
        <v>1</v>
      </c>
      <c r="U22" s="195"/>
      <c r="V22" s="340">
        <v>5</v>
      </c>
      <c r="W22" s="195"/>
      <c r="X22" s="195"/>
    </row>
    <row r="23" spans="1:27" x14ac:dyDescent="0.25">
      <c r="A23" s="355" t="s">
        <v>2164</v>
      </c>
      <c r="B23" s="356" t="s">
        <v>2214</v>
      </c>
      <c r="C23" s="356"/>
      <c r="D23" s="353">
        <v>19</v>
      </c>
      <c r="E23" s="64" t="s">
        <v>2229</v>
      </c>
      <c r="F23" s="58" t="s">
        <v>173</v>
      </c>
      <c r="G23" s="321" t="s">
        <v>154</v>
      </c>
      <c r="H23" s="319" t="s">
        <v>2791</v>
      </c>
      <c r="I23" s="319" t="s">
        <v>67</v>
      </c>
      <c r="J23" s="320" t="s">
        <v>169</v>
      </c>
      <c r="K23" s="64" t="s">
        <v>975</v>
      </c>
      <c r="L23" s="321" t="s">
        <v>975</v>
      </c>
      <c r="M23" s="320" t="s">
        <v>975</v>
      </c>
      <c r="N23" s="321" t="str">
        <f>RegionSelect!$B$2</f>
        <v>Ethiopia</v>
      </c>
      <c r="O23" s="145">
        <f>IFERROR(VLOOKUP(_xlfn.CONCAT(AA23,RegionSelect!$C$2),RegionalData!$C:$S,13,FALSE),VLOOKUP(_xlfn.CONCAT(AA23,"ET"),RegionalData!$C:$S,13,FALSE))</f>
        <v>0.46090000000000003</v>
      </c>
      <c r="P23" t="s">
        <v>1863</v>
      </c>
      <c r="Q23" s="195"/>
      <c r="R23" s="195"/>
      <c r="S23" s="130">
        <v>0.98</v>
      </c>
      <c r="T23" s="58">
        <v>2</v>
      </c>
      <c r="U23" s="195"/>
      <c r="V23" s="340">
        <v>5</v>
      </c>
      <c r="W23" s="195"/>
      <c r="X23" s="195"/>
      <c r="AA23" t="s">
        <v>2938</v>
      </c>
    </row>
    <row r="24" spans="1:27" x14ac:dyDescent="0.25">
      <c r="A24" s="355" t="s">
        <v>2164</v>
      </c>
      <c r="B24" s="356" t="s">
        <v>2214</v>
      </c>
      <c r="C24" s="356"/>
      <c r="D24" s="353">
        <v>19</v>
      </c>
      <c r="E24" s="64" t="s">
        <v>2831</v>
      </c>
      <c r="F24" s="58" t="s">
        <v>2832</v>
      </c>
      <c r="G24" s="321" t="s">
        <v>154</v>
      </c>
      <c r="H24" s="319" t="s">
        <v>2791</v>
      </c>
      <c r="I24" s="319" t="s">
        <v>67</v>
      </c>
      <c r="J24" s="320" t="s">
        <v>169</v>
      </c>
      <c r="K24" s="64" t="s">
        <v>975</v>
      </c>
      <c r="L24" s="321" t="s">
        <v>975</v>
      </c>
      <c r="M24" s="320" t="s">
        <v>975</v>
      </c>
      <c r="N24" s="321" t="str">
        <f>RegionSelect!$B$2</f>
        <v>Ethiopia</v>
      </c>
      <c r="O24" s="401"/>
      <c r="P24" s="52"/>
      <c r="Q24" s="195"/>
      <c r="R24" s="195"/>
      <c r="S24" s="130">
        <v>0.98</v>
      </c>
      <c r="T24" s="58">
        <v>1</v>
      </c>
      <c r="U24" s="195"/>
      <c r="V24" s="340">
        <v>5</v>
      </c>
      <c r="W24" s="195"/>
      <c r="X24" s="195"/>
    </row>
    <row r="25" spans="1:27" x14ac:dyDescent="0.25">
      <c r="A25" s="355" t="s">
        <v>2164</v>
      </c>
      <c r="B25" s="356" t="s">
        <v>2214</v>
      </c>
      <c r="C25" s="356"/>
      <c r="D25" s="353">
        <v>20</v>
      </c>
      <c r="E25" s="64" t="str">
        <f t="shared" si="0"/>
        <v>FH.MN.20</v>
      </c>
      <c r="F25" s="321" t="s">
        <v>2219</v>
      </c>
      <c r="G25" s="321" t="s">
        <v>154</v>
      </c>
      <c r="H25" s="319" t="s">
        <v>2791</v>
      </c>
      <c r="I25" s="319" t="s">
        <v>67</v>
      </c>
      <c r="J25" s="320" t="s">
        <v>194</v>
      </c>
      <c r="K25" s="64" t="s">
        <v>975</v>
      </c>
      <c r="L25" s="321" t="s">
        <v>194</v>
      </c>
      <c r="M25" s="320" t="s">
        <v>194</v>
      </c>
      <c r="N25" s="321" t="str">
        <f>RegionSelect!$B$2</f>
        <v>Ethiopia</v>
      </c>
      <c r="P25" s="195" t="s">
        <v>194</v>
      </c>
      <c r="Q25" s="195"/>
      <c r="R25" s="195"/>
      <c r="T25" s="58"/>
      <c r="U25" s="195"/>
      <c r="V25" s="340"/>
      <c r="W25" s="195"/>
      <c r="X25" s="195"/>
      <c r="Y25" s="195" t="s">
        <v>975</v>
      </c>
      <c r="Z25" t="s">
        <v>2829</v>
      </c>
    </row>
    <row r="26" spans="1:27" x14ac:dyDescent="0.25">
      <c r="A26" s="355" t="s">
        <v>2164</v>
      </c>
      <c r="B26" s="356" t="s">
        <v>2214</v>
      </c>
      <c r="C26" s="356"/>
      <c r="D26" s="353">
        <v>21</v>
      </c>
      <c r="E26" s="64" t="s">
        <v>2227</v>
      </c>
      <c r="F26" s="321" t="s">
        <v>2225</v>
      </c>
      <c r="G26" s="321" t="s">
        <v>154</v>
      </c>
      <c r="H26" s="321" t="s">
        <v>2789</v>
      </c>
      <c r="I26" s="321" t="s">
        <v>70</v>
      </c>
      <c r="J26" s="320" t="s">
        <v>169</v>
      </c>
      <c r="K26" s="64" t="str">
        <f>K27</f>
        <v>Yes</v>
      </c>
      <c r="L26" s="321" t="str">
        <f t="shared" ref="L26:M26" si="1">L27</f>
        <v>Yes</v>
      </c>
      <c r="M26" s="320" t="str">
        <f t="shared" si="1"/>
        <v>-</v>
      </c>
      <c r="N26" s="321" t="str">
        <f>RegionSelect!$B$2</f>
        <v>Ethiopia</v>
      </c>
      <c r="O26" s="195">
        <v>1</v>
      </c>
      <c r="P26" s="321" t="s">
        <v>212</v>
      </c>
      <c r="Q26" s="195"/>
      <c r="R26" s="195"/>
      <c r="S26" s="89">
        <v>1</v>
      </c>
      <c r="T26" s="195">
        <v>3</v>
      </c>
      <c r="V26" s="340">
        <v>5</v>
      </c>
      <c r="W26" s="195"/>
      <c r="X26" s="195"/>
    </row>
    <row r="27" spans="1:27" x14ac:dyDescent="0.25">
      <c r="A27" s="355" t="s">
        <v>2164</v>
      </c>
      <c r="B27" s="356" t="s">
        <v>2214</v>
      </c>
      <c r="C27" s="356"/>
      <c r="D27" s="353">
        <v>21</v>
      </c>
      <c r="E27" s="64" t="str">
        <f t="shared" si="0"/>
        <v>FH.MN.21</v>
      </c>
      <c r="F27" s="321" t="s">
        <v>2221</v>
      </c>
      <c r="G27" s="321" t="s">
        <v>154</v>
      </c>
      <c r="H27" s="319" t="s">
        <v>2791</v>
      </c>
      <c r="I27" s="319" t="s">
        <v>70</v>
      </c>
      <c r="J27" s="320" t="s">
        <v>169</v>
      </c>
      <c r="K27" s="64" t="s">
        <v>975</v>
      </c>
      <c r="L27" s="321" t="s">
        <v>975</v>
      </c>
      <c r="M27" s="320" t="s">
        <v>194</v>
      </c>
      <c r="N27" s="372" t="str">
        <f>RegionSelect!$B$2</f>
        <v>Ethiopia</v>
      </c>
      <c r="O27" s="145">
        <f>IFERROR(VLOOKUP(_xlfn.CONCAT(AA27,RegionSelect!$C$2),RegionalData!$C:$S,13,FALSE),VLOOKUP(_xlfn.CONCAT(AA27,"ET"),RegionalData!$C:$S,13,FALSE))</f>
        <v>0.124</v>
      </c>
      <c r="P27" s="321" t="s">
        <v>2196</v>
      </c>
      <c r="Q27" s="195"/>
      <c r="R27" s="195"/>
      <c r="S27" s="130">
        <v>0.98</v>
      </c>
      <c r="T27" s="58">
        <v>4</v>
      </c>
      <c r="U27" s="195"/>
      <c r="V27" s="340">
        <v>5</v>
      </c>
      <c r="W27" s="195"/>
      <c r="X27" s="195"/>
      <c r="AA27" t="s">
        <v>2947</v>
      </c>
    </row>
    <row r="28" spans="1:27" x14ac:dyDescent="0.25">
      <c r="A28" s="355" t="s">
        <v>2164</v>
      </c>
      <c r="B28" s="356" t="s">
        <v>2214</v>
      </c>
      <c r="C28" s="356"/>
      <c r="D28" s="353">
        <v>22</v>
      </c>
      <c r="E28" s="64" t="str">
        <f t="shared" si="0"/>
        <v>FH.MN.22</v>
      </c>
      <c r="F28" s="321" t="s">
        <v>2220</v>
      </c>
      <c r="G28" s="321" t="s">
        <v>154</v>
      </c>
      <c r="H28" s="319" t="s">
        <v>2791</v>
      </c>
      <c r="I28" s="319" t="s">
        <v>70</v>
      </c>
      <c r="J28" s="320" t="s">
        <v>169</v>
      </c>
      <c r="K28" s="64" t="s">
        <v>975</v>
      </c>
      <c r="L28" s="321" t="s">
        <v>975</v>
      </c>
      <c r="M28" s="320" t="s">
        <v>194</v>
      </c>
      <c r="N28" s="372" t="str">
        <f>RegionSelect!$B$2</f>
        <v>Ethiopia</v>
      </c>
      <c r="O28" s="145">
        <f>IFERROR(VLOOKUP(_xlfn.CONCAT(AA28,RegionSelect!$C$2),RegionalData!$C:$S,13,FALSE),VLOOKUP(_xlfn.CONCAT(AA28,"ET"),RegionalData!$C:$S,13,FALSE))</f>
        <v>0.36799999999999999</v>
      </c>
      <c r="P28" s="321" t="s">
        <v>2196</v>
      </c>
      <c r="Q28" s="195"/>
      <c r="R28" s="195"/>
      <c r="S28" s="130">
        <v>0.98</v>
      </c>
      <c r="T28" s="58">
        <v>2</v>
      </c>
      <c r="U28" s="195"/>
      <c r="V28" s="340">
        <v>5</v>
      </c>
      <c r="W28" s="195"/>
      <c r="X28" s="195"/>
      <c r="AA28" t="s">
        <v>2949</v>
      </c>
    </row>
    <row r="29" spans="1:27" x14ac:dyDescent="0.25">
      <c r="A29" s="355" t="s">
        <v>2164</v>
      </c>
      <c r="B29" s="356" t="s">
        <v>2214</v>
      </c>
      <c r="C29" s="356"/>
      <c r="D29" s="353">
        <v>23</v>
      </c>
      <c r="E29" s="64" t="str">
        <f t="shared" si="0"/>
        <v>FH.MN.23</v>
      </c>
      <c r="F29" s="321" t="s">
        <v>2222</v>
      </c>
      <c r="G29" s="321" t="s">
        <v>154</v>
      </c>
      <c r="H29" s="321" t="s">
        <v>2789</v>
      </c>
      <c r="I29" s="319" t="s">
        <v>70</v>
      </c>
      <c r="J29" s="320" t="s">
        <v>169</v>
      </c>
      <c r="K29" s="64" t="s">
        <v>975</v>
      </c>
      <c r="L29" s="321" t="s">
        <v>975</v>
      </c>
      <c r="M29" s="320" t="s">
        <v>975</v>
      </c>
      <c r="N29" s="321" t="str">
        <f>RegionSelect!$B$2</f>
        <v>Ethiopia</v>
      </c>
      <c r="O29" s="195">
        <v>1</v>
      </c>
      <c r="P29" t="s">
        <v>212</v>
      </c>
      <c r="Q29" s="195"/>
      <c r="R29" s="195"/>
      <c r="S29" s="89">
        <v>1</v>
      </c>
      <c r="U29">
        <v>2</v>
      </c>
      <c r="V29" s="6">
        <v>5</v>
      </c>
      <c r="W29" s="195"/>
      <c r="X29" s="195"/>
      <c r="Y29" s="195" t="s">
        <v>975</v>
      </c>
    </row>
    <row r="30" spans="1:27" x14ac:dyDescent="0.25">
      <c r="A30" s="355" t="s">
        <v>2164</v>
      </c>
      <c r="B30" s="356" t="s">
        <v>2214</v>
      </c>
      <c r="C30" s="356"/>
      <c r="D30" s="353">
        <v>24</v>
      </c>
      <c r="E30" s="64" t="str">
        <f t="shared" si="0"/>
        <v>FH.MN.24</v>
      </c>
      <c r="F30" s="321" t="s">
        <v>2223</v>
      </c>
      <c r="G30" s="321" t="s">
        <v>154</v>
      </c>
      <c r="H30" s="321" t="s">
        <v>2791</v>
      </c>
      <c r="I30" s="321" t="s">
        <v>67</v>
      </c>
      <c r="J30" s="320" t="s">
        <v>169</v>
      </c>
      <c r="K30" s="64" t="s">
        <v>975</v>
      </c>
      <c r="L30" s="321" t="s">
        <v>975</v>
      </c>
      <c r="M30" s="320" t="s">
        <v>975</v>
      </c>
      <c r="N30" s="321" t="str">
        <f>RegionSelect!$B$2</f>
        <v>Ethiopia</v>
      </c>
      <c r="O30" s="145">
        <f>IFERROR(VLOOKUP(_xlfn.CONCAT(AA30,RegionSelect!$C$2),RegionalData!$C:$S,13,FALSE),VLOOKUP(_xlfn.CONCAT(AA30,"ET"),RegionalData!$C:$S,13,FALSE))</f>
        <v>3.5000000000000001E-3</v>
      </c>
      <c r="P30" s="321" t="s">
        <v>371</v>
      </c>
      <c r="Q30" s="195"/>
      <c r="R30" s="195"/>
      <c r="S30" s="89">
        <f>PopValues_retain!C10</f>
        <v>0.95480225988700573</v>
      </c>
      <c r="T30" s="58">
        <v>1</v>
      </c>
      <c r="U30" s="195"/>
      <c r="V30" s="340">
        <v>15</v>
      </c>
      <c r="W30" s="195"/>
      <c r="X30" s="195"/>
      <c r="Y30" t="s">
        <v>975</v>
      </c>
      <c r="Z30" s="338" t="s">
        <v>2233</v>
      </c>
      <c r="AA30" t="s">
        <v>2950</v>
      </c>
    </row>
    <row r="31" spans="1:27" x14ac:dyDescent="0.25">
      <c r="A31" s="355" t="s">
        <v>2164</v>
      </c>
      <c r="B31" s="356" t="s">
        <v>2214</v>
      </c>
      <c r="C31" s="356"/>
      <c r="D31" s="353">
        <v>25</v>
      </c>
      <c r="E31" s="64" t="str">
        <f t="shared" si="0"/>
        <v>FH.MN.25</v>
      </c>
      <c r="F31" s="321" t="s">
        <v>2224</v>
      </c>
      <c r="G31" s="321" t="s">
        <v>154</v>
      </c>
      <c r="H31" s="321" t="s">
        <v>2791</v>
      </c>
      <c r="I31" s="321" t="s">
        <v>67</v>
      </c>
      <c r="J31" s="320" t="s">
        <v>169</v>
      </c>
      <c r="K31" s="64" t="s">
        <v>975</v>
      </c>
      <c r="L31" s="321" t="s">
        <v>975</v>
      </c>
      <c r="M31" s="320" t="s">
        <v>194</v>
      </c>
      <c r="N31" s="321" t="str">
        <f>RegionSelect!$B$2</f>
        <v>Ethiopia</v>
      </c>
      <c r="O31" s="371"/>
      <c r="P31" s="321" t="s">
        <v>2196</v>
      </c>
      <c r="Q31" s="195"/>
      <c r="R31" s="195"/>
      <c r="S31" s="130">
        <v>0.98</v>
      </c>
      <c r="T31" s="58">
        <v>1</v>
      </c>
      <c r="U31" s="195"/>
      <c r="V31" s="340">
        <v>10</v>
      </c>
      <c r="W31" s="195"/>
      <c r="X31" s="195"/>
      <c r="Y31" t="s">
        <v>975</v>
      </c>
      <c r="Z31" s="195" t="s">
        <v>2235</v>
      </c>
    </row>
    <row r="32" spans="1:27" x14ac:dyDescent="0.25">
      <c r="A32" s="355" t="s">
        <v>2164</v>
      </c>
      <c r="B32" s="356" t="s">
        <v>2214</v>
      </c>
      <c r="C32" s="356"/>
      <c r="D32" s="354">
        <v>26</v>
      </c>
      <c r="E32" s="344"/>
      <c r="F32" s="345" t="s">
        <v>2237</v>
      </c>
      <c r="G32" s="321"/>
      <c r="H32" s="321"/>
      <c r="I32" s="321"/>
      <c r="L32" s="321"/>
      <c r="N32" s="321" t="str">
        <f>RegionSelect!$B$2</f>
        <v>Ethiopia</v>
      </c>
      <c r="O32" s="335"/>
      <c r="P32" s="321"/>
      <c r="Q32" s="195"/>
      <c r="R32" s="195"/>
      <c r="S32" s="195"/>
      <c r="T32" s="58"/>
      <c r="U32" s="195"/>
      <c r="V32" s="340"/>
      <c r="W32" s="195"/>
      <c r="X32" s="195"/>
      <c r="Z32" s="195"/>
    </row>
    <row r="33" spans="1:27" x14ac:dyDescent="0.25">
      <c r="A33" s="355" t="s">
        <v>2164</v>
      </c>
      <c r="B33" s="356" t="s">
        <v>2214</v>
      </c>
      <c r="C33" s="356"/>
      <c r="D33" s="354">
        <v>27</v>
      </c>
      <c r="E33" s="344"/>
      <c r="F33" s="345" t="s">
        <v>2237</v>
      </c>
      <c r="G33" s="321"/>
      <c r="H33" s="321"/>
      <c r="I33" s="321"/>
      <c r="L33" s="321"/>
      <c r="N33" s="321" t="str">
        <f>RegionSelect!$B$2</f>
        <v>Ethiopia</v>
      </c>
      <c r="O33" s="335"/>
      <c r="P33" s="321"/>
      <c r="Q33" s="195"/>
      <c r="R33" s="195"/>
      <c r="S33" s="195"/>
      <c r="T33" s="58"/>
      <c r="U33" s="195"/>
      <c r="V33" s="340"/>
      <c r="W33" s="195"/>
      <c r="X33" s="195"/>
      <c r="Z33" s="195"/>
    </row>
    <row r="34" spans="1:27" x14ac:dyDescent="0.25">
      <c r="A34" s="355" t="s">
        <v>2164</v>
      </c>
      <c r="B34" s="356" t="s">
        <v>2214</v>
      </c>
      <c r="C34" s="356"/>
      <c r="D34" s="353">
        <v>28</v>
      </c>
      <c r="E34" s="64" t="str">
        <f t="shared" si="0"/>
        <v>FH.MN.28</v>
      </c>
      <c r="F34" s="321" t="s">
        <v>2238</v>
      </c>
      <c r="G34" s="321" t="s">
        <v>154</v>
      </c>
      <c r="H34" s="321" t="s">
        <v>2791</v>
      </c>
      <c r="I34" s="321" t="s">
        <v>67</v>
      </c>
      <c r="J34" s="320" t="s">
        <v>2431</v>
      </c>
      <c r="K34" s="64" t="s">
        <v>975</v>
      </c>
      <c r="L34" s="321" t="s">
        <v>975</v>
      </c>
      <c r="M34" s="320" t="s">
        <v>194</v>
      </c>
      <c r="N34" s="321" t="str">
        <f>RegionSelect!$B$2</f>
        <v>Ethiopia</v>
      </c>
      <c r="O34" s="145">
        <f>IFERROR(VLOOKUP(_xlfn.CONCAT(AA34,RegionSelect!$C$2),RegionalData!$C:$S,13,FALSE),VLOOKUP(_xlfn.CONCAT(AA34,"ET"),RegionalData!$C:$S,13,FALSE))</f>
        <v>3.3599999999999998E-2</v>
      </c>
      <c r="P34" s="321" t="s">
        <v>2433</v>
      </c>
      <c r="Q34" s="195"/>
      <c r="R34" s="195"/>
      <c r="S34" s="130">
        <v>0.98</v>
      </c>
      <c r="T34" s="58">
        <v>1</v>
      </c>
      <c r="U34" s="195"/>
      <c r="V34" s="340">
        <v>5</v>
      </c>
      <c r="W34" s="195"/>
      <c r="X34" s="195"/>
      <c r="Y34" s="195" t="s">
        <v>975</v>
      </c>
      <c r="Z34" s="195"/>
      <c r="AA34" t="s">
        <v>2972</v>
      </c>
    </row>
    <row r="35" spans="1:27" x14ac:dyDescent="0.25">
      <c r="A35" s="355" t="s">
        <v>2164</v>
      </c>
      <c r="B35" s="356" t="s">
        <v>2214</v>
      </c>
      <c r="C35" s="356"/>
      <c r="D35" s="353">
        <v>29</v>
      </c>
      <c r="E35" s="64" t="str">
        <f t="shared" si="0"/>
        <v>FH.MN.29</v>
      </c>
      <c r="F35" s="321" t="s">
        <v>2239</v>
      </c>
      <c r="G35" s="321" t="s">
        <v>2249</v>
      </c>
      <c r="H35" s="319" t="s">
        <v>206</v>
      </c>
      <c r="I35" s="321" t="s">
        <v>194</v>
      </c>
      <c r="J35" s="320" t="s">
        <v>2432</v>
      </c>
      <c r="K35" s="64" t="s">
        <v>975</v>
      </c>
      <c r="L35" s="321" t="s">
        <v>975</v>
      </c>
      <c r="M35" s="320" t="s">
        <v>975</v>
      </c>
      <c r="N35" s="321" t="str">
        <f>RegionSelect!$B$2</f>
        <v>Ethiopia</v>
      </c>
      <c r="O35" s="362">
        <f>IFERROR(VLOOKUP(_xlfn.CONCAT(AA35,RegionSelect!$C$2),RegionalData!$C:$S,13,FALSE),VLOOKUP(_xlfn.CONCAT(AA35,"ET"),RegionalData!$C:$S,13,FALSE))</f>
        <v>0.1</v>
      </c>
      <c r="P35" s="321" t="s">
        <v>1863</v>
      </c>
      <c r="Q35" s="195"/>
      <c r="R35" s="195"/>
      <c r="S35" s="147">
        <v>1</v>
      </c>
      <c r="T35" s="58">
        <v>2</v>
      </c>
      <c r="U35" s="195"/>
      <c r="V35" s="340">
        <v>15</v>
      </c>
      <c r="W35" s="195"/>
      <c r="X35" s="195"/>
      <c r="Y35" s="195" t="s">
        <v>975</v>
      </c>
      <c r="Z35" s="338" t="s">
        <v>2507</v>
      </c>
      <c r="AA35" t="s">
        <v>2977</v>
      </c>
    </row>
    <row r="36" spans="1:27" x14ac:dyDescent="0.25">
      <c r="A36" s="355" t="s">
        <v>2164</v>
      </c>
      <c r="B36" s="356" t="s">
        <v>2214</v>
      </c>
      <c r="C36" s="356"/>
      <c r="D36" s="353">
        <v>30</v>
      </c>
      <c r="E36" s="64" t="str">
        <f t="shared" si="0"/>
        <v>FH.MN.30</v>
      </c>
      <c r="F36" s="321" t="s">
        <v>2240</v>
      </c>
      <c r="G36" s="321" t="s">
        <v>2249</v>
      </c>
      <c r="H36" s="319" t="s">
        <v>206</v>
      </c>
      <c r="I36" s="321" t="s">
        <v>194</v>
      </c>
      <c r="J36" s="320" t="s">
        <v>209</v>
      </c>
      <c r="K36" s="64" t="s">
        <v>975</v>
      </c>
      <c r="L36" s="321" t="s">
        <v>975</v>
      </c>
      <c r="M36" s="320" t="s">
        <v>975</v>
      </c>
      <c r="N36" s="321" t="str">
        <f>RegionSelect!$B$2</f>
        <v>Ethiopia</v>
      </c>
      <c r="O36" s="371"/>
      <c r="P36" s="321" t="s">
        <v>1863</v>
      </c>
      <c r="Q36" s="195"/>
      <c r="R36" s="195"/>
      <c r="S36" s="147">
        <v>1</v>
      </c>
      <c r="T36" s="58">
        <v>2</v>
      </c>
      <c r="U36" s="195"/>
      <c r="V36" s="340">
        <v>15</v>
      </c>
      <c r="W36" s="195"/>
      <c r="X36" s="195"/>
      <c r="Y36" s="195" t="s">
        <v>975</v>
      </c>
      <c r="Z36" s="338" t="s">
        <v>2506</v>
      </c>
    </row>
    <row r="37" spans="1:27" x14ac:dyDescent="0.25">
      <c r="A37" s="355" t="s">
        <v>2164</v>
      </c>
      <c r="B37" s="356" t="s">
        <v>2236</v>
      </c>
      <c r="C37" s="356"/>
      <c r="D37" s="353">
        <v>31</v>
      </c>
      <c r="E37" s="64" t="s">
        <v>2254</v>
      </c>
      <c r="F37" s="321" t="s">
        <v>2242</v>
      </c>
      <c r="G37" s="321" t="s">
        <v>2249</v>
      </c>
      <c r="H37" s="321" t="s">
        <v>206</v>
      </c>
      <c r="I37" s="321" t="s">
        <v>68</v>
      </c>
      <c r="J37" s="320" t="s">
        <v>194</v>
      </c>
      <c r="K37" s="64" t="s">
        <v>975</v>
      </c>
      <c r="L37" s="319" t="s">
        <v>975</v>
      </c>
      <c r="M37" s="320" t="s">
        <v>975</v>
      </c>
      <c r="N37" s="321" t="str">
        <f>RegionSelect!$B$2</f>
        <v>Ethiopia</v>
      </c>
      <c r="P37" s="195" t="s">
        <v>194</v>
      </c>
      <c r="Q37" s="195"/>
      <c r="R37" s="195"/>
      <c r="S37" s="195"/>
      <c r="T37" s="195"/>
      <c r="U37" s="195"/>
      <c r="W37" s="195"/>
      <c r="X37" s="195"/>
      <c r="Z37" s="234" t="s">
        <v>2250</v>
      </c>
    </row>
    <row r="38" spans="1:27" x14ac:dyDescent="0.25">
      <c r="A38" s="355" t="s">
        <v>2164</v>
      </c>
      <c r="B38" s="356" t="s">
        <v>2236</v>
      </c>
      <c r="C38" s="356"/>
      <c r="D38" s="353">
        <v>32</v>
      </c>
      <c r="F38" s="321" t="s">
        <v>2243</v>
      </c>
      <c r="G38" s="319" t="s">
        <v>154</v>
      </c>
      <c r="H38" s="319" t="s">
        <v>2789</v>
      </c>
      <c r="I38" s="319" t="s">
        <v>68</v>
      </c>
      <c r="J38" s="320" t="s">
        <v>194</v>
      </c>
      <c r="K38" s="64" t="s">
        <v>975</v>
      </c>
      <c r="L38" s="319" t="s">
        <v>975</v>
      </c>
      <c r="M38" s="320" t="s">
        <v>975</v>
      </c>
      <c r="N38" s="321" t="str">
        <f>RegionSelect!$B$2</f>
        <v>Ethiopia</v>
      </c>
      <c r="P38" s="195" t="s">
        <v>194</v>
      </c>
      <c r="Q38" s="195"/>
      <c r="R38" s="195"/>
      <c r="S38" s="195"/>
      <c r="T38" s="195"/>
      <c r="U38" s="195"/>
      <c r="W38" s="195"/>
      <c r="X38" s="195"/>
      <c r="Z38" s="342" t="s">
        <v>2251</v>
      </c>
    </row>
    <row r="39" spans="1:27" x14ac:dyDescent="0.25">
      <c r="A39" s="355" t="s">
        <v>2164</v>
      </c>
      <c r="B39" s="356" t="s">
        <v>2236</v>
      </c>
      <c r="C39" s="356"/>
      <c r="D39" s="353">
        <v>32</v>
      </c>
      <c r="E39" s="64" t="s">
        <v>2260</v>
      </c>
      <c r="F39" s="319" t="s">
        <v>176</v>
      </c>
      <c r="G39" s="319" t="s">
        <v>154</v>
      </c>
      <c r="H39" s="319" t="s">
        <v>2789</v>
      </c>
      <c r="I39" s="319" t="s">
        <v>68</v>
      </c>
      <c r="J39" s="320" t="s">
        <v>156</v>
      </c>
      <c r="K39" s="64" t="s">
        <v>975</v>
      </c>
      <c r="L39" s="319" t="s">
        <v>975</v>
      </c>
      <c r="M39" s="320" t="s">
        <v>975</v>
      </c>
      <c r="N39" s="321" t="str">
        <f>RegionSelect!$B$2</f>
        <v>Ethiopia</v>
      </c>
      <c r="P39" s="195" t="s">
        <v>194</v>
      </c>
      <c r="Q39" s="195"/>
      <c r="R39" s="195"/>
      <c r="S39"/>
      <c r="W39" s="195"/>
      <c r="X39" s="195"/>
      <c r="Z39" s="342" t="s">
        <v>462</v>
      </c>
    </row>
    <row r="40" spans="1:27" x14ac:dyDescent="0.25">
      <c r="A40" s="355" t="s">
        <v>2164</v>
      </c>
      <c r="B40" s="356" t="s">
        <v>2236</v>
      </c>
      <c r="C40" s="356"/>
      <c r="D40" s="353">
        <v>32</v>
      </c>
      <c r="E40" s="64" t="s">
        <v>2261</v>
      </c>
      <c r="F40" s="319" t="s">
        <v>178</v>
      </c>
      <c r="G40" s="319" t="s">
        <v>154</v>
      </c>
      <c r="H40" s="319" t="s">
        <v>2789</v>
      </c>
      <c r="I40" s="319" t="s">
        <v>68</v>
      </c>
      <c r="J40" s="320" t="s">
        <v>179</v>
      </c>
      <c r="K40" s="64" t="s">
        <v>975</v>
      </c>
      <c r="L40" s="319" t="s">
        <v>975</v>
      </c>
      <c r="M40" s="320" t="s">
        <v>975</v>
      </c>
      <c r="N40" s="321" t="str">
        <f>RegionSelect!$B$2</f>
        <v>Ethiopia</v>
      </c>
      <c r="O40" s="195">
        <v>1</v>
      </c>
      <c r="P40" s="195" t="s">
        <v>212</v>
      </c>
      <c r="Q40" s="195"/>
      <c r="R40" s="195"/>
      <c r="S40">
        <v>1</v>
      </c>
      <c r="T40">
        <v>4</v>
      </c>
      <c r="V40" s="6">
        <v>5</v>
      </c>
      <c r="W40" s="195"/>
      <c r="X40" s="195"/>
      <c r="Z40" s="234"/>
    </row>
    <row r="41" spans="1:27" x14ac:dyDescent="0.25">
      <c r="A41" s="355" t="s">
        <v>2164</v>
      </c>
      <c r="B41" s="356" t="s">
        <v>2236</v>
      </c>
      <c r="C41" s="356"/>
      <c r="D41" s="353">
        <v>32</v>
      </c>
      <c r="E41" s="64" t="s">
        <v>2262</v>
      </c>
      <c r="F41" s="319" t="s">
        <v>181</v>
      </c>
      <c r="G41" s="319" t="s">
        <v>154</v>
      </c>
      <c r="H41" s="319" t="s">
        <v>2789</v>
      </c>
      <c r="I41" s="319" t="s">
        <v>68</v>
      </c>
      <c r="J41" s="320" t="s">
        <v>182</v>
      </c>
      <c r="K41" s="64" t="s">
        <v>975</v>
      </c>
      <c r="L41" s="319" t="s">
        <v>975</v>
      </c>
      <c r="M41" s="320" t="s">
        <v>975</v>
      </c>
      <c r="N41" s="321" t="str">
        <f>RegionSelect!$B$2</f>
        <v>Ethiopia</v>
      </c>
      <c r="O41" s="195">
        <v>1</v>
      </c>
      <c r="P41" s="195" t="s">
        <v>212</v>
      </c>
      <c r="Q41" s="195"/>
      <c r="R41" s="195"/>
      <c r="S41">
        <v>1</v>
      </c>
      <c r="T41">
        <v>1</v>
      </c>
      <c r="V41" s="6">
        <v>5</v>
      </c>
      <c r="W41" s="195"/>
      <c r="X41" s="195"/>
      <c r="Z41" s="234"/>
    </row>
    <row r="42" spans="1:27" x14ac:dyDescent="0.25">
      <c r="A42" s="355" t="s">
        <v>2164</v>
      </c>
      <c r="B42" s="356" t="s">
        <v>2236</v>
      </c>
      <c r="C42" s="356"/>
      <c r="D42" s="353">
        <v>32</v>
      </c>
      <c r="E42" s="64" t="s">
        <v>2263</v>
      </c>
      <c r="F42" s="319" t="s">
        <v>184</v>
      </c>
      <c r="G42" s="319" t="s">
        <v>154</v>
      </c>
      <c r="H42" s="319" t="s">
        <v>2789</v>
      </c>
      <c r="I42" s="319" t="s">
        <v>68</v>
      </c>
      <c r="J42" s="320" t="s">
        <v>156</v>
      </c>
      <c r="K42" s="64" t="s">
        <v>975</v>
      </c>
      <c r="L42" s="319" t="s">
        <v>975</v>
      </c>
      <c r="M42" s="320" t="s">
        <v>975</v>
      </c>
      <c r="N42" s="321" t="str">
        <f>RegionSelect!$B$2</f>
        <v>Ethiopia</v>
      </c>
      <c r="O42" s="195">
        <v>1</v>
      </c>
      <c r="P42" s="195" t="s">
        <v>212</v>
      </c>
      <c r="Q42" s="195"/>
      <c r="R42" s="195"/>
      <c r="S42">
        <v>1</v>
      </c>
      <c r="T42">
        <v>2</v>
      </c>
      <c r="W42" s="195"/>
      <c r="X42" s="195"/>
      <c r="Z42" s="342" t="s">
        <v>2252</v>
      </c>
    </row>
    <row r="43" spans="1:27" x14ac:dyDescent="0.25">
      <c r="A43" s="355" t="s">
        <v>2164</v>
      </c>
      <c r="B43" s="356" t="s">
        <v>2236</v>
      </c>
      <c r="C43" s="356"/>
      <c r="D43" s="353">
        <v>33</v>
      </c>
      <c r="E43" s="64" t="s">
        <v>2255</v>
      </c>
      <c r="F43" s="321" t="s">
        <v>2244</v>
      </c>
      <c r="G43" s="319" t="s">
        <v>154</v>
      </c>
      <c r="H43" s="319" t="s">
        <v>2789</v>
      </c>
      <c r="I43" s="319" t="s">
        <v>68</v>
      </c>
      <c r="J43" s="320" t="s">
        <v>169</v>
      </c>
      <c r="K43" s="64" t="s">
        <v>975</v>
      </c>
      <c r="L43" s="319" t="s">
        <v>975</v>
      </c>
      <c r="M43" s="320" t="s">
        <v>975</v>
      </c>
      <c r="N43" s="372" t="str">
        <f>RegionSelect!$B$2</f>
        <v>Ethiopia</v>
      </c>
      <c r="O43" s="195">
        <v>1</v>
      </c>
      <c r="P43" s="195" t="s">
        <v>212</v>
      </c>
      <c r="Q43" s="195"/>
      <c r="R43" s="195"/>
      <c r="S43"/>
      <c r="U43">
        <v>1</v>
      </c>
      <c r="V43" s="6">
        <v>2</v>
      </c>
      <c r="W43" s="195"/>
      <c r="X43" s="195"/>
      <c r="Y43" t="s">
        <v>975</v>
      </c>
      <c r="Z43" s="337" t="s">
        <v>2264</v>
      </c>
    </row>
    <row r="44" spans="1:27" x14ac:dyDescent="0.25">
      <c r="A44" s="355" t="s">
        <v>2164</v>
      </c>
      <c r="B44" s="356" t="s">
        <v>2236</v>
      </c>
      <c r="C44" s="356"/>
      <c r="D44" s="353">
        <v>34</v>
      </c>
      <c r="E44" s="64" t="s">
        <v>2256</v>
      </c>
      <c r="F44" s="321" t="s">
        <v>2245</v>
      </c>
      <c r="G44" s="321" t="s">
        <v>154</v>
      </c>
      <c r="H44" s="321" t="s">
        <v>2791</v>
      </c>
      <c r="I44" s="321" t="s">
        <v>68</v>
      </c>
      <c r="J44" s="320" t="s">
        <v>194</v>
      </c>
      <c r="K44" s="64" t="s">
        <v>975</v>
      </c>
      <c r="L44" s="319" t="s">
        <v>975</v>
      </c>
      <c r="M44" s="320" t="s">
        <v>975</v>
      </c>
      <c r="N44" s="321" t="str">
        <f>RegionSelect!$B$2</f>
        <v>Ethiopia</v>
      </c>
      <c r="O44" s="145">
        <f>IFERROR(VLOOKUP(_xlfn.CONCAT(AA44,RegionSelect!$C$2),RegionalData!$C:$S,13,FALSE),VLOOKUP(_xlfn.CONCAT(AA44,"ET"),RegionalData!$C:$S,13,FALSE))</f>
        <v>1.4999999999999999E-2</v>
      </c>
      <c r="P44" s="195" t="s">
        <v>2196</v>
      </c>
      <c r="Q44" s="195"/>
      <c r="R44" s="195"/>
      <c r="S44">
        <v>1</v>
      </c>
      <c r="T44">
        <v>1</v>
      </c>
      <c r="V44" s="6">
        <v>5</v>
      </c>
      <c r="W44" s="6"/>
      <c r="X44" s="6"/>
      <c r="Y44" s="6" t="s">
        <v>975</v>
      </c>
      <c r="Z44" s="343"/>
      <c r="AA44" t="s">
        <v>2980</v>
      </c>
    </row>
    <row r="45" spans="1:27" x14ac:dyDescent="0.25">
      <c r="A45" s="355" t="s">
        <v>2164</v>
      </c>
      <c r="B45" s="356" t="s">
        <v>2236</v>
      </c>
      <c r="C45" s="356"/>
      <c r="D45" s="353">
        <v>35</v>
      </c>
      <c r="E45" s="64" t="s">
        <v>2257</v>
      </c>
      <c r="F45" s="321" t="s">
        <v>2246</v>
      </c>
      <c r="G45" s="321" t="s">
        <v>2249</v>
      </c>
      <c r="H45" s="321" t="s">
        <v>206</v>
      </c>
      <c r="I45" s="321" t="s">
        <v>68</v>
      </c>
      <c r="J45" s="320" t="s">
        <v>194</v>
      </c>
      <c r="K45" s="64" t="s">
        <v>975</v>
      </c>
      <c r="L45" s="319" t="s">
        <v>975</v>
      </c>
      <c r="M45" s="320" t="s">
        <v>975</v>
      </c>
      <c r="N45" s="321" t="str">
        <f>RegionSelect!$B$2</f>
        <v>Ethiopia</v>
      </c>
      <c r="P45" s="195" t="s">
        <v>194</v>
      </c>
      <c r="Q45" s="195"/>
      <c r="R45" s="195"/>
      <c r="S45"/>
      <c r="W45" s="6"/>
      <c r="X45" s="6"/>
      <c r="Y45" s="6" t="s">
        <v>975</v>
      </c>
      <c r="Z45" s="343" t="s">
        <v>2265</v>
      </c>
    </row>
    <row r="46" spans="1:27" x14ac:dyDescent="0.25">
      <c r="A46" s="355" t="s">
        <v>2164</v>
      </c>
      <c r="B46" s="356" t="s">
        <v>2236</v>
      </c>
      <c r="C46" s="356"/>
      <c r="D46" s="353">
        <v>36</v>
      </c>
      <c r="E46" s="64" t="s">
        <v>2258</v>
      </c>
      <c r="F46" s="321" t="s">
        <v>2247</v>
      </c>
      <c r="G46" s="321" t="s">
        <v>2249</v>
      </c>
      <c r="H46" s="321" t="s">
        <v>206</v>
      </c>
      <c r="I46" s="321" t="s">
        <v>68</v>
      </c>
      <c r="J46" s="320" t="s">
        <v>194</v>
      </c>
      <c r="K46" s="64" t="s">
        <v>975</v>
      </c>
      <c r="L46" s="319" t="s">
        <v>975</v>
      </c>
      <c r="M46" s="320" t="s">
        <v>975</v>
      </c>
      <c r="N46" s="321" t="str">
        <f>RegionSelect!$B$2</f>
        <v>Ethiopia</v>
      </c>
      <c r="P46" s="195" t="s">
        <v>194</v>
      </c>
      <c r="Q46" s="195"/>
      <c r="R46" s="195"/>
      <c r="S46"/>
      <c r="W46" s="6"/>
      <c r="X46" s="6"/>
      <c r="Y46" s="6" t="s">
        <v>975</v>
      </c>
      <c r="Z46" s="342" t="s">
        <v>2253</v>
      </c>
    </row>
    <row r="47" spans="1:27" x14ac:dyDescent="0.25">
      <c r="A47" s="355" t="s">
        <v>2164</v>
      </c>
      <c r="B47" s="356" t="s">
        <v>2236</v>
      </c>
      <c r="C47" s="356"/>
      <c r="D47" s="353">
        <v>37</v>
      </c>
      <c r="E47" s="64" t="s">
        <v>2259</v>
      </c>
      <c r="F47" s="321" t="s">
        <v>2248</v>
      </c>
      <c r="G47" s="321" t="s">
        <v>193</v>
      </c>
      <c r="H47" s="321" t="s">
        <v>206</v>
      </c>
      <c r="I47" s="321" t="s">
        <v>68</v>
      </c>
      <c r="J47" s="320" t="s">
        <v>194</v>
      </c>
      <c r="K47" s="64" t="s">
        <v>975</v>
      </c>
      <c r="L47" s="319" t="s">
        <v>975</v>
      </c>
      <c r="M47" s="320" t="s">
        <v>975</v>
      </c>
      <c r="N47" s="321" t="str">
        <f>RegionSelect!$B$2</f>
        <v>Ethiopia</v>
      </c>
      <c r="P47" s="195" t="s">
        <v>194</v>
      </c>
      <c r="Q47" s="195"/>
      <c r="R47" s="195"/>
      <c r="S47"/>
      <c r="W47" s="6"/>
      <c r="X47" s="6"/>
      <c r="Y47" s="6" t="s">
        <v>975</v>
      </c>
      <c r="Z47" s="343" t="s">
        <v>2266</v>
      </c>
    </row>
    <row r="48" spans="1:27" x14ac:dyDescent="0.25">
      <c r="A48" s="355" t="s">
        <v>2164</v>
      </c>
      <c r="B48" s="356" t="s">
        <v>2267</v>
      </c>
      <c r="C48" s="356"/>
      <c r="D48" s="353">
        <v>38</v>
      </c>
      <c r="F48" s="321" t="s">
        <v>2268</v>
      </c>
      <c r="G48" s="321" t="s">
        <v>154</v>
      </c>
      <c r="H48" s="321" t="s">
        <v>2789</v>
      </c>
      <c r="I48" s="321" t="s">
        <v>66</v>
      </c>
      <c r="K48" s="64" t="s">
        <v>975</v>
      </c>
      <c r="L48" s="321" t="s">
        <v>975</v>
      </c>
      <c r="M48" s="320" t="s">
        <v>975</v>
      </c>
      <c r="N48" s="321" t="str">
        <f>RegionSelect!$B$2</f>
        <v>Ethiopia</v>
      </c>
      <c r="P48" s="195" t="s">
        <v>194</v>
      </c>
      <c r="Q48" s="195"/>
      <c r="R48" s="195"/>
      <c r="S48" s="195"/>
      <c r="T48" s="195"/>
      <c r="U48" s="195"/>
      <c r="V48" s="195"/>
      <c r="W48" s="195"/>
      <c r="X48" s="195"/>
      <c r="Z48" t="s">
        <v>2298</v>
      </c>
    </row>
    <row r="49" spans="1:27" x14ac:dyDescent="0.25">
      <c r="A49" s="355" t="s">
        <v>2164</v>
      </c>
      <c r="B49" s="356" t="s">
        <v>2267</v>
      </c>
      <c r="C49" s="356"/>
      <c r="D49" s="353">
        <v>38</v>
      </c>
      <c r="E49" s="64" t="s">
        <v>2294</v>
      </c>
      <c r="F49" s="58" t="s">
        <v>2291</v>
      </c>
      <c r="G49" s="321" t="s">
        <v>154</v>
      </c>
      <c r="H49" s="321" t="s">
        <v>2789</v>
      </c>
      <c r="I49" s="321" t="s">
        <v>66</v>
      </c>
      <c r="J49" s="320" t="s">
        <v>247</v>
      </c>
      <c r="K49" s="64" t="s">
        <v>975</v>
      </c>
      <c r="L49" s="319" t="s">
        <v>975</v>
      </c>
      <c r="M49" s="320" t="s">
        <v>975</v>
      </c>
      <c r="N49" s="372" t="str">
        <f>RegionSelect!$B$2</f>
        <v>Ethiopia</v>
      </c>
      <c r="O49" s="145">
        <f>IFERROR(VLOOKUP(_xlfn.CONCAT(AA49,RegionSelect!$C$2),RegionalData!$C:$S,13,FALSE),VLOOKUP(_xlfn.CONCAT(AA49,"ET"),RegionalData!$C:$S,13,FALSE))</f>
        <v>0.40500000000000003</v>
      </c>
      <c r="P49" s="195" t="s">
        <v>1863</v>
      </c>
      <c r="Q49" s="195"/>
      <c r="R49" s="195"/>
      <c r="S49" s="89">
        <v>1</v>
      </c>
      <c r="T49">
        <v>1</v>
      </c>
      <c r="V49" s="6">
        <v>15</v>
      </c>
      <c r="AA49" t="s">
        <v>2983</v>
      </c>
    </row>
    <row r="50" spans="1:27" x14ac:dyDescent="0.25">
      <c r="A50" s="355" t="s">
        <v>2164</v>
      </c>
      <c r="B50" s="356" t="s">
        <v>2267</v>
      </c>
      <c r="C50" s="356"/>
      <c r="D50" s="353">
        <v>38</v>
      </c>
      <c r="E50" s="64" t="s">
        <v>2295</v>
      </c>
      <c r="F50" s="58" t="s">
        <v>2292</v>
      </c>
      <c r="G50" s="321" t="s">
        <v>154</v>
      </c>
      <c r="H50" s="321" t="s">
        <v>2789</v>
      </c>
      <c r="I50" s="321" t="s">
        <v>66</v>
      </c>
      <c r="J50" s="320" t="s">
        <v>156</v>
      </c>
      <c r="K50" s="64" t="s">
        <v>975</v>
      </c>
      <c r="L50" s="319" t="s">
        <v>975</v>
      </c>
      <c r="M50" s="320" t="s">
        <v>975</v>
      </c>
      <c r="N50" s="372" t="str">
        <f>RegionSelect!$B$2</f>
        <v>Ethiopia</v>
      </c>
      <c r="O50" s="195">
        <v>1</v>
      </c>
      <c r="P50" s="195" t="s">
        <v>212</v>
      </c>
      <c r="Q50" s="195"/>
      <c r="R50" s="195"/>
      <c r="S50" s="89">
        <v>1</v>
      </c>
      <c r="T50">
        <v>1</v>
      </c>
      <c r="V50" s="6">
        <v>15</v>
      </c>
    </row>
    <row r="51" spans="1:27" x14ac:dyDescent="0.25">
      <c r="A51" s="355" t="s">
        <v>2164</v>
      </c>
      <c r="B51" s="356" t="s">
        <v>2267</v>
      </c>
      <c r="C51" s="356"/>
      <c r="D51" s="353">
        <v>38</v>
      </c>
      <c r="E51" s="64" t="s">
        <v>2296</v>
      </c>
      <c r="F51" s="58" t="s">
        <v>2293</v>
      </c>
      <c r="G51" s="321" t="s">
        <v>154</v>
      </c>
      <c r="H51" s="321" t="s">
        <v>2789</v>
      </c>
      <c r="I51" s="321" t="s">
        <v>66</v>
      </c>
      <c r="J51" s="320" t="s">
        <v>253</v>
      </c>
      <c r="K51" s="64" t="s">
        <v>975</v>
      </c>
      <c r="L51" s="319" t="s">
        <v>975</v>
      </c>
      <c r="M51" s="320" t="s">
        <v>975</v>
      </c>
      <c r="N51" s="372" t="str">
        <f>RegionSelect!$B$2</f>
        <v>Ethiopia</v>
      </c>
      <c r="O51" s="145">
        <f>IFERROR(VLOOKUP(_xlfn.CONCAT(AA51,RegionSelect!$C$2),RegionalData!$C:$S,13,FALSE),VLOOKUP(_xlfn.CONCAT(AA51,"ET"),RegionalData!$C:$S,13,FALSE))</f>
        <v>1.9911686746987955E-2</v>
      </c>
      <c r="P51" s="195" t="s">
        <v>1944</v>
      </c>
      <c r="Q51" s="195"/>
      <c r="R51" s="195"/>
      <c r="S51" s="89">
        <v>1</v>
      </c>
      <c r="T51">
        <v>1</v>
      </c>
      <c r="V51" s="6">
        <v>15</v>
      </c>
      <c r="AA51" t="s">
        <v>2986</v>
      </c>
    </row>
    <row r="52" spans="1:27" x14ac:dyDescent="0.25">
      <c r="A52" s="355" t="s">
        <v>2164</v>
      </c>
      <c r="B52" s="356" t="s">
        <v>2267</v>
      </c>
      <c r="C52" s="356"/>
      <c r="D52" s="353">
        <v>39</v>
      </c>
      <c r="E52" s="64" t="str">
        <f>_xlfn.CONCAT("FH.FP.",D52)</f>
        <v>FH.FP.39</v>
      </c>
      <c r="F52" s="321" t="s">
        <v>2269</v>
      </c>
      <c r="G52" s="321" t="s">
        <v>154</v>
      </c>
      <c r="H52" s="321" t="s">
        <v>2789</v>
      </c>
      <c r="I52" s="321" t="s">
        <v>66</v>
      </c>
      <c r="J52" s="320" t="s">
        <v>253</v>
      </c>
      <c r="K52" s="64" t="s">
        <v>975</v>
      </c>
      <c r="L52" s="319" t="s">
        <v>975</v>
      </c>
      <c r="M52" s="320" t="s">
        <v>975</v>
      </c>
      <c r="N52" s="372" t="str">
        <f>RegionSelect!$B$2</f>
        <v>Ethiopia</v>
      </c>
      <c r="O52" s="145">
        <f>IFERROR(VLOOKUP(_xlfn.CONCAT(AA52,RegionSelect!$C$2),RegionalData!$C:$S,13,FALSE),VLOOKUP(_xlfn.CONCAT(AA52,"ET"),RegionalData!$C:$S,13,FALSE))</f>
        <v>0.27813253012048195</v>
      </c>
      <c r="P52" s="195" t="s">
        <v>1863</v>
      </c>
      <c r="Q52" s="195"/>
      <c r="R52" s="195"/>
      <c r="S52" s="89">
        <v>1</v>
      </c>
      <c r="U52">
        <v>4</v>
      </c>
      <c r="V52" s="6">
        <v>5</v>
      </c>
      <c r="AA52" t="s">
        <v>2988</v>
      </c>
    </row>
    <row r="53" spans="1:27" x14ac:dyDescent="0.25">
      <c r="A53" s="355" t="s">
        <v>2164</v>
      </c>
      <c r="B53" s="356" t="s">
        <v>2267</v>
      </c>
      <c r="C53" s="356"/>
      <c r="D53" s="353">
        <v>40</v>
      </c>
      <c r="E53" s="64" t="str">
        <f t="shared" ref="E53:E75" si="2">_xlfn.CONCAT("FH.FP.",D53)</f>
        <v>FH.FP.40</v>
      </c>
      <c r="F53" s="321" t="s">
        <v>2290</v>
      </c>
      <c r="G53" s="321" t="s">
        <v>154</v>
      </c>
      <c r="H53" s="321" t="s">
        <v>2789</v>
      </c>
      <c r="I53" s="321" t="s">
        <v>66</v>
      </c>
      <c r="J53" s="320" t="s">
        <v>253</v>
      </c>
      <c r="K53" s="64" t="s">
        <v>975</v>
      </c>
      <c r="L53" s="319" t="s">
        <v>975</v>
      </c>
      <c r="M53" s="320" t="s">
        <v>194</v>
      </c>
      <c r="N53" s="372" t="str">
        <f>RegionSelect!$B$2</f>
        <v>Ethiopia</v>
      </c>
      <c r="O53" s="145">
        <f>IFERROR(VLOOKUP(_xlfn.CONCAT(AA53,RegionSelect!$C$2),RegionalData!$C:$S,13,FALSE),VLOOKUP(_xlfn.CONCAT(AA53,"ET"),RegionalData!$C:$S,13,FALSE))</f>
        <v>0.11548192771084338</v>
      </c>
      <c r="P53" s="195" t="s">
        <v>1863</v>
      </c>
      <c r="Q53" s="195">
        <f>1/4</f>
        <v>0.25</v>
      </c>
      <c r="R53" s="195" t="s">
        <v>2624</v>
      </c>
      <c r="S53" s="89">
        <v>1</v>
      </c>
      <c r="T53">
        <v>1</v>
      </c>
      <c r="V53" s="6">
        <v>20</v>
      </c>
      <c r="AA53" t="s">
        <v>2989</v>
      </c>
    </row>
    <row r="54" spans="1:27" x14ac:dyDescent="0.25">
      <c r="A54" s="355" t="s">
        <v>2164</v>
      </c>
      <c r="B54" s="356" t="s">
        <v>2267</v>
      </c>
      <c r="C54" s="356"/>
      <c r="D54" s="353">
        <v>41</v>
      </c>
      <c r="E54" s="64" t="str">
        <f t="shared" si="2"/>
        <v>FH.FP.41</v>
      </c>
      <c r="F54" s="321" t="s">
        <v>2289</v>
      </c>
      <c r="G54" s="321" t="s">
        <v>154</v>
      </c>
      <c r="H54" s="321" t="s">
        <v>2789</v>
      </c>
      <c r="I54" s="321" t="s">
        <v>66</v>
      </c>
      <c r="J54" s="320" t="s">
        <v>253</v>
      </c>
      <c r="K54" s="64" t="s">
        <v>975</v>
      </c>
      <c r="L54" s="321" t="s">
        <v>194</v>
      </c>
      <c r="M54" s="320" t="s">
        <v>194</v>
      </c>
      <c r="N54" s="372" t="str">
        <f>RegionSelect!$B$2</f>
        <v>Ethiopia</v>
      </c>
      <c r="O54" s="195">
        <f>O53</f>
        <v>0.11548192771084338</v>
      </c>
      <c r="P54" s="195" t="s">
        <v>1863</v>
      </c>
      <c r="Q54" s="195">
        <f>1/4</f>
        <v>0.25</v>
      </c>
      <c r="R54" s="195" t="s">
        <v>2624</v>
      </c>
      <c r="S54" s="89">
        <v>1</v>
      </c>
      <c r="T54">
        <v>1</v>
      </c>
      <c r="V54" s="6">
        <v>20</v>
      </c>
      <c r="AA54" t="s">
        <v>2989</v>
      </c>
    </row>
    <row r="55" spans="1:27" x14ac:dyDescent="0.25">
      <c r="A55" s="355" t="s">
        <v>2164</v>
      </c>
      <c r="B55" s="356" t="s">
        <v>2267</v>
      </c>
      <c r="C55" s="356"/>
      <c r="D55" s="353">
        <v>42</v>
      </c>
      <c r="E55" s="64" t="str">
        <f t="shared" si="2"/>
        <v>FH.FP.42</v>
      </c>
      <c r="F55" s="321" t="s">
        <v>2270</v>
      </c>
      <c r="G55" s="321" t="s">
        <v>154</v>
      </c>
      <c r="H55" s="321" t="s">
        <v>2789</v>
      </c>
      <c r="I55" s="321" t="s">
        <v>66</v>
      </c>
      <c r="J55" s="320" t="s">
        <v>253</v>
      </c>
      <c r="K55" s="64" t="s">
        <v>975</v>
      </c>
      <c r="L55" s="319" t="s">
        <v>975</v>
      </c>
      <c r="M55" s="320" t="s">
        <v>975</v>
      </c>
      <c r="N55" s="321" t="str">
        <f>RegionSelect!$B$2</f>
        <v>Ethiopia</v>
      </c>
      <c r="O55" s="371"/>
      <c r="P55" s="195" t="s">
        <v>1863</v>
      </c>
      <c r="Q55" s="195"/>
      <c r="R55" s="195"/>
      <c r="S55" s="89">
        <v>1</v>
      </c>
      <c r="T55">
        <v>1</v>
      </c>
      <c r="U55" s="195"/>
      <c r="V55" s="6">
        <v>15</v>
      </c>
      <c r="Y55" t="s">
        <v>975</v>
      </c>
      <c r="Z55" s="338" t="s">
        <v>2233</v>
      </c>
    </row>
    <row r="56" spans="1:27" x14ac:dyDescent="0.25">
      <c r="A56" s="355" t="s">
        <v>2164</v>
      </c>
      <c r="B56" s="356" t="s">
        <v>2267</v>
      </c>
      <c r="C56" s="356"/>
      <c r="D56" s="353">
        <v>43</v>
      </c>
      <c r="E56" s="64" t="str">
        <f t="shared" si="2"/>
        <v>FH.FP.43</v>
      </c>
      <c r="F56" s="321" t="s">
        <v>2271</v>
      </c>
      <c r="G56" s="321" t="s">
        <v>154</v>
      </c>
      <c r="H56" s="321" t="s">
        <v>2791</v>
      </c>
      <c r="I56" s="321" t="s">
        <v>66</v>
      </c>
      <c r="J56" s="320" t="s">
        <v>156</v>
      </c>
      <c r="K56" s="64" t="s">
        <v>975</v>
      </c>
      <c r="L56" s="321" t="s">
        <v>194</v>
      </c>
      <c r="M56" s="320" t="s">
        <v>194</v>
      </c>
      <c r="N56" s="321" t="str">
        <f>RegionSelect!$B$2</f>
        <v>Ethiopia</v>
      </c>
      <c r="O56" s="145">
        <f>IFERROR(VLOOKUP(_xlfn.CONCAT(AA56,RegionSelect!$C$2),RegionalData!$C:$S,13,FALSE),VLOOKUP(_xlfn.CONCAT(AA56,"ET"),RegionalData!$C:$S,13,FALSE))</f>
        <v>9.6000000000000002E-2</v>
      </c>
      <c r="P56" s="195" t="s">
        <v>2196</v>
      </c>
      <c r="Q56" s="195"/>
      <c r="R56" s="195"/>
      <c r="S56" s="147">
        <v>1</v>
      </c>
      <c r="T56">
        <v>1</v>
      </c>
      <c r="U56" s="195"/>
      <c r="V56" s="341">
        <v>20</v>
      </c>
      <c r="Y56" t="s">
        <v>975</v>
      </c>
      <c r="AA56" t="s">
        <v>2991</v>
      </c>
    </row>
    <row r="57" spans="1:27" x14ac:dyDescent="0.25">
      <c r="A57" s="355" t="s">
        <v>2164</v>
      </c>
      <c r="B57" s="356" t="s">
        <v>2267</v>
      </c>
      <c r="C57" s="356"/>
      <c r="D57" s="353">
        <v>44</v>
      </c>
      <c r="E57" s="64" t="str">
        <f t="shared" si="2"/>
        <v>FH.FP.44</v>
      </c>
      <c r="F57" s="321" t="s">
        <v>2272</v>
      </c>
      <c r="G57" s="321" t="s">
        <v>154</v>
      </c>
      <c r="H57" s="321" t="s">
        <v>2791</v>
      </c>
      <c r="I57" s="321" t="s">
        <v>66</v>
      </c>
      <c r="J57" s="320" t="s">
        <v>156</v>
      </c>
      <c r="K57" s="64" t="s">
        <v>975</v>
      </c>
      <c r="L57" s="319" t="s">
        <v>975</v>
      </c>
      <c r="M57" s="320" t="s">
        <v>975</v>
      </c>
      <c r="N57" s="321" t="str">
        <f>RegionSelect!$B$2</f>
        <v>Ethiopia</v>
      </c>
      <c r="O57" s="145">
        <f>O56</f>
        <v>9.6000000000000002E-2</v>
      </c>
      <c r="P57" s="195" t="s">
        <v>2196</v>
      </c>
      <c r="Q57" s="195"/>
      <c r="R57" s="195" t="s">
        <v>2299</v>
      </c>
      <c r="S57" s="147">
        <v>1</v>
      </c>
      <c r="T57">
        <v>1</v>
      </c>
      <c r="U57" s="195"/>
      <c r="V57" s="341">
        <v>10</v>
      </c>
      <c r="Y57" t="s">
        <v>975</v>
      </c>
      <c r="AA57" t="s">
        <v>2991</v>
      </c>
    </row>
    <row r="58" spans="1:27" x14ac:dyDescent="0.25">
      <c r="A58" s="355" t="s">
        <v>2164</v>
      </c>
      <c r="B58" s="356" t="s">
        <v>2267</v>
      </c>
      <c r="C58" s="356"/>
      <c r="D58" s="353">
        <v>45</v>
      </c>
      <c r="E58" s="64" t="str">
        <f t="shared" si="2"/>
        <v>FH.FP.45</v>
      </c>
      <c r="F58" s="321" t="s">
        <v>2273</v>
      </c>
      <c r="G58" s="321" t="s">
        <v>2249</v>
      </c>
      <c r="H58" s="321" t="s">
        <v>206</v>
      </c>
      <c r="I58" s="321" t="s">
        <v>2241</v>
      </c>
      <c r="J58" s="320" t="s">
        <v>247</v>
      </c>
      <c r="K58" s="64" t="s">
        <v>975</v>
      </c>
      <c r="L58" s="321" t="s">
        <v>975</v>
      </c>
      <c r="M58" s="320" t="s">
        <v>975</v>
      </c>
      <c r="N58" s="321" t="str">
        <f>RegionSelect!$B$2</f>
        <v>Ethiopia</v>
      </c>
      <c r="O58" s="145">
        <v>1</v>
      </c>
      <c r="P58" s="195" t="s">
        <v>212</v>
      </c>
      <c r="Q58" s="195"/>
      <c r="R58" s="195"/>
      <c r="S58" s="89">
        <v>1</v>
      </c>
      <c r="T58" s="195"/>
      <c r="U58" s="195"/>
      <c r="Y58" t="s">
        <v>975</v>
      </c>
      <c r="Z58" s="342" t="s">
        <v>2300</v>
      </c>
    </row>
    <row r="59" spans="1:27" x14ac:dyDescent="0.25">
      <c r="A59" s="355" t="s">
        <v>2164</v>
      </c>
      <c r="B59" s="356" t="s">
        <v>2267</v>
      </c>
      <c r="C59" s="356"/>
      <c r="D59" s="353">
        <v>46</v>
      </c>
      <c r="E59" s="64" t="str">
        <f t="shared" si="2"/>
        <v>FH.FP.46</v>
      </c>
      <c r="F59" s="321" t="s">
        <v>2274</v>
      </c>
      <c r="G59" s="321" t="s">
        <v>154</v>
      </c>
      <c r="H59" s="321" t="s">
        <v>2791</v>
      </c>
      <c r="I59" s="321" t="s">
        <v>2241</v>
      </c>
      <c r="J59" s="320" t="s">
        <v>253</v>
      </c>
      <c r="K59" s="64" t="s">
        <v>975</v>
      </c>
      <c r="L59" s="321" t="s">
        <v>975</v>
      </c>
      <c r="M59" s="320" t="s">
        <v>194</v>
      </c>
      <c r="N59" s="321" t="str">
        <f>RegionSelect!$B$2</f>
        <v>Ethiopia</v>
      </c>
      <c r="O59" s="145">
        <f>IFERROR(VLOOKUP(_xlfn.CONCAT(AA59,RegionSelect!$C$2),RegionalData!$C:$S,13,FALSE),VLOOKUP(_xlfn.CONCAT(AA59,"ET"),RegionalData!$C:$S,13,FALSE))</f>
        <v>0.14000000000000001</v>
      </c>
      <c r="P59" s="195" t="s">
        <v>1863</v>
      </c>
      <c r="Q59" s="195"/>
      <c r="R59" s="195"/>
      <c r="S59" s="89">
        <v>1</v>
      </c>
      <c r="T59" s="234">
        <v>1</v>
      </c>
      <c r="U59" s="346">
        <f>1/5</f>
        <v>0.2</v>
      </c>
      <c r="V59" s="6">
        <v>10</v>
      </c>
      <c r="Y59" t="s">
        <v>975</v>
      </c>
      <c r="Z59" s="234" t="s">
        <v>2521</v>
      </c>
      <c r="AA59" t="s">
        <v>2996</v>
      </c>
    </row>
    <row r="60" spans="1:27" x14ac:dyDescent="0.25">
      <c r="A60" s="355" t="s">
        <v>2164</v>
      </c>
      <c r="B60" s="356" t="s">
        <v>2267</v>
      </c>
      <c r="C60" s="356"/>
      <c r="D60" s="353">
        <v>47</v>
      </c>
      <c r="E60" s="64" t="str">
        <f t="shared" si="2"/>
        <v>FH.FP.47</v>
      </c>
      <c r="F60" s="321" t="s">
        <v>2275</v>
      </c>
      <c r="G60" s="321" t="s">
        <v>2249</v>
      </c>
      <c r="H60" s="321" t="s">
        <v>2789</v>
      </c>
      <c r="I60" s="321" t="s">
        <v>2241</v>
      </c>
      <c r="J60" s="320" t="s">
        <v>247</v>
      </c>
      <c r="K60" s="64" t="s">
        <v>975</v>
      </c>
      <c r="L60" s="321" t="s">
        <v>975</v>
      </c>
      <c r="M60" s="320" t="s">
        <v>975</v>
      </c>
      <c r="N60" s="321" t="str">
        <f>RegionSelect!$B$2</f>
        <v>Ethiopia</v>
      </c>
      <c r="O60" s="145">
        <v>1</v>
      </c>
      <c r="P60" s="195" t="s">
        <v>212</v>
      </c>
      <c r="Q60" s="195"/>
      <c r="R60" s="195"/>
      <c r="S60" s="89">
        <v>1</v>
      </c>
      <c r="T60" s="195"/>
      <c r="U60" s="195"/>
      <c r="Y60" t="s">
        <v>975</v>
      </c>
      <c r="Z60" s="342" t="s">
        <v>2300</v>
      </c>
    </row>
    <row r="61" spans="1:27" x14ac:dyDescent="0.25">
      <c r="A61" s="355" t="s">
        <v>2164</v>
      </c>
      <c r="B61" s="356" t="s">
        <v>2267</v>
      </c>
      <c r="C61" s="356"/>
      <c r="D61" s="353">
        <v>48</v>
      </c>
      <c r="E61" s="64" t="str">
        <f t="shared" si="2"/>
        <v>FH.FP.48</v>
      </c>
      <c r="F61" s="321" t="s">
        <v>2276</v>
      </c>
      <c r="G61" s="321" t="s">
        <v>154</v>
      </c>
      <c r="H61" s="321" t="s">
        <v>2789</v>
      </c>
      <c r="I61" s="321" t="s">
        <v>68</v>
      </c>
      <c r="J61" s="320" t="s">
        <v>187</v>
      </c>
      <c r="K61" s="64" t="s">
        <v>975</v>
      </c>
      <c r="L61" s="319" t="s">
        <v>975</v>
      </c>
      <c r="M61" s="320" t="s">
        <v>975</v>
      </c>
      <c r="N61" s="321" t="str">
        <f>RegionSelect!$B$2</f>
        <v>Ethiopia</v>
      </c>
      <c r="O61" s="195">
        <v>1</v>
      </c>
      <c r="P61" s="195" t="s">
        <v>212</v>
      </c>
      <c r="Q61" s="195"/>
      <c r="R61" s="195"/>
      <c r="S61" s="89">
        <v>1</v>
      </c>
      <c r="T61">
        <v>2</v>
      </c>
      <c r="W61" s="195"/>
      <c r="X61" s="195"/>
      <c r="Z61" s="342" t="s">
        <v>2253</v>
      </c>
    </row>
    <row r="62" spans="1:27" x14ac:dyDescent="0.25">
      <c r="A62" s="355" t="s">
        <v>2164</v>
      </c>
      <c r="B62" s="356" t="s">
        <v>2267</v>
      </c>
      <c r="C62" s="356"/>
      <c r="D62" s="353">
        <v>49</v>
      </c>
      <c r="E62" s="64" t="str">
        <f t="shared" si="2"/>
        <v>FH.FP.49</v>
      </c>
      <c r="F62" s="321" t="s">
        <v>2277</v>
      </c>
      <c r="G62" s="321" t="s">
        <v>2249</v>
      </c>
      <c r="H62" s="321" t="s">
        <v>206</v>
      </c>
      <c r="I62" s="321" t="s">
        <v>2241</v>
      </c>
      <c r="J62" s="320" t="s">
        <v>253</v>
      </c>
      <c r="K62" s="64" t="s">
        <v>975</v>
      </c>
      <c r="L62" s="319" t="s">
        <v>975</v>
      </c>
      <c r="M62" s="320" t="s">
        <v>975</v>
      </c>
      <c r="N62" s="321" t="str">
        <f>RegionSelect!$B$2</f>
        <v>Ethiopia</v>
      </c>
      <c r="P62" s="195" t="s">
        <v>194</v>
      </c>
      <c r="Q62" s="195"/>
      <c r="R62" s="195"/>
      <c r="S62" s="195"/>
      <c r="T62" s="195"/>
      <c r="U62" s="195"/>
      <c r="Y62" t="s">
        <v>975</v>
      </c>
      <c r="Z62" s="342" t="s">
        <v>2300</v>
      </c>
    </row>
    <row r="63" spans="1:27" x14ac:dyDescent="0.25">
      <c r="A63" s="355" t="s">
        <v>2164</v>
      </c>
      <c r="B63" s="356" t="s">
        <v>2267</v>
      </c>
      <c r="C63" s="356"/>
      <c r="D63" s="353">
        <v>50</v>
      </c>
      <c r="E63" s="64" t="str">
        <f t="shared" si="2"/>
        <v>FH.FP.50</v>
      </c>
      <c r="F63" s="321" t="s">
        <v>2278</v>
      </c>
      <c r="G63" s="321" t="s">
        <v>154</v>
      </c>
      <c r="H63" s="321" t="s">
        <v>2789</v>
      </c>
      <c r="I63" s="321" t="s">
        <v>66</v>
      </c>
      <c r="J63" s="320" t="s">
        <v>187</v>
      </c>
      <c r="K63" s="64" t="s">
        <v>975</v>
      </c>
      <c r="L63" s="319" t="s">
        <v>975</v>
      </c>
      <c r="M63" s="320" t="s">
        <v>975</v>
      </c>
      <c r="N63" s="321" t="str">
        <f>RegionSelect!$B$2</f>
        <v>Ethiopia</v>
      </c>
      <c r="P63" s="195" t="s">
        <v>194</v>
      </c>
      <c r="Q63" s="195"/>
      <c r="R63" s="195"/>
      <c r="S63" s="195"/>
      <c r="T63" s="195"/>
      <c r="U63" s="195"/>
      <c r="Z63" s="342" t="s">
        <v>2301</v>
      </c>
    </row>
    <row r="64" spans="1:27" x14ac:dyDescent="0.25">
      <c r="A64" s="355" t="s">
        <v>2164</v>
      </c>
      <c r="B64" s="356" t="s">
        <v>2267</v>
      </c>
      <c r="C64" s="356"/>
      <c r="D64" s="353">
        <v>51</v>
      </c>
      <c r="E64" s="64" t="str">
        <f t="shared" si="2"/>
        <v>FH.FP.51</v>
      </c>
      <c r="F64" s="321" t="s">
        <v>2279</v>
      </c>
      <c r="G64" s="321" t="s">
        <v>154</v>
      </c>
      <c r="H64" s="321" t="s">
        <v>2789</v>
      </c>
      <c r="I64" s="321" t="s">
        <v>66</v>
      </c>
      <c r="J64" s="320" t="s">
        <v>187</v>
      </c>
      <c r="K64" s="64" t="s">
        <v>975</v>
      </c>
      <c r="L64" s="319" t="s">
        <v>975</v>
      </c>
      <c r="M64" s="320" t="s">
        <v>975</v>
      </c>
      <c r="N64" s="321" t="str">
        <f>RegionSelect!$B$2</f>
        <v>Ethiopia</v>
      </c>
      <c r="P64" s="195" t="s">
        <v>194</v>
      </c>
      <c r="Q64" s="195"/>
      <c r="R64" s="195"/>
      <c r="S64" s="195"/>
      <c r="T64" s="195"/>
      <c r="U64" s="195"/>
      <c r="Z64" s="234" t="s">
        <v>2773</v>
      </c>
    </row>
    <row r="65" spans="1:27" x14ac:dyDescent="0.25">
      <c r="A65" s="355" t="s">
        <v>2164</v>
      </c>
      <c r="B65" s="356" t="s">
        <v>2267</v>
      </c>
      <c r="C65" s="356"/>
      <c r="D65" s="353">
        <v>52</v>
      </c>
      <c r="E65" s="64" t="str">
        <f t="shared" si="2"/>
        <v>FH.FP.52</v>
      </c>
      <c r="F65" s="321" t="s">
        <v>2280</v>
      </c>
      <c r="G65" s="321" t="s">
        <v>2249</v>
      </c>
      <c r="H65" s="321" t="s">
        <v>206</v>
      </c>
      <c r="I65" s="321" t="s">
        <v>2241</v>
      </c>
      <c r="J65" s="320" t="s">
        <v>194</v>
      </c>
      <c r="K65" s="64" t="s">
        <v>975</v>
      </c>
      <c r="L65" s="319" t="s">
        <v>975</v>
      </c>
      <c r="M65" s="320" t="s">
        <v>975</v>
      </c>
      <c r="N65" s="321" t="str">
        <f>RegionSelect!$B$2</f>
        <v>Ethiopia</v>
      </c>
      <c r="P65" s="195" t="s">
        <v>194</v>
      </c>
      <c r="Q65" s="195"/>
      <c r="R65" s="195"/>
      <c r="S65" s="195"/>
      <c r="T65" s="195"/>
      <c r="U65" s="195"/>
      <c r="Y65" t="s">
        <v>975</v>
      </c>
      <c r="Z65" s="342" t="s">
        <v>2253</v>
      </c>
    </row>
    <row r="66" spans="1:27" x14ac:dyDescent="0.25">
      <c r="A66" s="355" t="s">
        <v>2164</v>
      </c>
      <c r="B66" s="356" t="s">
        <v>2267</v>
      </c>
      <c r="C66" s="356"/>
      <c r="D66" s="353">
        <v>53</v>
      </c>
      <c r="E66" s="64" t="str">
        <f t="shared" si="2"/>
        <v>FH.FP.53</v>
      </c>
      <c r="F66" s="321" t="s">
        <v>2281</v>
      </c>
      <c r="G66" s="321" t="s">
        <v>2249</v>
      </c>
      <c r="H66" s="321" t="s">
        <v>206</v>
      </c>
      <c r="I66" s="321" t="s">
        <v>2241</v>
      </c>
      <c r="J66" s="320" t="s">
        <v>194</v>
      </c>
      <c r="K66" s="64" t="s">
        <v>975</v>
      </c>
      <c r="L66" s="319" t="s">
        <v>975</v>
      </c>
      <c r="M66" s="320" t="s">
        <v>975</v>
      </c>
      <c r="N66" s="321" t="str">
        <f>RegionSelect!$B$2</f>
        <v>Ethiopia</v>
      </c>
      <c r="P66" s="195" t="s">
        <v>194</v>
      </c>
      <c r="Q66" s="195"/>
      <c r="R66" s="195"/>
      <c r="S66" s="195"/>
      <c r="T66" s="195"/>
      <c r="U66" s="195"/>
      <c r="Y66" t="s">
        <v>975</v>
      </c>
      <c r="Z66" s="342" t="s">
        <v>2253</v>
      </c>
    </row>
    <row r="67" spans="1:27" x14ac:dyDescent="0.25">
      <c r="A67" s="355" t="s">
        <v>2164</v>
      </c>
      <c r="B67" s="356" t="s">
        <v>2267</v>
      </c>
      <c r="C67" s="356"/>
      <c r="D67" s="353">
        <v>54</v>
      </c>
      <c r="E67" s="64" t="str">
        <f t="shared" si="2"/>
        <v>FH.FP.54</v>
      </c>
      <c r="F67" s="321" t="s">
        <v>2282</v>
      </c>
      <c r="G67" s="321" t="s">
        <v>154</v>
      </c>
      <c r="H67" s="321" t="s">
        <v>2791</v>
      </c>
      <c r="I67" s="321" t="s">
        <v>2241</v>
      </c>
      <c r="J67" s="320" t="s">
        <v>253</v>
      </c>
      <c r="K67" s="64" t="s">
        <v>975</v>
      </c>
      <c r="L67" s="319" t="s">
        <v>975</v>
      </c>
      <c r="M67" s="320" t="s">
        <v>194</v>
      </c>
      <c r="N67" s="321" t="str">
        <f>RegionSelect!$B$2</f>
        <v>Ethiopia</v>
      </c>
      <c r="O67" s="145">
        <f>IFERROR(VLOOKUP(_xlfn.CONCAT(AA67,RegionSelect!$C$2),RegionalData!$C:$S,13,FALSE),VLOOKUP(_xlfn.CONCAT(AA67,"ET"),RegionalData!$C:$S,13,FALSE))</f>
        <v>6.5000000000000002E-2</v>
      </c>
      <c r="P67" s="321" t="s">
        <v>2196</v>
      </c>
      <c r="Q67" s="195"/>
      <c r="R67" s="195"/>
      <c r="S67" s="130">
        <v>0.98</v>
      </c>
      <c r="T67">
        <v>1</v>
      </c>
      <c r="V67" s="6">
        <v>5</v>
      </c>
      <c r="Y67" t="s">
        <v>975</v>
      </c>
      <c r="Z67" s="234"/>
      <c r="AA67" t="s">
        <v>3000</v>
      </c>
    </row>
    <row r="68" spans="1:27" x14ac:dyDescent="0.25">
      <c r="A68" s="355" t="s">
        <v>2164</v>
      </c>
      <c r="B68" s="356" t="s">
        <v>2267</v>
      </c>
      <c r="C68" s="356"/>
      <c r="D68" s="353">
        <v>55</v>
      </c>
      <c r="E68" s="64" t="str">
        <f t="shared" si="2"/>
        <v>FH.FP.55</v>
      </c>
      <c r="F68" s="321" t="s">
        <v>2303</v>
      </c>
      <c r="G68" s="321" t="s">
        <v>154</v>
      </c>
      <c r="H68" s="321" t="s">
        <v>2791</v>
      </c>
      <c r="I68" s="321" t="s">
        <v>2241</v>
      </c>
      <c r="J68" s="320" t="s">
        <v>253</v>
      </c>
      <c r="K68" s="64" t="s">
        <v>975</v>
      </c>
      <c r="L68" s="319" t="s">
        <v>975</v>
      </c>
      <c r="M68" s="320" t="s">
        <v>194</v>
      </c>
      <c r="N68" s="321" t="str">
        <f>RegionSelect!$B$2</f>
        <v>Ethiopia</v>
      </c>
      <c r="O68" s="195">
        <f>O67</f>
        <v>6.5000000000000002E-2</v>
      </c>
      <c r="P68" s="321" t="s">
        <v>2196</v>
      </c>
      <c r="Q68" s="195"/>
      <c r="R68" s="195"/>
      <c r="S68" s="89">
        <f>S67</f>
        <v>0.98</v>
      </c>
      <c r="T68">
        <v>3</v>
      </c>
      <c r="V68" s="6">
        <v>5</v>
      </c>
      <c r="Y68" t="s">
        <v>975</v>
      </c>
      <c r="Z68" s="234"/>
      <c r="AA68" t="s">
        <v>3000</v>
      </c>
    </row>
    <row r="69" spans="1:27" x14ac:dyDescent="0.25">
      <c r="A69" s="355" t="s">
        <v>2164</v>
      </c>
      <c r="B69" s="356" t="s">
        <v>2267</v>
      </c>
      <c r="C69" s="356"/>
      <c r="D69" s="353">
        <v>56</v>
      </c>
      <c r="E69" s="64" t="str">
        <f t="shared" si="2"/>
        <v>FH.FP.56</v>
      </c>
      <c r="F69" s="321" t="s">
        <v>2283</v>
      </c>
      <c r="G69" s="321" t="s">
        <v>154</v>
      </c>
      <c r="H69" s="321" t="s">
        <v>2791</v>
      </c>
      <c r="I69" s="321" t="s">
        <v>2241</v>
      </c>
      <c r="J69" s="320" t="s">
        <v>253</v>
      </c>
      <c r="K69" s="64" t="s">
        <v>975</v>
      </c>
      <c r="L69" s="319" t="s">
        <v>975</v>
      </c>
      <c r="M69" s="320" t="s">
        <v>194</v>
      </c>
      <c r="N69" s="321" t="str">
        <f>RegionSelect!$B$2</f>
        <v>Ethiopia</v>
      </c>
      <c r="O69" s="145">
        <f>IFERROR(VLOOKUP(_xlfn.CONCAT(AA69,RegionSelect!$C$2),RegionalData!$C:$S,13,FALSE),VLOOKUP(_xlfn.CONCAT(AA69,"ET"),RegionalData!$C:$S,13,FALSE))</f>
        <v>0.14800000000000002</v>
      </c>
      <c r="P69" s="321" t="s">
        <v>2196</v>
      </c>
      <c r="Q69" s="195"/>
      <c r="R69" s="195" t="s">
        <v>2530</v>
      </c>
      <c r="S69" s="89">
        <f t="shared" ref="S69:S71" si="3">S68</f>
        <v>0.98</v>
      </c>
      <c r="T69">
        <v>1</v>
      </c>
      <c r="V69" s="341">
        <v>20</v>
      </c>
      <c r="Y69" t="s">
        <v>975</v>
      </c>
      <c r="Z69" s="234"/>
      <c r="AA69" t="s">
        <v>3002</v>
      </c>
    </row>
    <row r="70" spans="1:27" x14ac:dyDescent="0.25">
      <c r="A70" s="355" t="s">
        <v>2164</v>
      </c>
      <c r="B70" s="356" t="s">
        <v>2267</v>
      </c>
      <c r="C70" s="356"/>
      <c r="D70" s="353">
        <v>57</v>
      </c>
      <c r="E70" s="64" t="str">
        <f t="shared" si="2"/>
        <v>FH.FP.57</v>
      </c>
      <c r="F70" s="321" t="s">
        <v>2284</v>
      </c>
      <c r="G70" s="321" t="s">
        <v>154</v>
      </c>
      <c r="H70" s="321" t="s">
        <v>2791</v>
      </c>
      <c r="I70" s="321" t="s">
        <v>2241</v>
      </c>
      <c r="J70" s="320" t="s">
        <v>253</v>
      </c>
      <c r="K70" s="64" t="s">
        <v>975</v>
      </c>
      <c r="L70" s="319" t="s">
        <v>975</v>
      </c>
      <c r="M70" s="320" t="s">
        <v>194</v>
      </c>
      <c r="N70" s="321" t="str">
        <f>RegionSelect!$B$2</f>
        <v>Ethiopia</v>
      </c>
      <c r="O70" s="195">
        <f>O69</f>
        <v>0.14800000000000002</v>
      </c>
      <c r="P70" s="321" t="s">
        <v>2196</v>
      </c>
      <c r="Q70" s="195"/>
      <c r="R70" s="195" t="s">
        <v>2530</v>
      </c>
      <c r="S70" s="89">
        <f t="shared" si="3"/>
        <v>0.98</v>
      </c>
      <c r="T70">
        <v>1</v>
      </c>
      <c r="V70" s="341">
        <v>20</v>
      </c>
      <c r="Y70" t="s">
        <v>975</v>
      </c>
      <c r="Z70" s="234"/>
      <c r="AA70" t="s">
        <v>3002</v>
      </c>
    </row>
    <row r="71" spans="1:27" x14ac:dyDescent="0.25">
      <c r="A71" s="355" t="s">
        <v>2164</v>
      </c>
      <c r="B71" s="356" t="s">
        <v>2267</v>
      </c>
      <c r="C71" s="356"/>
      <c r="D71" s="353">
        <v>58</v>
      </c>
      <c r="E71" s="64" t="str">
        <f t="shared" si="2"/>
        <v>FH.FP.58</v>
      </c>
      <c r="F71" s="321" t="s">
        <v>2285</v>
      </c>
      <c r="G71" s="321" t="s">
        <v>154</v>
      </c>
      <c r="H71" s="321" t="s">
        <v>2791</v>
      </c>
      <c r="I71" s="321" t="s">
        <v>2241</v>
      </c>
      <c r="J71" s="320" t="s">
        <v>253</v>
      </c>
      <c r="K71" s="64" t="s">
        <v>975</v>
      </c>
      <c r="L71" s="319" t="s">
        <v>975</v>
      </c>
      <c r="M71" s="320" t="s">
        <v>975</v>
      </c>
      <c r="N71" s="321" t="str">
        <f>RegionSelect!$B$2</f>
        <v>Ethiopia</v>
      </c>
      <c r="O71" s="195">
        <f>O67+O69</f>
        <v>0.21300000000000002</v>
      </c>
      <c r="P71" s="321" t="s">
        <v>2196</v>
      </c>
      <c r="Q71" s="346">
        <v>0.1</v>
      </c>
      <c r="R71" s="195" t="s">
        <v>2531</v>
      </c>
      <c r="S71" s="89">
        <f t="shared" si="3"/>
        <v>0.98</v>
      </c>
      <c r="T71">
        <v>1</v>
      </c>
      <c r="V71" s="341">
        <v>20</v>
      </c>
      <c r="Y71" t="s">
        <v>975</v>
      </c>
      <c r="Z71" s="234"/>
    </row>
    <row r="72" spans="1:27" x14ac:dyDescent="0.25">
      <c r="A72" s="355" t="s">
        <v>2164</v>
      </c>
      <c r="B72" s="356" t="s">
        <v>2267</v>
      </c>
      <c r="C72" s="356"/>
      <c r="D72" s="353">
        <v>59</v>
      </c>
      <c r="E72" s="64" t="str">
        <f t="shared" si="2"/>
        <v>FH.FP.59</v>
      </c>
      <c r="F72" s="321" t="s">
        <v>2286</v>
      </c>
      <c r="G72" s="321" t="s">
        <v>2249</v>
      </c>
      <c r="H72" s="321" t="s">
        <v>206</v>
      </c>
      <c r="I72" s="321" t="s">
        <v>2241</v>
      </c>
      <c r="J72" s="320" t="s">
        <v>194</v>
      </c>
      <c r="K72" s="64" t="s">
        <v>975</v>
      </c>
      <c r="L72" s="319" t="s">
        <v>975</v>
      </c>
      <c r="M72" s="320" t="s">
        <v>975</v>
      </c>
      <c r="N72" s="321" t="str">
        <f>RegionSelect!$B$2</f>
        <v>Ethiopia</v>
      </c>
      <c r="P72" s="195" t="s">
        <v>194</v>
      </c>
      <c r="Q72" s="195"/>
      <c r="R72" s="195"/>
      <c r="S72" s="195"/>
      <c r="T72" s="195"/>
      <c r="Y72" t="s">
        <v>975</v>
      </c>
      <c r="Z72" s="342" t="s">
        <v>2253</v>
      </c>
    </row>
    <row r="73" spans="1:27" x14ac:dyDescent="0.25">
      <c r="A73" s="355" t="s">
        <v>2164</v>
      </c>
      <c r="B73" s="356" t="s">
        <v>2267</v>
      </c>
      <c r="C73" s="356"/>
      <c r="D73" s="353">
        <v>60</v>
      </c>
      <c r="E73" s="64" t="str">
        <f t="shared" si="2"/>
        <v>FH.FP.60</v>
      </c>
      <c r="F73" s="321" t="s">
        <v>2287</v>
      </c>
      <c r="G73" s="321" t="s">
        <v>154</v>
      </c>
      <c r="H73" s="321" t="s">
        <v>2789</v>
      </c>
      <c r="I73" s="321" t="s">
        <v>66</v>
      </c>
      <c r="J73" s="320" t="s">
        <v>187</v>
      </c>
      <c r="K73" s="64" t="s">
        <v>975</v>
      </c>
      <c r="L73" s="319" t="s">
        <v>975</v>
      </c>
      <c r="M73" s="320" t="s">
        <v>194</v>
      </c>
      <c r="N73" s="321" t="str">
        <f>RegionSelect!$B$2</f>
        <v>Ethiopia</v>
      </c>
      <c r="P73" s="195" t="s">
        <v>194</v>
      </c>
      <c r="Q73" s="195"/>
      <c r="R73" s="195"/>
      <c r="S73" s="195"/>
      <c r="T73" s="195"/>
      <c r="Y73" t="s">
        <v>975</v>
      </c>
      <c r="Z73" s="342" t="s">
        <v>2253</v>
      </c>
    </row>
    <row r="74" spans="1:27" x14ac:dyDescent="0.25">
      <c r="A74" s="355" t="s">
        <v>2164</v>
      </c>
      <c r="B74" s="356" t="s">
        <v>2267</v>
      </c>
      <c r="C74" s="356"/>
      <c r="D74" s="353">
        <v>61</v>
      </c>
      <c r="E74" s="64" t="str">
        <f t="shared" si="2"/>
        <v>FH.FP.61</v>
      </c>
      <c r="F74" s="321" t="s">
        <v>2288</v>
      </c>
      <c r="G74" s="321" t="s">
        <v>154</v>
      </c>
      <c r="H74" s="321" t="s">
        <v>2789</v>
      </c>
      <c r="I74" s="321" t="s">
        <v>66</v>
      </c>
      <c r="J74" s="320" t="s">
        <v>156</v>
      </c>
      <c r="K74" s="64" t="s">
        <v>975</v>
      </c>
      <c r="L74" s="319" t="s">
        <v>975</v>
      </c>
      <c r="M74" s="320" t="s">
        <v>194</v>
      </c>
      <c r="N74" s="321" t="str">
        <f>RegionSelect!$B$2</f>
        <v>Ethiopia</v>
      </c>
      <c r="O74" s="195">
        <v>1</v>
      </c>
      <c r="P74" s="321" t="s">
        <v>212</v>
      </c>
      <c r="Q74" s="195"/>
      <c r="R74" s="195"/>
      <c r="S74" s="89">
        <v>1</v>
      </c>
      <c r="T74" s="195"/>
      <c r="Z74" s="234" t="s">
        <v>2197</v>
      </c>
    </row>
    <row r="75" spans="1:27" x14ac:dyDescent="0.25">
      <c r="A75" s="355" t="s">
        <v>2164</v>
      </c>
      <c r="B75" s="356" t="s">
        <v>2267</v>
      </c>
      <c r="C75" s="356"/>
      <c r="D75" s="353">
        <v>62</v>
      </c>
      <c r="E75" s="64" t="str">
        <f t="shared" si="2"/>
        <v>FH.FP.62</v>
      </c>
      <c r="F75" s="321" t="s">
        <v>2302</v>
      </c>
      <c r="G75" s="321" t="s">
        <v>154</v>
      </c>
      <c r="H75" s="321" t="s">
        <v>2791</v>
      </c>
      <c r="I75" s="321" t="s">
        <v>2241</v>
      </c>
      <c r="J75" s="320" t="s">
        <v>2545</v>
      </c>
      <c r="K75" s="64" t="s">
        <v>975</v>
      </c>
      <c r="L75" s="319" t="s">
        <v>975</v>
      </c>
      <c r="M75" s="320" t="s">
        <v>975</v>
      </c>
      <c r="N75" s="321" t="str">
        <f>RegionSelect!$B$2</f>
        <v>Ethiopia</v>
      </c>
      <c r="O75" s="146">
        <v>1</v>
      </c>
      <c r="P75" s="321" t="s">
        <v>2196</v>
      </c>
      <c r="Q75" s="195"/>
      <c r="R75" s="195"/>
      <c r="S75" s="89">
        <v>1</v>
      </c>
      <c r="U75" s="379">
        <f>1/10</f>
        <v>0.1</v>
      </c>
      <c r="V75" s="6">
        <v>10</v>
      </c>
      <c r="Y75" t="s">
        <v>975</v>
      </c>
    </row>
    <row r="76" spans="1:27" x14ac:dyDescent="0.25">
      <c r="A76" s="355" t="s">
        <v>2164</v>
      </c>
      <c r="B76" s="356" t="s">
        <v>70</v>
      </c>
      <c r="C76" s="356"/>
      <c r="D76" s="353">
        <v>63</v>
      </c>
      <c r="E76" s="344"/>
      <c r="F76" s="345" t="s">
        <v>2237</v>
      </c>
      <c r="N76" s="321" t="str">
        <f>RegionSelect!$B$2</f>
        <v>Ethiopia</v>
      </c>
    </row>
    <row r="77" spans="1:27" x14ac:dyDescent="0.25">
      <c r="A77" s="355" t="s">
        <v>2164</v>
      </c>
      <c r="B77" s="356" t="s">
        <v>70</v>
      </c>
      <c r="C77" s="356"/>
      <c r="D77" s="353">
        <v>64</v>
      </c>
      <c r="E77" s="64" t="str">
        <f t="shared" ref="E77:E108" si="4">_xlfn.CONCAT("FH.Ntr.",D77)</f>
        <v>FH.Ntr.64</v>
      </c>
      <c r="F77" s="321" t="s">
        <v>2304</v>
      </c>
      <c r="G77" s="321" t="s">
        <v>154</v>
      </c>
      <c r="H77" s="321" t="s">
        <v>2789</v>
      </c>
      <c r="I77" s="321" t="s">
        <v>70</v>
      </c>
      <c r="J77" s="320" t="s">
        <v>156</v>
      </c>
      <c r="K77" s="64" t="s">
        <v>975</v>
      </c>
      <c r="L77" s="319" t="s">
        <v>975</v>
      </c>
      <c r="M77" s="320" t="s">
        <v>975</v>
      </c>
      <c r="N77" s="321" t="str">
        <f>RegionSelect!$B$2</f>
        <v>Ethiopia</v>
      </c>
      <c r="P77" s="195" t="s">
        <v>194</v>
      </c>
      <c r="Q77" s="195"/>
      <c r="R77" s="195"/>
      <c r="S77" s="195"/>
      <c r="T77" s="195"/>
      <c r="Z77" t="s">
        <v>2213</v>
      </c>
    </row>
    <row r="78" spans="1:27" x14ac:dyDescent="0.25">
      <c r="A78" s="355" t="s">
        <v>2164</v>
      </c>
      <c r="B78" s="356" t="s">
        <v>70</v>
      </c>
      <c r="C78" s="356"/>
      <c r="D78" s="353">
        <v>65</v>
      </c>
      <c r="E78" s="64" t="str">
        <f t="shared" si="4"/>
        <v>FH.Ntr.65</v>
      </c>
      <c r="F78" s="321" t="s">
        <v>2305</v>
      </c>
      <c r="G78" s="319" t="s">
        <v>154</v>
      </c>
      <c r="H78" s="321" t="s">
        <v>2789</v>
      </c>
      <c r="I78" s="321" t="s">
        <v>70</v>
      </c>
      <c r="J78" s="320" t="s">
        <v>156</v>
      </c>
      <c r="K78" s="64" t="s">
        <v>975</v>
      </c>
      <c r="L78" s="319" t="s">
        <v>975</v>
      </c>
      <c r="M78" s="320" t="s">
        <v>975</v>
      </c>
      <c r="N78" s="321" t="str">
        <f>RegionSelect!$B$2</f>
        <v>Ethiopia</v>
      </c>
      <c r="P78" s="195" t="s">
        <v>194</v>
      </c>
      <c r="Q78" s="195"/>
      <c r="R78" s="195"/>
      <c r="S78" s="195"/>
      <c r="T78" s="195"/>
      <c r="Z78" t="s">
        <v>2252</v>
      </c>
    </row>
    <row r="79" spans="1:27" x14ac:dyDescent="0.25">
      <c r="A79" s="355" t="s">
        <v>2164</v>
      </c>
      <c r="B79" s="356" t="s">
        <v>70</v>
      </c>
      <c r="C79" s="356"/>
      <c r="D79" s="353">
        <v>66</v>
      </c>
      <c r="E79" s="64" t="str">
        <f t="shared" si="4"/>
        <v>FH.Ntr.66</v>
      </c>
      <c r="F79" s="321" t="s">
        <v>2306</v>
      </c>
      <c r="G79" s="319" t="s">
        <v>154</v>
      </c>
      <c r="H79" s="321" t="s">
        <v>2789</v>
      </c>
      <c r="I79" s="321" t="s">
        <v>70</v>
      </c>
      <c r="J79" s="320" t="s">
        <v>156</v>
      </c>
      <c r="K79" s="64" t="s">
        <v>975</v>
      </c>
      <c r="L79" s="319" t="s">
        <v>975</v>
      </c>
      <c r="M79" s="320" t="s">
        <v>975</v>
      </c>
      <c r="N79" s="321" t="str">
        <f>RegionSelect!$B$2</f>
        <v>Ethiopia</v>
      </c>
      <c r="P79" s="195" t="s">
        <v>194</v>
      </c>
      <c r="Q79" s="195"/>
      <c r="R79" s="195"/>
      <c r="S79" s="195"/>
      <c r="T79" s="195"/>
      <c r="Z79" t="s">
        <v>2252</v>
      </c>
    </row>
    <row r="80" spans="1:27" x14ac:dyDescent="0.25">
      <c r="A80" s="355" t="s">
        <v>2164</v>
      </c>
      <c r="B80" s="356" t="s">
        <v>70</v>
      </c>
      <c r="C80" s="356"/>
      <c r="D80" s="353">
        <v>67</v>
      </c>
      <c r="E80" s="64" t="str">
        <f t="shared" si="4"/>
        <v>FH.Ntr.67</v>
      </c>
      <c r="F80" s="321" t="s">
        <v>2307</v>
      </c>
      <c r="G80" s="319" t="s">
        <v>154</v>
      </c>
      <c r="H80" s="321" t="s">
        <v>2791</v>
      </c>
      <c r="I80" s="321" t="s">
        <v>70</v>
      </c>
      <c r="J80" s="320" t="s">
        <v>156</v>
      </c>
      <c r="K80" s="64" t="s">
        <v>975</v>
      </c>
      <c r="L80" s="319" t="s">
        <v>975</v>
      </c>
      <c r="M80" s="320" t="s">
        <v>975</v>
      </c>
      <c r="N80" s="321" t="str">
        <f>RegionSelect!$B$2</f>
        <v>Ethiopia</v>
      </c>
      <c r="P80" s="195" t="s">
        <v>194</v>
      </c>
      <c r="Q80" s="195"/>
      <c r="R80" s="195"/>
      <c r="S80" s="195"/>
      <c r="T80" s="195"/>
      <c r="Z80" t="s">
        <v>2252</v>
      </c>
    </row>
    <row r="81" spans="1:27" x14ac:dyDescent="0.25">
      <c r="A81" s="355" t="s">
        <v>2164</v>
      </c>
      <c r="B81" s="356" t="s">
        <v>70</v>
      </c>
      <c r="C81" s="356"/>
      <c r="D81" s="353">
        <v>68</v>
      </c>
      <c r="E81" s="64" t="str">
        <f t="shared" si="4"/>
        <v>FH.Ntr.68</v>
      </c>
      <c r="F81" s="321" t="s">
        <v>2308</v>
      </c>
      <c r="G81" s="319" t="s">
        <v>154</v>
      </c>
      <c r="H81" s="321" t="s">
        <v>2791</v>
      </c>
      <c r="I81" s="321" t="s">
        <v>70</v>
      </c>
      <c r="J81" s="320" t="s">
        <v>156</v>
      </c>
      <c r="K81" s="64" t="s">
        <v>975</v>
      </c>
      <c r="L81" s="321" t="s">
        <v>975</v>
      </c>
      <c r="M81" s="320" t="s">
        <v>194</v>
      </c>
      <c r="N81" s="372" t="str">
        <f>RegionSelect!$B$2</f>
        <v>Ethiopia</v>
      </c>
      <c r="O81" s="145">
        <f>IFERROR(VLOOKUP(_xlfn.CONCAT(AA81,RegionSelect!$C$2),RegionalData!$C:$S,13,FALSE),VLOOKUP(_xlfn.CONCAT(AA81,"ET"),RegionalData!$C:$S,13,FALSE))</f>
        <v>0.29070000000000001</v>
      </c>
      <c r="P81" s="195" t="s">
        <v>2196</v>
      </c>
      <c r="Q81" s="195"/>
      <c r="R81" s="195"/>
      <c r="S81" s="130">
        <v>0.98</v>
      </c>
      <c r="T81">
        <v>2</v>
      </c>
      <c r="V81" s="6">
        <v>10</v>
      </c>
      <c r="Y81" t="s">
        <v>975</v>
      </c>
      <c r="AA81" t="s">
        <v>3005</v>
      </c>
    </row>
    <row r="82" spans="1:27" x14ac:dyDescent="0.25">
      <c r="A82" s="355" t="s">
        <v>2164</v>
      </c>
      <c r="B82" s="356" t="s">
        <v>70</v>
      </c>
      <c r="C82" s="356"/>
      <c r="D82" s="353">
        <v>69</v>
      </c>
      <c r="F82" s="321" t="s">
        <v>2309</v>
      </c>
      <c r="G82" s="319" t="s">
        <v>154</v>
      </c>
      <c r="H82" s="321"/>
      <c r="I82" s="321" t="s">
        <v>70</v>
      </c>
      <c r="K82" s="64" t="s">
        <v>975</v>
      </c>
      <c r="L82" s="321" t="s">
        <v>975</v>
      </c>
      <c r="M82" s="320" t="s">
        <v>194</v>
      </c>
      <c r="N82" s="321" t="str">
        <f>RegionSelect!$B$2</f>
        <v>Ethiopia</v>
      </c>
      <c r="P82" s="195" t="s">
        <v>194</v>
      </c>
      <c r="Q82" s="195"/>
      <c r="R82" s="195"/>
      <c r="S82" s="130">
        <v>0.98</v>
      </c>
      <c r="T82" s="195"/>
      <c r="Y82" t="s">
        <v>975</v>
      </c>
    </row>
    <row r="83" spans="1:27" x14ac:dyDescent="0.25">
      <c r="A83" s="355"/>
      <c r="B83" s="356"/>
      <c r="C83" s="356"/>
      <c r="D83" s="353"/>
      <c r="E83" s="265" t="str">
        <f>_xlfn.CONCAT("FH.Ntr.",D82,"A")</f>
        <v>FH.Ntr.69A</v>
      </c>
      <c r="F83" s="321" t="s">
        <v>2538</v>
      </c>
      <c r="G83" s="319" t="s">
        <v>154</v>
      </c>
      <c r="H83" s="321" t="s">
        <v>2791</v>
      </c>
      <c r="I83" s="321" t="s">
        <v>70</v>
      </c>
      <c r="J83" s="320" t="s">
        <v>169</v>
      </c>
      <c r="K83" s="64" t="s">
        <v>975</v>
      </c>
      <c r="L83" s="321" t="s">
        <v>975</v>
      </c>
      <c r="M83" s="320" t="s">
        <v>194</v>
      </c>
      <c r="N83" s="372" t="str">
        <f>RegionSelect!$B$2</f>
        <v>Ethiopia</v>
      </c>
      <c r="O83" s="145">
        <f>IFERROR(VLOOKUP(_xlfn.CONCAT(AA83,RegionSelect!$C$2),RegionalData!$C:$S,13,FALSE),VLOOKUP(_xlfn.CONCAT(AA83,"ET"),RegionalData!$C:$S,13,FALSE))</f>
        <v>3.1E-2</v>
      </c>
      <c r="P83" s="195" t="s">
        <v>1863</v>
      </c>
      <c r="Q83" s="195"/>
      <c r="R83" s="195"/>
      <c r="S83" s="257">
        <f>S82</f>
        <v>0.98</v>
      </c>
      <c r="T83">
        <v>2</v>
      </c>
      <c r="V83" s="6">
        <v>10</v>
      </c>
      <c r="Y83" t="s">
        <v>975</v>
      </c>
      <c r="AA83" t="s">
        <v>3010</v>
      </c>
    </row>
    <row r="84" spans="1:27" x14ac:dyDescent="0.25">
      <c r="A84" s="355"/>
      <c r="B84" s="356"/>
      <c r="C84" s="356"/>
      <c r="D84" s="353"/>
      <c r="E84" s="265" t="s">
        <v>2536</v>
      </c>
      <c r="F84" s="321" t="s">
        <v>2539</v>
      </c>
      <c r="G84" s="319" t="s">
        <v>154</v>
      </c>
      <c r="H84" s="321" t="s">
        <v>2791</v>
      </c>
      <c r="I84" s="321" t="s">
        <v>70</v>
      </c>
      <c r="J84" s="320" t="s">
        <v>2535</v>
      </c>
      <c r="K84" s="64" t="s">
        <v>975</v>
      </c>
      <c r="L84" s="321" t="s">
        <v>975</v>
      </c>
      <c r="M84" s="320" t="s">
        <v>194</v>
      </c>
      <c r="N84" s="372" t="str">
        <f>RegionSelect!$B$2</f>
        <v>Ethiopia</v>
      </c>
      <c r="O84" s="145">
        <f>IFERROR(VLOOKUP(_xlfn.CONCAT(AA84,RegionSelect!$C$2),RegionalData!$C:$S,13,FALSE),VLOOKUP(_xlfn.CONCAT(AA84,"ET"),RegionalData!$C:$S,13,FALSE))</f>
        <v>1.3000000000000001E-2</v>
      </c>
      <c r="P84" s="195" t="s">
        <v>1863</v>
      </c>
      <c r="Q84" s="195"/>
      <c r="R84" s="195"/>
      <c r="S84" s="257">
        <f t="shared" ref="S84:S85" si="5">S83</f>
        <v>0.98</v>
      </c>
      <c r="T84">
        <v>2</v>
      </c>
      <c r="V84" s="6">
        <v>10</v>
      </c>
      <c r="Y84" t="s">
        <v>975</v>
      </c>
      <c r="AA84" t="s">
        <v>3014</v>
      </c>
    </row>
    <row r="85" spans="1:27" x14ac:dyDescent="0.25">
      <c r="A85" s="355"/>
      <c r="B85" s="356"/>
      <c r="C85" s="356"/>
      <c r="D85" s="353"/>
      <c r="E85" s="265" t="s">
        <v>2537</v>
      </c>
      <c r="F85" s="321" t="s">
        <v>2540</v>
      </c>
      <c r="G85" s="319" t="s">
        <v>154</v>
      </c>
      <c r="H85" s="321" t="s">
        <v>2791</v>
      </c>
      <c r="I85" s="321" t="s">
        <v>70</v>
      </c>
      <c r="J85" s="320" t="s">
        <v>201</v>
      </c>
      <c r="K85" s="64" t="s">
        <v>975</v>
      </c>
      <c r="L85" s="321" t="s">
        <v>975</v>
      </c>
      <c r="M85" s="320" t="s">
        <v>194</v>
      </c>
      <c r="N85" s="372" t="str">
        <f>RegionSelect!$B$2</f>
        <v>Ethiopia</v>
      </c>
      <c r="O85" s="145">
        <f>IFERROR(VLOOKUP(_xlfn.CONCAT(AA85,RegionSelect!$C$2),RegionalData!$C:$S,13,FALSE),VLOOKUP(_xlfn.CONCAT(AA85,"ET"),RegionalData!$C:$S,13,FALSE))</f>
        <v>1.3999999999999999E-2</v>
      </c>
      <c r="P85" s="195" t="s">
        <v>1863</v>
      </c>
      <c r="Q85" s="195"/>
      <c r="R85" s="195"/>
      <c r="S85" s="257">
        <f t="shared" si="5"/>
        <v>0.98</v>
      </c>
      <c r="T85">
        <v>2</v>
      </c>
      <c r="V85" s="6">
        <v>10</v>
      </c>
      <c r="Y85" t="s">
        <v>975</v>
      </c>
      <c r="AA85" t="s">
        <v>3017</v>
      </c>
    </row>
    <row r="86" spans="1:27" x14ac:dyDescent="0.25">
      <c r="A86" s="355" t="s">
        <v>2164</v>
      </c>
      <c r="B86" s="356" t="s">
        <v>70</v>
      </c>
      <c r="C86" s="356"/>
      <c r="D86" s="353">
        <v>70</v>
      </c>
      <c r="E86" s="64" t="str">
        <f t="shared" si="4"/>
        <v>FH.Ntr.70</v>
      </c>
      <c r="F86" s="321" t="s">
        <v>2310</v>
      </c>
      <c r="G86" s="321" t="s">
        <v>2249</v>
      </c>
      <c r="H86" s="321" t="s">
        <v>206</v>
      </c>
      <c r="I86" s="321" t="s">
        <v>70</v>
      </c>
      <c r="J86" s="320" t="s">
        <v>194</v>
      </c>
      <c r="K86" s="64" t="s">
        <v>975</v>
      </c>
      <c r="L86" s="319" t="s">
        <v>975</v>
      </c>
      <c r="M86" s="320" t="s">
        <v>975</v>
      </c>
      <c r="N86" s="321" t="str">
        <f>RegionSelect!$B$2</f>
        <v>Ethiopia</v>
      </c>
      <c r="P86" s="195"/>
      <c r="Q86" s="195"/>
      <c r="R86" s="195"/>
      <c r="S86" s="195"/>
      <c r="T86" s="195"/>
      <c r="Z86" t="s">
        <v>478</v>
      </c>
    </row>
    <row r="87" spans="1:27" x14ac:dyDescent="0.25">
      <c r="A87" s="355" t="s">
        <v>2164</v>
      </c>
      <c r="B87" s="356" t="s">
        <v>70</v>
      </c>
      <c r="C87" s="356"/>
      <c r="D87" s="353">
        <v>71</v>
      </c>
      <c r="E87" s="64" t="str">
        <f t="shared" si="4"/>
        <v>FH.Ntr.71</v>
      </c>
      <c r="F87" s="321" t="s">
        <v>2311</v>
      </c>
      <c r="G87" s="321" t="s">
        <v>2249</v>
      </c>
      <c r="H87" s="321" t="s">
        <v>206</v>
      </c>
      <c r="I87" s="321" t="s">
        <v>70</v>
      </c>
      <c r="J87" s="320" t="s">
        <v>194</v>
      </c>
      <c r="K87" s="64" t="s">
        <v>975</v>
      </c>
      <c r="L87" s="319" t="s">
        <v>975</v>
      </c>
      <c r="M87" s="320" t="s">
        <v>975</v>
      </c>
      <c r="N87" s="321" t="str">
        <f>RegionSelect!$B$2</f>
        <v>Ethiopia</v>
      </c>
      <c r="P87" s="195"/>
      <c r="Q87" s="195"/>
      <c r="R87" s="195"/>
      <c r="S87" s="195"/>
      <c r="T87" s="195"/>
      <c r="Z87" t="s">
        <v>478</v>
      </c>
    </row>
    <row r="88" spans="1:27" x14ac:dyDescent="0.25">
      <c r="A88" s="355" t="s">
        <v>2164</v>
      </c>
      <c r="B88" s="356" t="s">
        <v>70</v>
      </c>
      <c r="C88" s="356"/>
      <c r="D88" s="353">
        <v>72</v>
      </c>
      <c r="E88" s="64" t="str">
        <f t="shared" si="4"/>
        <v>FH.Ntr.72</v>
      </c>
      <c r="F88" s="321" t="s">
        <v>2312</v>
      </c>
      <c r="G88" s="319" t="s">
        <v>154</v>
      </c>
      <c r="H88" s="321" t="s">
        <v>2789</v>
      </c>
      <c r="I88" s="321" t="s">
        <v>70</v>
      </c>
      <c r="J88" s="320" t="s">
        <v>156</v>
      </c>
      <c r="K88" s="64" t="s">
        <v>975</v>
      </c>
      <c r="L88" s="321" t="s">
        <v>975</v>
      </c>
      <c r="M88" s="320" t="s">
        <v>194</v>
      </c>
      <c r="N88" s="321" t="str">
        <f>RegionSelect!$B$2</f>
        <v>Ethiopia</v>
      </c>
      <c r="P88" s="195"/>
      <c r="Q88" s="195"/>
      <c r="R88" s="195"/>
      <c r="S88" s="195"/>
      <c r="T88" s="195"/>
      <c r="Z88" t="s">
        <v>2252</v>
      </c>
    </row>
    <row r="89" spans="1:27" x14ac:dyDescent="0.25">
      <c r="A89" s="355" t="s">
        <v>2164</v>
      </c>
      <c r="B89" s="356" t="s">
        <v>70</v>
      </c>
      <c r="C89" s="356"/>
      <c r="D89" s="353">
        <v>73</v>
      </c>
      <c r="E89" s="64" t="str">
        <f t="shared" si="4"/>
        <v>FH.Ntr.73</v>
      </c>
      <c r="F89" s="321" t="s">
        <v>2313</v>
      </c>
      <c r="G89" s="321" t="s">
        <v>154</v>
      </c>
      <c r="H89" s="321" t="s">
        <v>2789</v>
      </c>
      <c r="I89" s="321" t="s">
        <v>70</v>
      </c>
      <c r="J89" s="320" t="s">
        <v>201</v>
      </c>
      <c r="K89" s="64" t="s">
        <v>975</v>
      </c>
      <c r="L89" s="321" t="s">
        <v>975</v>
      </c>
      <c r="M89" s="320" t="s">
        <v>194</v>
      </c>
      <c r="N89" s="321" t="str">
        <f>RegionSelect!$B$2</f>
        <v>Ethiopia</v>
      </c>
      <c r="P89" s="195"/>
      <c r="Q89" s="195"/>
      <c r="R89" s="195"/>
      <c r="S89" s="195"/>
      <c r="T89" s="195"/>
      <c r="Z89" t="s">
        <v>2252</v>
      </c>
    </row>
    <row r="90" spans="1:27" x14ac:dyDescent="0.25">
      <c r="A90" s="355" t="s">
        <v>2164</v>
      </c>
      <c r="B90" s="356" t="s">
        <v>70</v>
      </c>
      <c r="C90" s="356"/>
      <c r="D90" s="353">
        <v>74</v>
      </c>
      <c r="E90" s="64" t="str">
        <f t="shared" si="4"/>
        <v>FH.Ntr.74</v>
      </c>
      <c r="F90" s="321" t="s">
        <v>2314</v>
      </c>
      <c r="G90" s="321" t="s">
        <v>2249</v>
      </c>
      <c r="H90" s="321" t="s">
        <v>206</v>
      </c>
      <c r="I90" s="321" t="s">
        <v>70</v>
      </c>
      <c r="J90" s="320" t="s">
        <v>194</v>
      </c>
      <c r="K90" s="64" t="s">
        <v>975</v>
      </c>
      <c r="L90" s="319" t="s">
        <v>975</v>
      </c>
      <c r="M90" s="320" t="s">
        <v>975</v>
      </c>
      <c r="N90" s="321" t="str">
        <f>RegionSelect!$B$2</f>
        <v>Ethiopia</v>
      </c>
      <c r="P90" s="195"/>
      <c r="Q90" s="195"/>
      <c r="R90" s="195"/>
      <c r="S90" s="195"/>
      <c r="T90" s="195"/>
      <c r="Z90" t="s">
        <v>478</v>
      </c>
    </row>
    <row r="91" spans="1:27" x14ac:dyDescent="0.25">
      <c r="A91" s="355" t="s">
        <v>2164</v>
      </c>
      <c r="B91" s="356" t="s">
        <v>70</v>
      </c>
      <c r="C91" s="356"/>
      <c r="D91" s="353">
        <v>75</v>
      </c>
      <c r="E91" s="64" t="str">
        <f t="shared" si="4"/>
        <v>FH.Ntr.75</v>
      </c>
      <c r="F91" s="321" t="s">
        <v>2315</v>
      </c>
      <c r="G91" s="321" t="s">
        <v>2249</v>
      </c>
      <c r="H91" s="321" t="s">
        <v>206</v>
      </c>
      <c r="I91" s="321" t="s">
        <v>70</v>
      </c>
      <c r="J91" s="320" t="s">
        <v>194</v>
      </c>
      <c r="K91" s="64" t="s">
        <v>975</v>
      </c>
      <c r="L91" s="321" t="s">
        <v>975</v>
      </c>
      <c r="M91" s="320" t="s">
        <v>975</v>
      </c>
      <c r="N91" s="321" t="str">
        <f>RegionSelect!$B$2</f>
        <v>Ethiopia</v>
      </c>
      <c r="P91" s="195"/>
      <c r="Q91" s="195"/>
      <c r="R91" s="195"/>
      <c r="S91" s="195"/>
      <c r="T91" s="195"/>
      <c r="Z91" t="s">
        <v>478</v>
      </c>
    </row>
    <row r="92" spans="1:27" x14ac:dyDescent="0.25">
      <c r="A92" s="355" t="s">
        <v>2164</v>
      </c>
      <c r="B92" s="356" t="s">
        <v>70</v>
      </c>
      <c r="C92" s="356"/>
      <c r="D92" s="353">
        <v>76</v>
      </c>
      <c r="E92" s="64" t="str">
        <f t="shared" si="4"/>
        <v>FH.Ntr.76</v>
      </c>
      <c r="F92" s="321" t="s">
        <v>2316</v>
      </c>
      <c r="G92" s="321" t="s">
        <v>2249</v>
      </c>
      <c r="H92" s="321" t="s">
        <v>206</v>
      </c>
      <c r="I92" s="321" t="s">
        <v>70</v>
      </c>
      <c r="J92" s="320" t="s">
        <v>194</v>
      </c>
      <c r="K92" s="64" t="s">
        <v>975</v>
      </c>
      <c r="L92" s="319" t="s">
        <v>975</v>
      </c>
      <c r="M92" s="320" t="s">
        <v>975</v>
      </c>
      <c r="N92" s="321" t="str">
        <f>RegionSelect!$B$2</f>
        <v>Ethiopia</v>
      </c>
      <c r="P92" s="195"/>
      <c r="Q92" s="195"/>
      <c r="R92" s="195"/>
      <c r="S92" s="195"/>
      <c r="T92" s="195"/>
      <c r="Z92" t="s">
        <v>2333</v>
      </c>
    </row>
    <row r="93" spans="1:27" x14ac:dyDescent="0.25">
      <c r="A93" s="355" t="s">
        <v>2164</v>
      </c>
      <c r="B93" s="356" t="s">
        <v>70</v>
      </c>
      <c r="C93" s="356"/>
      <c r="D93" s="353">
        <v>77</v>
      </c>
      <c r="E93" s="64" t="str">
        <f t="shared" si="4"/>
        <v>FH.Ntr.77</v>
      </c>
      <c r="F93" s="321" t="s">
        <v>2317</v>
      </c>
      <c r="G93" s="321" t="s">
        <v>154</v>
      </c>
      <c r="H93" s="321" t="s">
        <v>206</v>
      </c>
      <c r="I93" s="321" t="s">
        <v>70</v>
      </c>
      <c r="J93" s="320" t="s">
        <v>194</v>
      </c>
      <c r="K93" s="64" t="s">
        <v>975</v>
      </c>
      <c r="L93" s="319" t="s">
        <v>975</v>
      </c>
      <c r="M93" s="320" t="s">
        <v>975</v>
      </c>
      <c r="N93" s="321" t="str">
        <f>RegionSelect!$B$2</f>
        <v>Ethiopia</v>
      </c>
      <c r="P93" s="195"/>
      <c r="Q93" s="195"/>
      <c r="R93" s="195"/>
      <c r="S93" s="195"/>
      <c r="T93" s="195"/>
      <c r="Z93" t="s">
        <v>2336</v>
      </c>
    </row>
    <row r="94" spans="1:27" x14ac:dyDescent="0.25">
      <c r="A94" s="355" t="s">
        <v>2164</v>
      </c>
      <c r="B94" s="356" t="s">
        <v>70</v>
      </c>
      <c r="C94" s="356"/>
      <c r="D94" s="353">
        <v>78</v>
      </c>
      <c r="E94" s="64" t="str">
        <f t="shared" si="4"/>
        <v>FH.Ntr.78</v>
      </c>
      <c r="F94" s="321" t="s">
        <v>2318</v>
      </c>
      <c r="G94" s="321" t="s">
        <v>2249</v>
      </c>
      <c r="H94" s="321" t="s">
        <v>206</v>
      </c>
      <c r="I94" s="321" t="s">
        <v>70</v>
      </c>
      <c r="J94" s="320" t="s">
        <v>194</v>
      </c>
      <c r="K94" s="64" t="s">
        <v>975</v>
      </c>
      <c r="L94" s="319" t="s">
        <v>975</v>
      </c>
      <c r="M94" s="320" t="s">
        <v>975</v>
      </c>
      <c r="N94" s="321" t="str">
        <f>RegionSelect!$B$2</f>
        <v>Ethiopia</v>
      </c>
      <c r="P94" s="195"/>
      <c r="Q94" s="195"/>
      <c r="R94" s="195"/>
      <c r="S94" s="195"/>
      <c r="T94" s="195"/>
      <c r="Z94" t="s">
        <v>2333</v>
      </c>
    </row>
    <row r="95" spans="1:27" x14ac:dyDescent="0.25">
      <c r="A95" s="355" t="s">
        <v>2164</v>
      </c>
      <c r="B95" s="356" t="s">
        <v>70</v>
      </c>
      <c r="C95" s="356"/>
      <c r="D95" s="353">
        <v>79</v>
      </c>
      <c r="E95" s="64" t="str">
        <f t="shared" si="4"/>
        <v>FH.Ntr.79</v>
      </c>
      <c r="F95" s="321" t="s">
        <v>2319</v>
      </c>
      <c r="G95" s="319" t="s">
        <v>154</v>
      </c>
      <c r="H95" s="321" t="s">
        <v>2789</v>
      </c>
      <c r="I95" s="321" t="s">
        <v>70</v>
      </c>
      <c r="J95" s="320" t="s">
        <v>156</v>
      </c>
      <c r="K95" s="64" t="s">
        <v>975</v>
      </c>
      <c r="L95" s="319" t="s">
        <v>975</v>
      </c>
      <c r="M95" s="320" t="s">
        <v>975</v>
      </c>
      <c r="N95" s="321" t="str">
        <f>RegionSelect!$B$2</f>
        <v>Ethiopia</v>
      </c>
      <c r="P95" s="195"/>
      <c r="Q95" s="195"/>
      <c r="R95" s="195"/>
      <c r="S95" s="195"/>
      <c r="T95" s="195"/>
      <c r="Z95" t="s">
        <v>2213</v>
      </c>
    </row>
    <row r="96" spans="1:27" x14ac:dyDescent="0.25">
      <c r="A96" s="355" t="s">
        <v>2164</v>
      </c>
      <c r="B96" s="356" t="s">
        <v>70</v>
      </c>
      <c r="C96" s="356"/>
      <c r="D96" s="353">
        <v>80</v>
      </c>
      <c r="E96" s="64" t="str">
        <f t="shared" si="4"/>
        <v>FH.Ntr.80</v>
      </c>
      <c r="F96" s="321" t="s">
        <v>2320</v>
      </c>
      <c r="G96" s="319" t="s">
        <v>154</v>
      </c>
      <c r="H96" s="321" t="s">
        <v>2791</v>
      </c>
      <c r="I96" s="321" t="s">
        <v>70</v>
      </c>
      <c r="J96" s="320" t="s">
        <v>169</v>
      </c>
      <c r="K96" s="64" t="s">
        <v>975</v>
      </c>
      <c r="L96" s="319" t="s">
        <v>975</v>
      </c>
      <c r="M96" s="320" t="s">
        <v>975</v>
      </c>
      <c r="N96" s="321" t="str">
        <f>RegionSelect!$B$2</f>
        <v>Ethiopia</v>
      </c>
      <c r="P96" s="195"/>
      <c r="Q96" s="195"/>
      <c r="R96" s="195"/>
      <c r="S96" s="195"/>
      <c r="T96" s="195"/>
      <c r="Z96" t="s">
        <v>2334</v>
      </c>
    </row>
    <row r="97" spans="1:27" x14ac:dyDescent="0.25">
      <c r="A97" s="355" t="s">
        <v>2164</v>
      </c>
      <c r="B97" s="356" t="s">
        <v>70</v>
      </c>
      <c r="C97" s="356"/>
      <c r="D97" s="353">
        <v>81</v>
      </c>
      <c r="E97" s="64" t="str">
        <f t="shared" si="4"/>
        <v>FH.Ntr.81</v>
      </c>
      <c r="F97" s="321" t="s">
        <v>2321</v>
      </c>
      <c r="G97" s="319" t="s">
        <v>154</v>
      </c>
      <c r="H97" s="321" t="s">
        <v>206</v>
      </c>
      <c r="I97" s="321" t="s">
        <v>70</v>
      </c>
      <c r="J97" s="320" t="s">
        <v>156</v>
      </c>
      <c r="K97" s="64" t="s">
        <v>975</v>
      </c>
      <c r="L97" s="319" t="s">
        <v>975</v>
      </c>
      <c r="M97" s="320" t="s">
        <v>975</v>
      </c>
      <c r="N97" s="321" t="str">
        <f>RegionSelect!$B$2</f>
        <v>Ethiopia</v>
      </c>
      <c r="P97" s="195"/>
      <c r="Q97" s="195"/>
      <c r="R97" s="195"/>
      <c r="S97" s="195"/>
      <c r="T97" s="195"/>
      <c r="Z97" t="s">
        <v>2333</v>
      </c>
    </row>
    <row r="98" spans="1:27" x14ac:dyDescent="0.25">
      <c r="A98" s="355" t="s">
        <v>2164</v>
      </c>
      <c r="B98" s="356" t="s">
        <v>70</v>
      </c>
      <c r="C98" s="356"/>
      <c r="D98" s="353">
        <v>82</v>
      </c>
      <c r="E98" s="64" t="str">
        <f t="shared" si="4"/>
        <v>FH.Ntr.82</v>
      </c>
      <c r="F98" s="321" t="s">
        <v>2322</v>
      </c>
      <c r="G98" s="319" t="s">
        <v>154</v>
      </c>
      <c r="H98" s="321" t="s">
        <v>206</v>
      </c>
      <c r="I98" s="321" t="s">
        <v>70</v>
      </c>
      <c r="J98" s="320" t="s">
        <v>156</v>
      </c>
      <c r="K98" s="64" t="s">
        <v>975</v>
      </c>
      <c r="L98" s="319" t="s">
        <v>975</v>
      </c>
      <c r="M98" s="320" t="s">
        <v>975</v>
      </c>
      <c r="N98" s="321" t="str">
        <f>RegionSelect!$B$2</f>
        <v>Ethiopia</v>
      </c>
      <c r="P98" s="195"/>
      <c r="Q98" s="195"/>
      <c r="R98" s="195"/>
      <c r="S98" s="195"/>
      <c r="T98" s="195"/>
      <c r="Z98" t="s">
        <v>2333</v>
      </c>
    </row>
    <row r="99" spans="1:27" x14ac:dyDescent="0.25">
      <c r="A99" s="355" t="s">
        <v>2164</v>
      </c>
      <c r="B99" s="356" t="s">
        <v>70</v>
      </c>
      <c r="C99" s="356"/>
      <c r="D99" s="353">
        <v>83</v>
      </c>
      <c r="E99" s="64" t="str">
        <f t="shared" si="4"/>
        <v>FH.Ntr.83</v>
      </c>
      <c r="F99" s="321" t="s">
        <v>2324</v>
      </c>
      <c r="G99" s="319" t="s">
        <v>154</v>
      </c>
      <c r="H99" s="321" t="s">
        <v>206</v>
      </c>
      <c r="I99" s="321" t="s">
        <v>70</v>
      </c>
      <c r="J99" s="320" t="s">
        <v>156</v>
      </c>
      <c r="K99" s="64" t="s">
        <v>975</v>
      </c>
      <c r="L99" s="319" t="s">
        <v>975</v>
      </c>
      <c r="M99" s="320" t="s">
        <v>975</v>
      </c>
      <c r="N99" s="321" t="str">
        <f>RegionSelect!$B$2</f>
        <v>Ethiopia</v>
      </c>
      <c r="P99" s="195"/>
      <c r="Q99" s="195"/>
      <c r="R99" s="195"/>
      <c r="S99" s="195"/>
      <c r="T99" s="195"/>
      <c r="Z99" t="s">
        <v>2333</v>
      </c>
    </row>
    <row r="100" spans="1:27" x14ac:dyDescent="0.25">
      <c r="A100" s="355" t="s">
        <v>2164</v>
      </c>
      <c r="B100" s="356" t="s">
        <v>70</v>
      </c>
      <c r="C100" s="356"/>
      <c r="D100" s="353">
        <v>84</v>
      </c>
      <c r="E100" s="64" t="str">
        <f t="shared" si="4"/>
        <v>FH.Ntr.84</v>
      </c>
      <c r="F100" s="321" t="s">
        <v>2323</v>
      </c>
      <c r="G100" s="319" t="s">
        <v>154</v>
      </c>
      <c r="H100" s="321" t="s">
        <v>206</v>
      </c>
      <c r="I100" s="321" t="s">
        <v>70</v>
      </c>
      <c r="J100" s="320" t="s">
        <v>156</v>
      </c>
      <c r="K100" s="64" t="s">
        <v>975</v>
      </c>
      <c r="L100" s="319" t="s">
        <v>975</v>
      </c>
      <c r="M100" s="320" t="s">
        <v>975</v>
      </c>
      <c r="N100" s="321" t="str">
        <f>RegionSelect!$B$2</f>
        <v>Ethiopia</v>
      </c>
      <c r="P100" s="195"/>
      <c r="Q100" s="195"/>
      <c r="R100" s="195"/>
      <c r="S100" s="195"/>
      <c r="T100" s="195"/>
      <c r="Z100" t="s">
        <v>2333</v>
      </c>
    </row>
    <row r="101" spans="1:27" x14ac:dyDescent="0.25">
      <c r="A101" s="355" t="s">
        <v>2164</v>
      </c>
      <c r="B101" s="356" t="s">
        <v>70</v>
      </c>
      <c r="C101" s="356"/>
      <c r="D101" s="353">
        <v>85</v>
      </c>
      <c r="E101" s="64" t="str">
        <f t="shared" si="4"/>
        <v>FH.Ntr.85</v>
      </c>
      <c r="F101" s="321" t="s">
        <v>2325</v>
      </c>
      <c r="G101" s="321" t="s">
        <v>2249</v>
      </c>
      <c r="H101" s="321" t="s">
        <v>206</v>
      </c>
      <c r="I101" s="321" t="s">
        <v>70</v>
      </c>
      <c r="J101" s="320" t="s">
        <v>194</v>
      </c>
      <c r="K101" s="64" t="s">
        <v>975</v>
      </c>
      <c r="L101" s="319" t="s">
        <v>975</v>
      </c>
      <c r="M101" s="320" t="s">
        <v>975</v>
      </c>
      <c r="N101" s="321" t="str">
        <f>RegionSelect!$B$2</f>
        <v>Ethiopia</v>
      </c>
      <c r="P101" s="195"/>
      <c r="Q101" s="195"/>
      <c r="R101" s="195"/>
      <c r="S101" s="195"/>
      <c r="T101" s="195"/>
      <c r="Z101" t="s">
        <v>2333</v>
      </c>
    </row>
    <row r="102" spans="1:27" x14ac:dyDescent="0.25">
      <c r="A102" s="355" t="s">
        <v>2164</v>
      </c>
      <c r="B102" s="356" t="s">
        <v>70</v>
      </c>
      <c r="C102" s="356"/>
      <c r="D102" s="353">
        <v>86</v>
      </c>
      <c r="E102" s="64" t="str">
        <f t="shared" si="4"/>
        <v>FH.Ntr.86</v>
      </c>
      <c r="F102" s="321" t="s">
        <v>2326</v>
      </c>
      <c r="G102" s="321" t="s">
        <v>2249</v>
      </c>
      <c r="H102" s="321" t="s">
        <v>206</v>
      </c>
      <c r="I102" s="321" t="s">
        <v>70</v>
      </c>
      <c r="J102" s="320" t="s">
        <v>194</v>
      </c>
      <c r="K102" s="64" t="s">
        <v>975</v>
      </c>
      <c r="L102" s="319" t="s">
        <v>975</v>
      </c>
      <c r="M102" s="320" t="s">
        <v>975</v>
      </c>
      <c r="N102" s="321" t="str">
        <f>RegionSelect!$B$2</f>
        <v>Ethiopia</v>
      </c>
      <c r="P102" s="195"/>
      <c r="Q102" s="195"/>
      <c r="R102" s="195"/>
      <c r="S102" s="195"/>
      <c r="T102" s="195"/>
      <c r="Z102" t="s">
        <v>2333</v>
      </c>
    </row>
    <row r="103" spans="1:27" x14ac:dyDescent="0.25">
      <c r="A103" s="355" t="s">
        <v>2164</v>
      </c>
      <c r="B103" s="356" t="s">
        <v>70</v>
      </c>
      <c r="C103" s="356"/>
      <c r="D103" s="353">
        <v>87</v>
      </c>
      <c r="E103" s="64" t="str">
        <f t="shared" si="4"/>
        <v>FH.Ntr.87</v>
      </c>
      <c r="F103" s="321" t="s">
        <v>2327</v>
      </c>
      <c r="G103" s="321" t="s">
        <v>2249</v>
      </c>
      <c r="H103" s="321" t="s">
        <v>206</v>
      </c>
      <c r="I103" s="321" t="s">
        <v>70</v>
      </c>
      <c r="J103" s="320" t="s">
        <v>194</v>
      </c>
      <c r="K103" s="64" t="s">
        <v>194</v>
      </c>
      <c r="L103" s="321" t="s">
        <v>194</v>
      </c>
      <c r="M103" s="320" t="s">
        <v>194</v>
      </c>
      <c r="N103" s="321" t="str">
        <f>RegionSelect!$B$2</f>
        <v>Ethiopia</v>
      </c>
      <c r="P103" s="195"/>
      <c r="Q103" s="195"/>
      <c r="R103" s="195"/>
      <c r="S103" s="195"/>
      <c r="T103" s="195"/>
      <c r="Y103" t="s">
        <v>975</v>
      </c>
      <c r="Z103" t="s">
        <v>2335</v>
      </c>
    </row>
    <row r="104" spans="1:27" x14ac:dyDescent="0.25">
      <c r="A104" s="355" t="s">
        <v>2164</v>
      </c>
      <c r="B104" s="356" t="s">
        <v>70</v>
      </c>
      <c r="C104" s="356"/>
      <c r="D104" s="353">
        <v>88</v>
      </c>
      <c r="E104" s="64" t="str">
        <f t="shared" si="4"/>
        <v>FH.Ntr.88</v>
      </c>
      <c r="F104" s="321" t="s">
        <v>2328</v>
      </c>
      <c r="G104" s="321" t="s">
        <v>2249</v>
      </c>
      <c r="H104" s="321" t="s">
        <v>206</v>
      </c>
      <c r="I104" s="321" t="s">
        <v>70</v>
      </c>
      <c r="J104" s="320" t="s">
        <v>194</v>
      </c>
      <c r="K104" s="64" t="s">
        <v>194</v>
      </c>
      <c r="L104" s="321" t="s">
        <v>194</v>
      </c>
      <c r="M104" s="320" t="s">
        <v>194</v>
      </c>
      <c r="N104" s="321" t="str">
        <f>RegionSelect!$B$2</f>
        <v>Ethiopia</v>
      </c>
      <c r="P104" s="195"/>
      <c r="Q104" s="195"/>
      <c r="R104" s="195"/>
      <c r="S104" s="195"/>
      <c r="T104" s="195"/>
      <c r="Y104" t="s">
        <v>975</v>
      </c>
      <c r="Z104" t="s">
        <v>2335</v>
      </c>
    </row>
    <row r="105" spans="1:27" x14ac:dyDescent="0.25">
      <c r="A105" s="355" t="s">
        <v>2164</v>
      </c>
      <c r="B105" s="356" t="s">
        <v>70</v>
      </c>
      <c r="C105" s="356"/>
      <c r="D105" s="353">
        <v>89</v>
      </c>
      <c r="E105" s="64" t="str">
        <f t="shared" si="4"/>
        <v>FH.Ntr.89</v>
      </c>
      <c r="F105" s="321" t="s">
        <v>2329</v>
      </c>
      <c r="G105" s="321" t="s">
        <v>154</v>
      </c>
      <c r="H105" s="321" t="s">
        <v>206</v>
      </c>
      <c r="I105" s="321" t="s">
        <v>70</v>
      </c>
      <c r="J105" s="320" t="s">
        <v>194</v>
      </c>
      <c r="K105" s="64" t="s">
        <v>194</v>
      </c>
      <c r="L105" s="321" t="s">
        <v>194</v>
      </c>
      <c r="M105" s="320" t="s">
        <v>194</v>
      </c>
      <c r="N105" s="321" t="str">
        <f>RegionSelect!$B$2</f>
        <v>Ethiopia</v>
      </c>
      <c r="P105" s="195"/>
      <c r="Q105" s="195"/>
      <c r="R105" s="195"/>
      <c r="S105" s="195"/>
      <c r="T105" s="195"/>
      <c r="Y105" t="s">
        <v>975</v>
      </c>
      <c r="Z105" t="s">
        <v>2335</v>
      </c>
    </row>
    <row r="106" spans="1:27" x14ac:dyDescent="0.25">
      <c r="A106" s="355" t="s">
        <v>2164</v>
      </c>
      <c r="B106" s="356" t="s">
        <v>70</v>
      </c>
      <c r="C106" s="356"/>
      <c r="D106" s="353">
        <v>90</v>
      </c>
      <c r="E106" s="64" t="str">
        <f t="shared" si="4"/>
        <v>FH.Ntr.90</v>
      </c>
      <c r="F106" s="321" t="s">
        <v>2330</v>
      </c>
      <c r="G106" s="321" t="s">
        <v>2249</v>
      </c>
      <c r="H106" s="321" t="s">
        <v>206</v>
      </c>
      <c r="I106" s="321" t="s">
        <v>70</v>
      </c>
      <c r="J106" s="320" t="s">
        <v>194</v>
      </c>
      <c r="K106" s="64" t="s">
        <v>194</v>
      </c>
      <c r="L106" s="321" t="s">
        <v>194</v>
      </c>
      <c r="M106" s="320" t="s">
        <v>194</v>
      </c>
      <c r="N106" s="321" t="str">
        <f>RegionSelect!$B$2</f>
        <v>Ethiopia</v>
      </c>
      <c r="P106" s="195"/>
      <c r="Q106" s="195"/>
      <c r="R106" s="195"/>
      <c r="S106" s="195"/>
      <c r="T106" s="195"/>
      <c r="Y106" t="s">
        <v>975</v>
      </c>
      <c r="Z106" t="s">
        <v>2335</v>
      </c>
    </row>
    <row r="107" spans="1:27" x14ac:dyDescent="0.25">
      <c r="A107" s="355" t="s">
        <v>2164</v>
      </c>
      <c r="B107" s="356" t="s">
        <v>70</v>
      </c>
      <c r="C107" s="356"/>
      <c r="D107" s="353">
        <v>91</v>
      </c>
      <c r="E107" s="64" t="str">
        <f t="shared" si="4"/>
        <v>FH.Ntr.91</v>
      </c>
      <c r="F107" s="321" t="s">
        <v>2331</v>
      </c>
      <c r="G107" s="321" t="s">
        <v>2249</v>
      </c>
      <c r="H107" s="321" t="s">
        <v>206</v>
      </c>
      <c r="I107" s="321" t="s">
        <v>70</v>
      </c>
      <c r="J107" s="320" t="s">
        <v>194</v>
      </c>
      <c r="K107" s="64" t="s">
        <v>194</v>
      </c>
      <c r="L107" s="321" t="s">
        <v>194</v>
      </c>
      <c r="M107" s="320" t="s">
        <v>194</v>
      </c>
      <c r="N107" s="321" t="str">
        <f>RegionSelect!$B$2</f>
        <v>Ethiopia</v>
      </c>
      <c r="P107" s="195"/>
      <c r="Q107" s="195"/>
      <c r="R107" s="195"/>
      <c r="S107" s="195"/>
      <c r="T107" s="195"/>
      <c r="Y107" t="s">
        <v>975</v>
      </c>
      <c r="Z107" t="s">
        <v>2335</v>
      </c>
    </row>
    <row r="108" spans="1:27" x14ac:dyDescent="0.25">
      <c r="A108" s="355" t="s">
        <v>2164</v>
      </c>
      <c r="B108" s="356" t="s">
        <v>70</v>
      </c>
      <c r="C108" s="356"/>
      <c r="D108" s="353">
        <v>92</v>
      </c>
      <c r="E108" s="64" t="str">
        <f t="shared" si="4"/>
        <v>FH.Ntr.92</v>
      </c>
      <c r="F108" s="321" t="s">
        <v>2332</v>
      </c>
      <c r="G108" s="321" t="s">
        <v>2249</v>
      </c>
      <c r="H108" s="321" t="s">
        <v>206</v>
      </c>
      <c r="I108" s="321" t="s">
        <v>70</v>
      </c>
      <c r="J108" s="320" t="s">
        <v>194</v>
      </c>
      <c r="K108" s="64" t="s">
        <v>194</v>
      </c>
      <c r="L108" s="321" t="s">
        <v>194</v>
      </c>
      <c r="M108" s="320" t="s">
        <v>194</v>
      </c>
      <c r="N108" s="321" t="str">
        <f>RegionSelect!$B$2</f>
        <v>Ethiopia</v>
      </c>
      <c r="P108" s="195"/>
      <c r="Q108" s="195"/>
      <c r="R108" s="195"/>
      <c r="S108" s="195"/>
      <c r="T108" s="195"/>
      <c r="Y108" t="s">
        <v>975</v>
      </c>
      <c r="Z108" t="s">
        <v>2335</v>
      </c>
    </row>
    <row r="109" spans="1:27" x14ac:dyDescent="0.25">
      <c r="A109" s="357" t="s">
        <v>2339</v>
      </c>
      <c r="B109" s="357" t="s">
        <v>2337</v>
      </c>
      <c r="C109" s="357" t="s">
        <v>2338</v>
      </c>
      <c r="D109" s="66">
        <v>93</v>
      </c>
      <c r="F109" s="319" t="s">
        <v>2340</v>
      </c>
      <c r="G109" s="319" t="s">
        <v>154</v>
      </c>
      <c r="H109" s="319" t="s">
        <v>2791</v>
      </c>
      <c r="I109" s="321" t="s">
        <v>2241</v>
      </c>
      <c r="J109" s="320" t="s">
        <v>201</v>
      </c>
      <c r="K109" s="64" t="s">
        <v>975</v>
      </c>
      <c r="L109" s="321" t="s">
        <v>194</v>
      </c>
      <c r="M109" s="320" t="s">
        <v>194</v>
      </c>
      <c r="N109" s="321" t="str">
        <f>RegionSelect!$B$2</f>
        <v>Ethiopia</v>
      </c>
      <c r="P109" s="195"/>
      <c r="Q109" s="195"/>
      <c r="R109" s="195"/>
      <c r="S109" s="195"/>
      <c r="T109" s="195"/>
      <c r="Y109" t="s">
        <v>975</v>
      </c>
    </row>
    <row r="110" spans="1:27" x14ac:dyDescent="0.25">
      <c r="A110" s="357"/>
      <c r="B110" s="357"/>
      <c r="C110" s="357" t="s">
        <v>2338</v>
      </c>
      <c r="E110" s="64" t="s">
        <v>2546</v>
      </c>
      <c r="F110" s="321" t="s">
        <v>2548</v>
      </c>
      <c r="G110" s="319" t="s">
        <v>154</v>
      </c>
      <c r="H110" s="319" t="s">
        <v>2791</v>
      </c>
      <c r="I110" s="321" t="s">
        <v>2241</v>
      </c>
      <c r="J110" s="320" t="s">
        <v>253</v>
      </c>
      <c r="K110" s="64" t="s">
        <v>975</v>
      </c>
      <c r="L110" s="321" t="s">
        <v>194</v>
      </c>
      <c r="M110" s="320" t="s">
        <v>194</v>
      </c>
      <c r="N110" s="321" t="str">
        <f>RegionSelect!$B$2</f>
        <v>Ethiopia</v>
      </c>
      <c r="O110" s="145">
        <f>IFERROR(VLOOKUP(_xlfn.CONCAT(AA110,RegionSelect!$C$2),RegionalData!$C:$S,13,FALSE),VLOOKUP(_xlfn.CONCAT(AA110,"ET"),RegionalData!$C:$S,13,FALSE))</f>
        <v>3.9E-2</v>
      </c>
      <c r="P110" s="321" t="s">
        <v>1863</v>
      </c>
      <c r="Q110" s="195"/>
      <c r="R110" s="195"/>
      <c r="S110" s="368">
        <v>0.98</v>
      </c>
      <c r="T110">
        <v>1</v>
      </c>
      <c r="V110" s="6">
        <v>10</v>
      </c>
      <c r="Y110" t="s">
        <v>975</v>
      </c>
      <c r="AA110" t="s">
        <v>3019</v>
      </c>
    </row>
    <row r="111" spans="1:27" x14ac:dyDescent="0.25">
      <c r="A111" s="357"/>
      <c r="B111" s="357"/>
      <c r="C111" s="357" t="s">
        <v>2338</v>
      </c>
      <c r="E111" s="64" t="s">
        <v>2547</v>
      </c>
      <c r="F111" s="321" t="s">
        <v>2549</v>
      </c>
      <c r="G111" s="319" t="s">
        <v>154</v>
      </c>
      <c r="H111" s="319" t="s">
        <v>2791</v>
      </c>
      <c r="I111" s="321" t="s">
        <v>2241</v>
      </c>
      <c r="J111" s="320" t="s">
        <v>2545</v>
      </c>
      <c r="K111" s="64" t="s">
        <v>975</v>
      </c>
      <c r="L111" s="321" t="s">
        <v>194</v>
      </c>
      <c r="M111" s="320" t="s">
        <v>194</v>
      </c>
      <c r="N111" s="321" t="str">
        <f>RegionSelect!$B$2</f>
        <v>Ethiopia</v>
      </c>
      <c r="O111" s="145">
        <f>IFERROR(VLOOKUP(_xlfn.CONCAT(AA111,RegionSelect!$C$2),RegionalData!$C:$S,13,FALSE),VLOOKUP(_xlfn.CONCAT(AA111,"ET"),RegionalData!$C:$S,13,FALSE))</f>
        <v>3.6000000000000004E-2</v>
      </c>
      <c r="P111" s="321" t="s">
        <v>1863</v>
      </c>
      <c r="Q111" s="195"/>
      <c r="R111" s="195"/>
      <c r="S111" s="368">
        <f>S110</f>
        <v>0.98</v>
      </c>
      <c r="T111">
        <v>1</v>
      </c>
      <c r="V111" s="6">
        <v>10</v>
      </c>
      <c r="Y111" t="s">
        <v>975</v>
      </c>
      <c r="AA111" t="s">
        <v>3021</v>
      </c>
    </row>
    <row r="112" spans="1:27" x14ac:dyDescent="0.25">
      <c r="A112" s="357" t="s">
        <v>2339</v>
      </c>
      <c r="B112" s="357" t="s">
        <v>2337</v>
      </c>
      <c r="C112" s="357" t="s">
        <v>2338</v>
      </c>
      <c r="D112" s="66">
        <v>94</v>
      </c>
      <c r="E112" s="64" t="str">
        <f t="shared" ref="E112:E119" si="6">_xlfn.CONCAT("DPC.STI.",D112)</f>
        <v>DPC.STI.94</v>
      </c>
      <c r="F112" s="319" t="s">
        <v>2341</v>
      </c>
      <c r="G112" s="319" t="s">
        <v>154</v>
      </c>
      <c r="H112" s="319" t="s">
        <v>206</v>
      </c>
      <c r="I112" s="321" t="s">
        <v>2241</v>
      </c>
      <c r="J112" s="320" t="s">
        <v>201</v>
      </c>
      <c r="K112" s="64" t="s">
        <v>975</v>
      </c>
      <c r="L112" s="321" t="s">
        <v>975</v>
      </c>
      <c r="M112" s="320" t="s">
        <v>194</v>
      </c>
      <c r="N112" s="321" t="str">
        <f>RegionSelect!$B$2</f>
        <v>Ethiopia</v>
      </c>
      <c r="O112" s="371"/>
      <c r="P112" s="321" t="s">
        <v>1863</v>
      </c>
      <c r="Q112" s="195"/>
      <c r="R112" s="195"/>
      <c r="S112" s="89">
        <v>1</v>
      </c>
      <c r="U112">
        <v>1</v>
      </c>
      <c r="V112" s="6">
        <v>10</v>
      </c>
      <c r="Y112" t="s">
        <v>975</v>
      </c>
    </row>
    <row r="113" spans="1:27" x14ac:dyDescent="0.25">
      <c r="A113" s="357" t="s">
        <v>2339</v>
      </c>
      <c r="B113" s="357" t="s">
        <v>2337</v>
      </c>
      <c r="C113" s="357" t="s">
        <v>2338</v>
      </c>
      <c r="D113" s="66">
        <v>95</v>
      </c>
      <c r="E113" s="64" t="str">
        <f t="shared" si="6"/>
        <v>DPC.STI.95</v>
      </c>
      <c r="F113" s="319" t="s">
        <v>2342</v>
      </c>
      <c r="G113" s="319" t="s">
        <v>154</v>
      </c>
      <c r="H113" s="319" t="s">
        <v>206</v>
      </c>
      <c r="I113" s="321" t="s">
        <v>2241</v>
      </c>
      <c r="J113" s="320" t="s">
        <v>201</v>
      </c>
      <c r="K113" s="64" t="s">
        <v>975</v>
      </c>
      <c r="L113" s="321" t="s">
        <v>975</v>
      </c>
      <c r="M113" s="320" t="s">
        <v>975</v>
      </c>
      <c r="N113" s="321" t="str">
        <f>RegionSelect!$B$2</f>
        <v>Ethiopia</v>
      </c>
      <c r="O113" s="195">
        <f>O114</f>
        <v>2.0927000000000001E-4</v>
      </c>
      <c r="P113" s="321" t="s">
        <v>1863</v>
      </c>
      <c r="Q113" s="195"/>
      <c r="R113" s="195"/>
      <c r="S113" s="89">
        <f>S114</f>
        <v>0.90986310592664843</v>
      </c>
      <c r="U113">
        <v>1</v>
      </c>
      <c r="V113" s="6">
        <v>5</v>
      </c>
      <c r="Y113" t="s">
        <v>975</v>
      </c>
      <c r="AA113" t="s">
        <v>3025</v>
      </c>
    </row>
    <row r="114" spans="1:27" x14ac:dyDescent="0.25">
      <c r="A114" s="357" t="s">
        <v>2339</v>
      </c>
      <c r="B114" s="357" t="s">
        <v>2337</v>
      </c>
      <c r="C114" s="357" t="s">
        <v>2338</v>
      </c>
      <c r="D114" s="66">
        <v>96</v>
      </c>
      <c r="E114" s="64" t="str">
        <f t="shared" si="6"/>
        <v>DPC.STI.96</v>
      </c>
      <c r="F114" s="321" t="s">
        <v>2343</v>
      </c>
      <c r="G114" s="319" t="s">
        <v>154</v>
      </c>
      <c r="H114" s="319" t="s">
        <v>2791</v>
      </c>
      <c r="I114" s="321" t="s">
        <v>241</v>
      </c>
      <c r="J114" s="320" t="s">
        <v>201</v>
      </c>
      <c r="K114" s="64" t="s">
        <v>975</v>
      </c>
      <c r="L114" s="321" t="s">
        <v>975</v>
      </c>
      <c r="M114" s="320" t="s">
        <v>194</v>
      </c>
      <c r="N114" s="321" t="str">
        <f>RegionSelect!$B$2</f>
        <v>Ethiopia</v>
      </c>
      <c r="O114" s="346">
        <f>IFERROR(VLOOKUP(_xlfn.CONCAT(AA114,RegionSelect!$C$2),RegionalData!$C:$S,13,FALSE),VLOOKUP(_xlfn.CONCAT(AA114,"ET"),RegionalData!$C:$S,13,FALSE))</f>
        <v>2.0927000000000001E-4</v>
      </c>
      <c r="P114" s="321" t="s">
        <v>2349</v>
      </c>
      <c r="Q114">
        <v>4</v>
      </c>
      <c r="R114" t="s">
        <v>2351</v>
      </c>
      <c r="S114" s="89">
        <f>'HIV Incid'!BM273</f>
        <v>0.90986310592664843</v>
      </c>
      <c r="T114">
        <v>1</v>
      </c>
      <c r="V114" s="6">
        <v>5</v>
      </c>
      <c r="AA114" t="s">
        <v>3025</v>
      </c>
    </row>
    <row r="115" spans="1:27" x14ac:dyDescent="0.25">
      <c r="A115" s="357" t="s">
        <v>2339</v>
      </c>
      <c r="B115" s="357" t="s">
        <v>2337</v>
      </c>
      <c r="C115" s="357" t="s">
        <v>2338</v>
      </c>
      <c r="D115" s="66">
        <v>97</v>
      </c>
      <c r="E115" s="64" t="str">
        <f t="shared" si="6"/>
        <v>DPC.STI.97</v>
      </c>
      <c r="F115" s="321" t="s">
        <v>2347</v>
      </c>
      <c r="G115" s="319" t="s">
        <v>154</v>
      </c>
      <c r="H115" s="319" t="s">
        <v>2791</v>
      </c>
      <c r="I115" s="321" t="s">
        <v>241</v>
      </c>
      <c r="J115" s="320" t="s">
        <v>201</v>
      </c>
      <c r="K115" s="64" t="s">
        <v>975</v>
      </c>
      <c r="L115" s="321" t="s">
        <v>975</v>
      </c>
      <c r="M115" s="320" t="s">
        <v>194</v>
      </c>
      <c r="N115" s="321" t="str">
        <f>RegionSelect!$B$2</f>
        <v>Ethiopia</v>
      </c>
      <c r="P115" s="321" t="s">
        <v>2350</v>
      </c>
      <c r="Q115" s="195"/>
      <c r="R115" s="195"/>
      <c r="S115" s="89">
        <f>S114</f>
        <v>0.90986310592664843</v>
      </c>
      <c r="T115">
        <v>1</v>
      </c>
      <c r="V115" s="6">
        <f>V114</f>
        <v>5</v>
      </c>
    </row>
    <row r="116" spans="1:27" x14ac:dyDescent="0.25">
      <c r="A116" s="357" t="s">
        <v>2339</v>
      </c>
      <c r="B116" s="357" t="s">
        <v>2337</v>
      </c>
      <c r="C116" s="357" t="s">
        <v>2338</v>
      </c>
      <c r="D116" s="66">
        <v>98</v>
      </c>
      <c r="E116" s="64" t="str">
        <f t="shared" si="6"/>
        <v>DPC.STI.98</v>
      </c>
      <c r="F116" s="321" t="s">
        <v>2348</v>
      </c>
      <c r="G116" s="319" t="s">
        <v>154</v>
      </c>
      <c r="H116" s="319" t="s">
        <v>2791</v>
      </c>
      <c r="I116" s="321" t="s">
        <v>241</v>
      </c>
      <c r="J116" s="320" t="s">
        <v>201</v>
      </c>
      <c r="K116" s="64" t="s">
        <v>975</v>
      </c>
      <c r="L116" s="321" t="s">
        <v>975</v>
      </c>
      <c r="M116" s="320" t="s">
        <v>194</v>
      </c>
      <c r="N116" s="321" t="str">
        <f>RegionSelect!$B$2</f>
        <v>Ethiopia</v>
      </c>
      <c r="P116" s="321" t="s">
        <v>2350</v>
      </c>
      <c r="Q116" s="195"/>
      <c r="R116" s="195"/>
      <c r="S116" s="89">
        <f>S114</f>
        <v>0.90986310592664843</v>
      </c>
      <c r="T116">
        <v>1</v>
      </c>
      <c r="V116" s="6">
        <f>V114</f>
        <v>5</v>
      </c>
    </row>
    <row r="117" spans="1:27" x14ac:dyDescent="0.25">
      <c r="A117" s="357" t="s">
        <v>2339</v>
      </c>
      <c r="B117" s="357" t="s">
        <v>2337</v>
      </c>
      <c r="C117" s="357" t="s">
        <v>2338</v>
      </c>
      <c r="D117" s="66">
        <v>99</v>
      </c>
      <c r="E117" s="64" t="str">
        <f t="shared" si="6"/>
        <v>DPC.STI.99</v>
      </c>
      <c r="F117" s="321" t="s">
        <v>2344</v>
      </c>
      <c r="G117" s="319" t="s">
        <v>154</v>
      </c>
      <c r="H117" s="319" t="s">
        <v>2791</v>
      </c>
      <c r="I117" s="321" t="s">
        <v>241</v>
      </c>
      <c r="J117" s="320" t="s">
        <v>201</v>
      </c>
      <c r="K117" s="64" t="s">
        <v>975</v>
      </c>
      <c r="L117" s="321" t="s">
        <v>975</v>
      </c>
      <c r="M117" s="320" t="s">
        <v>975</v>
      </c>
      <c r="N117" s="321" t="str">
        <f>RegionSelect!$B$2</f>
        <v>Ethiopia</v>
      </c>
      <c r="O117" s="195">
        <f>O114</f>
        <v>2.0927000000000001E-4</v>
      </c>
      <c r="P117" s="321" t="s">
        <v>2196</v>
      </c>
      <c r="Q117" s="195"/>
      <c r="R117" s="195"/>
      <c r="S117" s="89">
        <f>S114</f>
        <v>0.90986310592664843</v>
      </c>
      <c r="T117">
        <v>1</v>
      </c>
      <c r="V117" s="6">
        <v>15</v>
      </c>
      <c r="AA117" t="s">
        <v>3025</v>
      </c>
    </row>
    <row r="118" spans="1:27" x14ac:dyDescent="0.25">
      <c r="A118" s="357" t="s">
        <v>2339</v>
      </c>
      <c r="B118" s="357" t="s">
        <v>2337</v>
      </c>
      <c r="C118" s="357" t="s">
        <v>2338</v>
      </c>
      <c r="D118" s="66">
        <v>100</v>
      </c>
      <c r="E118" s="64" t="str">
        <f t="shared" si="6"/>
        <v>DPC.STI.100</v>
      </c>
      <c r="F118" s="321" t="s">
        <v>2345</v>
      </c>
      <c r="G118" s="319" t="s">
        <v>154</v>
      </c>
      <c r="H118" s="319" t="s">
        <v>2791</v>
      </c>
      <c r="I118" s="321" t="s">
        <v>241</v>
      </c>
      <c r="J118" s="320" t="s">
        <v>201</v>
      </c>
      <c r="K118" s="64" t="s">
        <v>975</v>
      </c>
      <c r="L118" s="321" t="s">
        <v>194</v>
      </c>
      <c r="M118" s="320" t="s">
        <v>194</v>
      </c>
      <c r="N118" s="321" t="str">
        <f>RegionSelect!$B$2</f>
        <v>Ethiopia</v>
      </c>
      <c r="O118" s="371"/>
      <c r="P118" s="321" t="s">
        <v>2196</v>
      </c>
      <c r="Q118" s="195"/>
      <c r="R118" s="195"/>
      <c r="S118" s="89">
        <f>S114</f>
        <v>0.90986310592664843</v>
      </c>
      <c r="T118">
        <v>1</v>
      </c>
      <c r="V118" s="6">
        <v>10</v>
      </c>
      <c r="Y118" t="s">
        <v>975</v>
      </c>
    </row>
    <row r="119" spans="1:27" x14ac:dyDescent="0.25">
      <c r="A119" s="357" t="s">
        <v>2339</v>
      </c>
      <c r="B119" s="357" t="s">
        <v>2337</v>
      </c>
      <c r="C119" s="357" t="s">
        <v>2338</v>
      </c>
      <c r="D119" s="66">
        <v>101</v>
      </c>
      <c r="E119" s="64" t="str">
        <f t="shared" si="6"/>
        <v>DPC.STI.101</v>
      </c>
      <c r="F119" s="321" t="s">
        <v>2346</v>
      </c>
      <c r="G119" s="319" t="s">
        <v>154</v>
      </c>
      <c r="H119" s="319" t="s">
        <v>2790</v>
      </c>
      <c r="I119" s="321" t="s">
        <v>241</v>
      </c>
      <c r="J119" s="320" t="s">
        <v>253</v>
      </c>
      <c r="K119" s="64" t="s">
        <v>975</v>
      </c>
      <c r="L119" s="321" t="s">
        <v>194</v>
      </c>
      <c r="M119" s="320" t="s">
        <v>194</v>
      </c>
      <c r="N119" s="321" t="str">
        <f>RegionSelect!$B$2</f>
        <v>Ethiopia</v>
      </c>
      <c r="O119" s="145">
        <f>IFERROR(VLOOKUP(_xlfn.CONCAT(AA119,RegionSelect!$C$2),RegionalData!$C:$S,13,FALSE),VLOOKUP(_xlfn.CONCAT(AA119,"ET"),RegionalData!$C:$S,13,FALSE))</f>
        <v>8.619700000000001E-3</v>
      </c>
      <c r="P119" s="321" t="s">
        <v>1863</v>
      </c>
      <c r="Q119">
        <v>2</v>
      </c>
      <c r="R119" t="s">
        <v>2625</v>
      </c>
      <c r="S119" s="89">
        <f>'HIV Prev'!BM272</f>
        <v>0.95774059274059287</v>
      </c>
      <c r="U119">
        <v>4</v>
      </c>
      <c r="V119" s="6">
        <v>5</v>
      </c>
      <c r="Y119" t="s">
        <v>975</v>
      </c>
      <c r="AA119" t="s">
        <v>3029</v>
      </c>
    </row>
    <row r="120" spans="1:27" x14ac:dyDescent="0.25">
      <c r="A120" s="357" t="s">
        <v>2339</v>
      </c>
      <c r="B120" s="357" t="s">
        <v>2337</v>
      </c>
      <c r="C120" s="357" t="s">
        <v>69</v>
      </c>
      <c r="D120" s="66">
        <v>102</v>
      </c>
      <c r="E120" s="64" t="str">
        <f>_xlfn.CONCAT("DPC.Mlr.",D120)</f>
        <v>DPC.Mlr.102</v>
      </c>
      <c r="F120" s="321" t="s">
        <v>2352</v>
      </c>
      <c r="G120" s="321" t="s">
        <v>2249</v>
      </c>
      <c r="H120" s="321" t="s">
        <v>206</v>
      </c>
      <c r="I120" s="321" t="s">
        <v>69</v>
      </c>
      <c r="J120" s="320" t="s">
        <v>212</v>
      </c>
      <c r="K120" s="64" t="s">
        <v>975</v>
      </c>
      <c r="L120" s="321" t="s">
        <v>975</v>
      </c>
      <c r="M120" s="320" t="s">
        <v>975</v>
      </c>
      <c r="N120" s="372" t="str">
        <f>RegionSelect!$B$2</f>
        <v>Ethiopia</v>
      </c>
      <c r="O120" s="145">
        <f>IFERROR(VLOOKUP(_xlfn.CONCAT(AA120,RegionSelect!$C$2),RegionalData!$C:$S,13,FALSE),VLOOKUP(_xlfn.CONCAT(AA120,"ET"),RegionalData!$C:$S,13,FALSE))</f>
        <v>0.21276595744680851</v>
      </c>
      <c r="P120" s="195" t="s">
        <v>2367</v>
      </c>
      <c r="Q120" s="347"/>
      <c r="R120" s="347"/>
      <c r="T120" s="195"/>
      <c r="U120" s="347">
        <v>1</v>
      </c>
      <c r="V120" s="347">
        <v>5</v>
      </c>
      <c r="W120" s="347"/>
      <c r="X120" s="347"/>
      <c r="Y120" t="s">
        <v>975</v>
      </c>
      <c r="Z120" s="337" t="s">
        <v>2366</v>
      </c>
      <c r="AA120" t="s">
        <v>3050</v>
      </c>
    </row>
    <row r="121" spans="1:27" x14ac:dyDescent="0.25">
      <c r="A121" s="357" t="s">
        <v>2339</v>
      </c>
      <c r="B121" s="357" t="s">
        <v>2337</v>
      </c>
      <c r="C121" s="357" t="s">
        <v>69</v>
      </c>
      <c r="D121" s="66">
        <v>103</v>
      </c>
      <c r="F121" s="321" t="s">
        <v>2355</v>
      </c>
      <c r="G121" s="321" t="s">
        <v>154</v>
      </c>
      <c r="I121" s="321"/>
      <c r="K121" s="64" t="s">
        <v>975</v>
      </c>
      <c r="L121" s="321" t="s">
        <v>975</v>
      </c>
      <c r="M121" s="320" t="s">
        <v>194</v>
      </c>
      <c r="N121" s="321" t="str">
        <f>RegionSelect!$B$2</f>
        <v>Ethiopia</v>
      </c>
      <c r="P121" s="195"/>
      <c r="Q121" s="195"/>
      <c r="R121" s="195"/>
      <c r="S121" s="195"/>
      <c r="T121" s="195"/>
    </row>
    <row r="122" spans="1:27" x14ac:dyDescent="0.25">
      <c r="A122" s="357" t="s">
        <v>2339</v>
      </c>
      <c r="B122" s="357" t="s">
        <v>2337</v>
      </c>
      <c r="C122" s="357" t="s">
        <v>69</v>
      </c>
      <c r="D122" s="66">
        <v>103</v>
      </c>
      <c r="E122" s="64" t="s">
        <v>2356</v>
      </c>
      <c r="F122" s="321" t="s">
        <v>2361</v>
      </c>
      <c r="G122" s="321" t="s">
        <v>154</v>
      </c>
      <c r="H122" s="321" t="s">
        <v>2791</v>
      </c>
      <c r="I122" s="321" t="s">
        <v>69</v>
      </c>
      <c r="J122" s="320" t="s">
        <v>201</v>
      </c>
      <c r="K122" s="64" t="s">
        <v>975</v>
      </c>
      <c r="L122" s="321" t="s">
        <v>975</v>
      </c>
      <c r="M122" s="320" t="s">
        <v>194</v>
      </c>
      <c r="N122" s="372" t="str">
        <f>RegionSelect!$B$2</f>
        <v>Ethiopia</v>
      </c>
      <c r="O122" s="195">
        <f>O124*0.9</f>
        <v>3.3109200000000005E-2</v>
      </c>
      <c r="P122" s="321" t="s">
        <v>2196</v>
      </c>
      <c r="Q122" s="195"/>
      <c r="R122" s="195"/>
      <c r="S122" s="195">
        <f>'Malaria Incid'!BM272</f>
        <v>0.87556301899925537</v>
      </c>
      <c r="T122" s="348">
        <v>1</v>
      </c>
      <c r="V122" s="347">
        <v>10</v>
      </c>
    </row>
    <row r="123" spans="1:27" x14ac:dyDescent="0.25">
      <c r="A123" s="357" t="s">
        <v>2339</v>
      </c>
      <c r="B123" s="357" t="s">
        <v>2337</v>
      </c>
      <c r="C123" s="357" t="s">
        <v>69</v>
      </c>
      <c r="D123" s="66">
        <v>103</v>
      </c>
      <c r="E123" s="64" t="s">
        <v>2357</v>
      </c>
      <c r="F123" s="321" t="s">
        <v>2362</v>
      </c>
      <c r="G123" s="321" t="s">
        <v>154</v>
      </c>
      <c r="H123" s="321" t="s">
        <v>2791</v>
      </c>
      <c r="I123" s="321" t="s">
        <v>69</v>
      </c>
      <c r="J123" s="320" t="s">
        <v>209</v>
      </c>
      <c r="K123" s="64" t="s">
        <v>975</v>
      </c>
      <c r="L123" s="321" t="s">
        <v>975</v>
      </c>
      <c r="M123" s="320" t="s">
        <v>194</v>
      </c>
      <c r="N123" s="372" t="str">
        <f>RegionSelect!$B$2</f>
        <v>Ethiopia</v>
      </c>
      <c r="O123" s="346">
        <f>O122</f>
        <v>3.3109200000000005E-2</v>
      </c>
      <c r="P123" s="321" t="s">
        <v>2196</v>
      </c>
      <c r="Q123" s="195"/>
      <c r="R123" s="195"/>
      <c r="S123" s="195">
        <f>S122</f>
        <v>0.87556301899925537</v>
      </c>
      <c r="T123" s="348">
        <v>1</v>
      </c>
      <c r="V123" s="347">
        <v>10</v>
      </c>
    </row>
    <row r="124" spans="1:27" x14ac:dyDescent="0.25">
      <c r="A124" s="357" t="s">
        <v>2339</v>
      </c>
      <c r="B124" s="357" t="s">
        <v>2337</v>
      </c>
      <c r="C124" s="357" t="s">
        <v>69</v>
      </c>
      <c r="D124" s="66">
        <v>103</v>
      </c>
      <c r="E124" s="64" t="s">
        <v>2360</v>
      </c>
      <c r="F124" s="321" t="s">
        <v>2363</v>
      </c>
      <c r="G124" s="321" t="s">
        <v>154</v>
      </c>
      <c r="H124" s="321" t="s">
        <v>206</v>
      </c>
      <c r="I124" s="321" t="s">
        <v>69</v>
      </c>
      <c r="J124" s="320" t="s">
        <v>212</v>
      </c>
      <c r="K124" s="64" t="s">
        <v>975</v>
      </c>
      <c r="L124" s="321" t="s">
        <v>975</v>
      </c>
      <c r="M124" s="320" t="s">
        <v>194</v>
      </c>
      <c r="N124" s="372" t="str">
        <f>RegionSelect!$B$2</f>
        <v>Ethiopia</v>
      </c>
      <c r="O124" s="145">
        <f>IFERROR(VLOOKUP(_xlfn.CONCAT(AA124,RegionSelect!$C$2),RegionalData!$C:$S,13,FALSE),VLOOKUP(_xlfn.CONCAT(AA124,"ET"),RegionalData!$C:$S,13,FALSE))</f>
        <v>3.6788000000000001E-2</v>
      </c>
      <c r="P124" s="321" t="s">
        <v>2196</v>
      </c>
      <c r="Q124" s="348">
        <v>4</v>
      </c>
      <c r="R124" s="349" t="s">
        <v>2351</v>
      </c>
      <c r="S124" s="89">
        <v>1</v>
      </c>
      <c r="T124" s="348">
        <v>1</v>
      </c>
      <c r="V124" s="347">
        <v>5</v>
      </c>
      <c r="AA124" t="s">
        <v>3072</v>
      </c>
    </row>
    <row r="125" spans="1:27" x14ac:dyDescent="0.25">
      <c r="A125" s="357" t="s">
        <v>2339</v>
      </c>
      <c r="B125" s="357" t="s">
        <v>2337</v>
      </c>
      <c r="C125" s="357" t="s">
        <v>69</v>
      </c>
      <c r="D125" s="66">
        <v>104</v>
      </c>
      <c r="F125" s="321" t="s">
        <v>2354</v>
      </c>
      <c r="G125" s="321" t="s">
        <v>154</v>
      </c>
      <c r="I125" s="321"/>
      <c r="K125" s="64" t="s">
        <v>975</v>
      </c>
      <c r="L125" s="321" t="s">
        <v>975</v>
      </c>
      <c r="M125" s="320" t="s">
        <v>194</v>
      </c>
      <c r="N125" s="321" t="str">
        <f>RegionSelect!$B$2</f>
        <v>Ethiopia</v>
      </c>
      <c r="P125" s="195"/>
      <c r="Q125" s="195"/>
      <c r="R125" s="195"/>
      <c r="S125" s="195"/>
      <c r="T125" s="195"/>
    </row>
    <row r="126" spans="1:27" x14ac:dyDescent="0.25">
      <c r="A126" s="357" t="s">
        <v>2339</v>
      </c>
      <c r="B126" s="357" t="s">
        <v>2337</v>
      </c>
      <c r="C126" s="357" t="s">
        <v>69</v>
      </c>
      <c r="D126" s="66">
        <v>104</v>
      </c>
      <c r="E126" s="64" t="s">
        <v>2358</v>
      </c>
      <c r="F126" s="321" t="s">
        <v>2364</v>
      </c>
      <c r="G126" s="321" t="s">
        <v>154</v>
      </c>
      <c r="H126" s="321" t="s">
        <v>2791</v>
      </c>
      <c r="I126" s="321" t="s">
        <v>69</v>
      </c>
      <c r="J126" s="320" t="s">
        <v>201</v>
      </c>
      <c r="K126" s="64" t="s">
        <v>975</v>
      </c>
      <c r="L126" s="321" t="s">
        <v>975</v>
      </c>
      <c r="M126" s="320" t="s">
        <v>194</v>
      </c>
      <c r="N126" s="372" t="str">
        <f>RegionSelect!$B$2</f>
        <v>Ethiopia</v>
      </c>
      <c r="O126" s="195">
        <f>O124*0.1</f>
        <v>3.6788000000000003E-3</v>
      </c>
      <c r="P126" s="321" t="s">
        <v>2196</v>
      </c>
      <c r="Q126" s="195"/>
      <c r="R126" s="195"/>
      <c r="S126" s="195">
        <f>S122</f>
        <v>0.87556301899925537</v>
      </c>
      <c r="T126" s="348">
        <v>1</v>
      </c>
      <c r="V126" s="347">
        <v>15</v>
      </c>
    </row>
    <row r="127" spans="1:27" x14ac:dyDescent="0.25">
      <c r="A127" s="357" t="s">
        <v>2339</v>
      </c>
      <c r="B127" s="357" t="s">
        <v>2337</v>
      </c>
      <c r="C127" s="357" t="s">
        <v>69</v>
      </c>
      <c r="D127" s="66">
        <v>104</v>
      </c>
      <c r="E127" s="64" t="s">
        <v>2359</v>
      </c>
      <c r="F127" s="321" t="s">
        <v>2365</v>
      </c>
      <c r="G127" s="321" t="s">
        <v>154</v>
      </c>
      <c r="H127" s="321" t="s">
        <v>2791</v>
      </c>
      <c r="I127" s="321" t="s">
        <v>69</v>
      </c>
      <c r="J127" s="320" t="s">
        <v>209</v>
      </c>
      <c r="K127" s="64" t="s">
        <v>975</v>
      </c>
      <c r="L127" s="321" t="s">
        <v>975</v>
      </c>
      <c r="M127" s="320" t="s">
        <v>194</v>
      </c>
      <c r="N127" s="372" t="str">
        <f>RegionSelect!$B$2</f>
        <v>Ethiopia</v>
      </c>
      <c r="O127" s="346">
        <f>O126</f>
        <v>3.6788000000000003E-3</v>
      </c>
      <c r="P127" s="321" t="s">
        <v>2196</v>
      </c>
      <c r="Q127" s="195"/>
      <c r="R127" s="195"/>
      <c r="S127" s="195">
        <f>S122</f>
        <v>0.87556301899925537</v>
      </c>
      <c r="T127" s="348">
        <v>1</v>
      </c>
      <c r="V127" s="347">
        <v>15</v>
      </c>
    </row>
    <row r="128" spans="1:27" x14ac:dyDescent="0.25">
      <c r="A128" s="357" t="s">
        <v>2339</v>
      </c>
      <c r="B128" s="357" t="s">
        <v>2337</v>
      </c>
      <c r="C128" s="357" t="s">
        <v>69</v>
      </c>
      <c r="D128" s="66">
        <v>105</v>
      </c>
      <c r="E128" s="64" t="str">
        <f t="shared" ref="E128:E130" si="7">_xlfn.CONCAT("DPC.Mlr.",D128)</f>
        <v>DPC.Mlr.105</v>
      </c>
      <c r="F128" s="321" t="s">
        <v>2353</v>
      </c>
      <c r="G128" s="321" t="s">
        <v>193</v>
      </c>
      <c r="H128" s="319" t="s">
        <v>206</v>
      </c>
      <c r="I128" s="321" t="s">
        <v>69</v>
      </c>
      <c r="J128" s="320" t="s">
        <v>194</v>
      </c>
      <c r="K128" s="64" t="s">
        <v>975</v>
      </c>
      <c r="L128" s="321" t="s">
        <v>975</v>
      </c>
      <c r="M128" s="320" t="s">
        <v>975</v>
      </c>
      <c r="N128" s="321" t="str">
        <f>RegionSelect!$B$2</f>
        <v>Ethiopia</v>
      </c>
      <c r="P128" s="195"/>
      <c r="Q128" s="195"/>
      <c r="R128" s="195"/>
      <c r="S128" s="195"/>
      <c r="T128" s="195"/>
      <c r="Y128" t="s">
        <v>975</v>
      </c>
      <c r="Z128" t="s">
        <v>2368</v>
      </c>
    </row>
    <row r="129" spans="1:27" x14ac:dyDescent="0.25">
      <c r="A129" s="357" t="s">
        <v>2339</v>
      </c>
      <c r="B129" s="357" t="s">
        <v>2337</v>
      </c>
      <c r="C129" s="357" t="s">
        <v>69</v>
      </c>
      <c r="D129" s="66">
        <v>106</v>
      </c>
      <c r="E129" s="64" t="str">
        <f t="shared" si="7"/>
        <v>DPC.Mlr.106</v>
      </c>
      <c r="F129" s="321" t="s">
        <v>2342</v>
      </c>
      <c r="G129" s="321" t="s">
        <v>2249</v>
      </c>
      <c r="H129" s="319" t="s">
        <v>206</v>
      </c>
      <c r="I129" s="321" t="s">
        <v>69</v>
      </c>
      <c r="J129" s="320" t="s">
        <v>194</v>
      </c>
      <c r="K129" s="64" t="s">
        <v>975</v>
      </c>
      <c r="L129" s="321" t="s">
        <v>975</v>
      </c>
      <c r="M129" s="320" t="s">
        <v>975</v>
      </c>
      <c r="N129" s="321" t="str">
        <f>RegionSelect!$B$2</f>
        <v>Ethiopia</v>
      </c>
      <c r="P129" s="195"/>
      <c r="Q129" s="195"/>
      <c r="R129" s="195"/>
      <c r="S129" s="195"/>
      <c r="T129" s="195"/>
      <c r="Y129" t="s">
        <v>975</v>
      </c>
      <c r="Z129" t="s">
        <v>2333</v>
      </c>
    </row>
    <row r="130" spans="1:27" x14ac:dyDescent="0.25">
      <c r="A130" s="357" t="s">
        <v>2339</v>
      </c>
      <c r="B130" s="357" t="s">
        <v>2337</v>
      </c>
      <c r="C130" s="357" t="s">
        <v>69</v>
      </c>
      <c r="D130" s="66">
        <v>107</v>
      </c>
      <c r="E130" s="64" t="str">
        <f t="shared" si="7"/>
        <v>DPC.Mlr.107</v>
      </c>
      <c r="F130" s="321" t="s">
        <v>2246</v>
      </c>
      <c r="G130" s="321" t="s">
        <v>2249</v>
      </c>
      <c r="H130" s="321" t="s">
        <v>206</v>
      </c>
      <c r="I130" s="321" t="s">
        <v>69</v>
      </c>
      <c r="J130" s="320" t="s">
        <v>194</v>
      </c>
      <c r="K130" s="64" t="s">
        <v>975</v>
      </c>
      <c r="L130" s="321" t="s">
        <v>975</v>
      </c>
      <c r="M130" s="320" t="s">
        <v>975</v>
      </c>
      <c r="N130" s="321" t="str">
        <f>RegionSelect!$B$2</f>
        <v>Ethiopia</v>
      </c>
      <c r="P130" s="195"/>
      <c r="Q130" s="195"/>
      <c r="R130" s="195"/>
      <c r="S130" s="195"/>
      <c r="T130" s="195"/>
      <c r="Y130" t="s">
        <v>975</v>
      </c>
      <c r="Z130" t="s">
        <v>2368</v>
      </c>
    </row>
    <row r="131" spans="1:27" x14ac:dyDescent="0.25">
      <c r="A131" s="357" t="s">
        <v>2339</v>
      </c>
      <c r="B131" s="357" t="s">
        <v>2337</v>
      </c>
      <c r="C131" s="357" t="s">
        <v>2369</v>
      </c>
      <c r="D131" s="66">
        <v>108</v>
      </c>
      <c r="F131" s="321" t="s">
        <v>2370</v>
      </c>
      <c r="G131" s="321" t="s">
        <v>154</v>
      </c>
      <c r="H131" s="321" t="s">
        <v>2791</v>
      </c>
      <c r="I131" s="319" t="s">
        <v>200</v>
      </c>
      <c r="J131" s="320" t="s">
        <v>201</v>
      </c>
      <c r="K131" s="64" t="s">
        <v>975</v>
      </c>
      <c r="L131" s="321" t="s">
        <v>975</v>
      </c>
      <c r="M131" s="320" t="s">
        <v>975</v>
      </c>
      <c r="N131" s="321" t="str">
        <f>RegionSelect!$B$2</f>
        <v>Ethiopia</v>
      </c>
      <c r="P131" s="195"/>
      <c r="S131"/>
      <c r="V131"/>
      <c r="Z131" t="s">
        <v>2379</v>
      </c>
    </row>
    <row r="132" spans="1:27" x14ac:dyDescent="0.25">
      <c r="A132" s="357" t="s">
        <v>2339</v>
      </c>
      <c r="B132" s="357" t="s">
        <v>2337</v>
      </c>
      <c r="C132" s="357" t="s">
        <v>2369</v>
      </c>
      <c r="D132" s="66">
        <v>108</v>
      </c>
      <c r="E132" s="64" t="s">
        <v>2375</v>
      </c>
      <c r="F132" s="321" t="s">
        <v>2377</v>
      </c>
      <c r="G132" s="321" t="s">
        <v>154</v>
      </c>
      <c r="H132" s="321" t="s">
        <v>2791</v>
      </c>
      <c r="I132" s="319" t="s">
        <v>200</v>
      </c>
      <c r="J132" s="320" t="s">
        <v>201</v>
      </c>
      <c r="K132" s="64" t="s">
        <v>975</v>
      </c>
      <c r="L132" s="321" t="s">
        <v>975</v>
      </c>
      <c r="M132" s="320" t="s">
        <v>975</v>
      </c>
      <c r="N132" s="321" t="str">
        <f>RegionSelect!$B$2</f>
        <v>Ethiopia</v>
      </c>
      <c r="O132" s="145">
        <f>IFERROR(VLOOKUP(_xlfn.CONCAT(AA132,RegionSelect!$C$2),RegionalData!$C:$S,13,FALSE),VLOOKUP(_xlfn.CONCAT(AA132,"ET"),RegionalData!$C:$S,13,FALSE))</f>
        <v>1.32E-3</v>
      </c>
      <c r="P132" s="195" t="s">
        <v>2196</v>
      </c>
      <c r="Q132">
        <f>1/'DALYs '!M314</f>
        <v>8.3333333333333339</v>
      </c>
      <c r="R132" s="195" t="s">
        <v>2374</v>
      </c>
      <c r="S132" s="89">
        <f>'TB Incidence'!BM272</f>
        <v>0.92465934537590888</v>
      </c>
      <c r="T132">
        <v>1</v>
      </c>
      <c r="V132">
        <v>10</v>
      </c>
      <c r="AA132" t="s">
        <v>3078</v>
      </c>
    </row>
    <row r="133" spans="1:27" x14ac:dyDescent="0.25">
      <c r="A133" s="357" t="s">
        <v>2339</v>
      </c>
      <c r="B133" s="357" t="s">
        <v>2337</v>
      </c>
      <c r="C133" s="357" t="s">
        <v>2369</v>
      </c>
      <c r="D133" s="66">
        <v>108</v>
      </c>
      <c r="E133" s="64" t="s">
        <v>2376</v>
      </c>
      <c r="F133" s="321" t="s">
        <v>2378</v>
      </c>
      <c r="G133" s="321" t="s">
        <v>154</v>
      </c>
      <c r="H133" s="321" t="s">
        <v>2791</v>
      </c>
      <c r="I133" s="319" t="s">
        <v>200</v>
      </c>
      <c r="J133" s="320" t="s">
        <v>201</v>
      </c>
      <c r="K133" s="64" t="s">
        <v>975</v>
      </c>
      <c r="L133" s="321" t="s">
        <v>975</v>
      </c>
      <c r="M133" s="320" t="s">
        <v>975</v>
      </c>
      <c r="N133" s="321" t="str">
        <f>RegionSelect!$B$2</f>
        <v>Ethiopia</v>
      </c>
      <c r="O133" s="195">
        <f>O132</f>
        <v>1.32E-3</v>
      </c>
      <c r="P133" s="195" t="s">
        <v>2196</v>
      </c>
      <c r="Q133" s="195"/>
      <c r="R133" s="195"/>
      <c r="S133" s="89">
        <f>S132</f>
        <v>0.92465934537590888</v>
      </c>
      <c r="T133">
        <v>1</v>
      </c>
      <c r="V133">
        <v>10</v>
      </c>
    </row>
    <row r="134" spans="1:27" x14ac:dyDescent="0.25">
      <c r="A134" s="357" t="s">
        <v>2339</v>
      </c>
      <c r="B134" s="357" t="s">
        <v>2337</v>
      </c>
      <c r="C134" s="357" t="s">
        <v>2369</v>
      </c>
      <c r="D134" s="66">
        <v>109</v>
      </c>
      <c r="E134" s="64" t="str">
        <f t="shared" ref="E134:E135" si="8">_xlfn.CONCAT("DPC.TB.",D134)</f>
        <v>DPC.TB.109</v>
      </c>
      <c r="F134" s="321" t="s">
        <v>2371</v>
      </c>
      <c r="G134" s="321" t="s">
        <v>154</v>
      </c>
      <c r="H134" s="321" t="s">
        <v>2791</v>
      </c>
      <c r="I134" s="319" t="s">
        <v>200</v>
      </c>
      <c r="J134" s="320" t="s">
        <v>201</v>
      </c>
      <c r="K134" s="64" t="s">
        <v>975</v>
      </c>
      <c r="L134" s="321" t="s">
        <v>975</v>
      </c>
      <c r="N134" s="321" t="str">
        <f>RegionSelect!$B$2</f>
        <v>Ethiopia</v>
      </c>
      <c r="O134" s="195">
        <f>O132</f>
        <v>1.32E-3</v>
      </c>
      <c r="P134" s="195" t="s">
        <v>2196</v>
      </c>
      <c r="Q134" s="195"/>
      <c r="R134" s="195"/>
      <c r="S134" s="89">
        <f>S132</f>
        <v>0.92465934537590888</v>
      </c>
      <c r="T134" s="5">
        <f>2*30+4*30*0.2</f>
        <v>84</v>
      </c>
      <c r="V134" s="6">
        <v>5</v>
      </c>
      <c r="Y134" t="s">
        <v>975</v>
      </c>
      <c r="Z134" t="s">
        <v>2430</v>
      </c>
    </row>
    <row r="135" spans="1:27" x14ac:dyDescent="0.25">
      <c r="A135" s="357" t="s">
        <v>2339</v>
      </c>
      <c r="B135" s="357" t="s">
        <v>2337</v>
      </c>
      <c r="C135" s="357" t="s">
        <v>2369</v>
      </c>
      <c r="D135" s="66">
        <v>110</v>
      </c>
      <c r="E135" s="64" t="str">
        <f t="shared" si="8"/>
        <v>DPC.TB.110</v>
      </c>
      <c r="F135" s="321" t="s">
        <v>2372</v>
      </c>
      <c r="G135" s="321" t="s">
        <v>2249</v>
      </c>
      <c r="H135" s="319" t="s">
        <v>206</v>
      </c>
      <c r="I135" s="319" t="s">
        <v>200</v>
      </c>
      <c r="J135" s="320" t="s">
        <v>194</v>
      </c>
      <c r="K135" s="64" t="s">
        <v>975</v>
      </c>
      <c r="L135" s="321" t="s">
        <v>975</v>
      </c>
      <c r="M135" s="320" t="s">
        <v>975</v>
      </c>
      <c r="N135" s="321" t="str">
        <f>RegionSelect!$B$2</f>
        <v>Ethiopia</v>
      </c>
      <c r="P135" s="195"/>
      <c r="Q135" s="195"/>
      <c r="R135" s="195"/>
      <c r="S135" s="195"/>
      <c r="T135" s="195"/>
      <c r="Y135" t="s">
        <v>975</v>
      </c>
      <c r="Z135" t="s">
        <v>2373</v>
      </c>
    </row>
    <row r="136" spans="1:27" x14ac:dyDescent="0.25">
      <c r="A136" s="357" t="s">
        <v>2339</v>
      </c>
      <c r="B136" s="357" t="s">
        <v>2337</v>
      </c>
      <c r="C136" s="357" t="s">
        <v>2369</v>
      </c>
      <c r="D136" s="66">
        <v>111</v>
      </c>
      <c r="E136" s="344"/>
      <c r="F136" s="345" t="s">
        <v>2237</v>
      </c>
      <c r="N136" s="321" t="str">
        <f>RegionSelect!$B$2</f>
        <v>Ethiopia</v>
      </c>
    </row>
    <row r="137" spans="1:27" x14ac:dyDescent="0.25">
      <c r="A137" s="357" t="s">
        <v>2339</v>
      </c>
      <c r="B137" s="357" t="s">
        <v>2380</v>
      </c>
      <c r="C137" s="357" t="s">
        <v>2381</v>
      </c>
      <c r="D137" s="66">
        <v>112</v>
      </c>
      <c r="E137" s="64" t="s">
        <v>2385</v>
      </c>
      <c r="F137" s="319" t="s">
        <v>2382</v>
      </c>
      <c r="G137" s="319" t="s">
        <v>2249</v>
      </c>
      <c r="H137" s="321" t="s">
        <v>206</v>
      </c>
      <c r="I137" s="321" t="s">
        <v>194</v>
      </c>
      <c r="J137" s="321" t="s">
        <v>194</v>
      </c>
      <c r="K137" s="64" t="s">
        <v>975</v>
      </c>
      <c r="L137" s="321" t="s">
        <v>975</v>
      </c>
      <c r="M137" s="320" t="s">
        <v>975</v>
      </c>
      <c r="N137" s="321" t="str">
        <f>RegionSelect!$B$2</f>
        <v>Ethiopia</v>
      </c>
      <c r="P137" s="195"/>
      <c r="Q137" s="195"/>
      <c r="R137" s="195"/>
      <c r="S137" s="195"/>
      <c r="T137" s="195"/>
      <c r="Y137" t="s">
        <v>975</v>
      </c>
      <c r="Z137" t="s">
        <v>2373</v>
      </c>
    </row>
    <row r="138" spans="1:27" x14ac:dyDescent="0.25">
      <c r="A138" s="357" t="s">
        <v>2339</v>
      </c>
      <c r="B138" s="357" t="s">
        <v>2380</v>
      </c>
      <c r="C138" s="357" t="s">
        <v>2381</v>
      </c>
      <c r="D138" s="66">
        <v>113</v>
      </c>
      <c r="E138" s="64" t="s">
        <v>2386</v>
      </c>
      <c r="F138" s="319" t="s">
        <v>2383</v>
      </c>
      <c r="G138" s="319" t="s">
        <v>2249</v>
      </c>
      <c r="H138" s="321" t="s">
        <v>206</v>
      </c>
      <c r="I138" s="321" t="s">
        <v>194</v>
      </c>
      <c r="J138" s="321" t="s">
        <v>194</v>
      </c>
      <c r="K138" s="64" t="s">
        <v>975</v>
      </c>
      <c r="L138" s="321" t="s">
        <v>975</v>
      </c>
      <c r="M138" s="320" t="s">
        <v>975</v>
      </c>
      <c r="N138" s="321" t="str">
        <f>RegionSelect!$B$2</f>
        <v>Ethiopia</v>
      </c>
      <c r="P138" s="195"/>
      <c r="Q138" s="195"/>
      <c r="R138" s="195"/>
      <c r="S138" s="195"/>
      <c r="T138" s="195"/>
      <c r="Y138" t="s">
        <v>975</v>
      </c>
      <c r="Z138" t="s">
        <v>2373</v>
      </c>
    </row>
    <row r="139" spans="1:27" x14ac:dyDescent="0.25">
      <c r="A139" s="357" t="s">
        <v>2339</v>
      </c>
      <c r="B139" s="357" t="s">
        <v>2380</v>
      </c>
      <c r="C139" s="357" t="s">
        <v>2381</v>
      </c>
      <c r="D139" s="66">
        <v>114</v>
      </c>
      <c r="E139" s="64" t="s">
        <v>2387</v>
      </c>
      <c r="F139" s="319" t="s">
        <v>2384</v>
      </c>
      <c r="G139" s="319" t="s">
        <v>2249</v>
      </c>
      <c r="H139" s="321" t="s">
        <v>206</v>
      </c>
      <c r="I139" s="321" t="s">
        <v>194</v>
      </c>
      <c r="J139" s="321" t="s">
        <v>194</v>
      </c>
      <c r="K139" s="64" t="s">
        <v>975</v>
      </c>
      <c r="L139" s="321" t="s">
        <v>975</v>
      </c>
      <c r="M139" s="320" t="s">
        <v>975</v>
      </c>
      <c r="N139" s="321" t="str">
        <f>RegionSelect!$B$2</f>
        <v>Ethiopia</v>
      </c>
      <c r="P139" s="195"/>
      <c r="Q139" s="195"/>
      <c r="R139" s="195"/>
      <c r="S139" s="195"/>
      <c r="T139" s="195"/>
      <c r="Y139" t="s">
        <v>975</v>
      </c>
      <c r="Z139" t="s">
        <v>2373</v>
      </c>
    </row>
    <row r="140" spans="1:27" x14ac:dyDescent="0.25">
      <c r="A140" s="357" t="s">
        <v>2339</v>
      </c>
      <c r="B140" s="357" t="s">
        <v>2380</v>
      </c>
      <c r="C140" s="357" t="s">
        <v>2388</v>
      </c>
      <c r="D140" s="66">
        <v>115</v>
      </c>
      <c r="E140" s="64" t="str">
        <f>_xlfn.CONCAT("DPC.Cncr.",D140)</f>
        <v>DPC.Cncr.115</v>
      </c>
      <c r="F140" s="321" t="s">
        <v>2389</v>
      </c>
      <c r="G140" s="319" t="s">
        <v>2249</v>
      </c>
      <c r="H140" s="321" t="s">
        <v>206</v>
      </c>
      <c r="I140" s="321" t="s">
        <v>194</v>
      </c>
      <c r="J140" s="321" t="s">
        <v>194</v>
      </c>
      <c r="K140" s="64" t="s">
        <v>975</v>
      </c>
      <c r="L140" s="321" t="s">
        <v>975</v>
      </c>
      <c r="M140" s="320" t="s">
        <v>975</v>
      </c>
      <c r="N140" s="321" t="str">
        <f>RegionSelect!$B$2</f>
        <v>Ethiopia</v>
      </c>
      <c r="P140" s="195"/>
      <c r="Q140" s="195"/>
      <c r="R140" s="195"/>
      <c r="S140" s="195"/>
      <c r="T140" s="195"/>
      <c r="Y140" t="s">
        <v>975</v>
      </c>
      <c r="Z140" t="s">
        <v>2373</v>
      </c>
    </row>
    <row r="141" spans="1:27" x14ac:dyDescent="0.25">
      <c r="A141" s="357" t="s">
        <v>2339</v>
      </c>
      <c r="B141" s="357" t="s">
        <v>2380</v>
      </c>
      <c r="C141" s="357" t="s">
        <v>2388</v>
      </c>
      <c r="D141" s="66">
        <v>116</v>
      </c>
      <c r="E141" s="64" t="str">
        <f t="shared" ref="E141:E144" si="9">_xlfn.CONCAT("DPC.Cncr.",D141)</f>
        <v>DPC.Cncr.116</v>
      </c>
      <c r="F141" s="321" t="s">
        <v>2393</v>
      </c>
      <c r="G141" s="321" t="s">
        <v>154</v>
      </c>
      <c r="H141" s="321" t="s">
        <v>2789</v>
      </c>
      <c r="I141" s="321" t="s">
        <v>220</v>
      </c>
      <c r="J141" s="320" t="s">
        <v>2563</v>
      </c>
      <c r="K141" s="64" t="s">
        <v>975</v>
      </c>
      <c r="L141" s="321" t="s">
        <v>194</v>
      </c>
      <c r="M141" s="320" t="s">
        <v>194</v>
      </c>
      <c r="N141" s="321" t="str">
        <f>RegionSelect!$B$2</f>
        <v>Ethiopia</v>
      </c>
      <c r="O141" s="145">
        <v>1</v>
      </c>
      <c r="P141" s="195" t="s">
        <v>2565</v>
      </c>
      <c r="Q141" s="195">
        <f>1/5</f>
        <v>0.2</v>
      </c>
      <c r="R141" s="195" t="s">
        <v>2564</v>
      </c>
      <c r="S141" s="89">
        <v>1</v>
      </c>
      <c r="U141">
        <v>1</v>
      </c>
      <c r="V141" s="341">
        <v>10</v>
      </c>
      <c r="Y141" t="s">
        <v>975</v>
      </c>
    </row>
    <row r="142" spans="1:27" x14ac:dyDescent="0.25">
      <c r="A142" s="357" t="s">
        <v>2339</v>
      </c>
      <c r="B142" s="357" t="s">
        <v>2380</v>
      </c>
      <c r="C142" s="357" t="s">
        <v>2388</v>
      </c>
      <c r="D142" s="66">
        <v>117</v>
      </c>
      <c r="E142" s="64" t="str">
        <f t="shared" si="9"/>
        <v>DPC.Cncr.117</v>
      </c>
      <c r="F142" s="321" t="s">
        <v>2390</v>
      </c>
      <c r="G142" s="319" t="s">
        <v>154</v>
      </c>
      <c r="H142" s="321" t="s">
        <v>206</v>
      </c>
      <c r="I142" s="321" t="s">
        <v>194</v>
      </c>
      <c r="J142" s="321" t="s">
        <v>194</v>
      </c>
      <c r="K142" s="64" t="s">
        <v>975</v>
      </c>
      <c r="L142" s="321" t="s">
        <v>975</v>
      </c>
      <c r="M142" s="320" t="s">
        <v>975</v>
      </c>
      <c r="N142" s="321" t="str">
        <f>RegionSelect!$B$2</f>
        <v>Ethiopia</v>
      </c>
      <c r="P142" s="195"/>
      <c r="Q142" s="195"/>
      <c r="R142" s="195"/>
      <c r="S142" s="195"/>
      <c r="T142" s="195"/>
      <c r="Y142" t="s">
        <v>975</v>
      </c>
      <c r="Z142" t="s">
        <v>2373</v>
      </c>
    </row>
    <row r="143" spans="1:27" x14ac:dyDescent="0.25">
      <c r="A143" s="357" t="s">
        <v>2339</v>
      </c>
      <c r="B143" s="357" t="s">
        <v>2380</v>
      </c>
      <c r="C143" s="357" t="s">
        <v>2388</v>
      </c>
      <c r="D143" s="66">
        <v>118</v>
      </c>
      <c r="E143" s="64" t="str">
        <f t="shared" si="9"/>
        <v>DPC.Cncr.118</v>
      </c>
      <c r="F143" s="321" t="s">
        <v>2391</v>
      </c>
      <c r="G143" s="321" t="s">
        <v>154</v>
      </c>
      <c r="H143" s="321" t="s">
        <v>2789</v>
      </c>
      <c r="I143" s="321" t="s">
        <v>220</v>
      </c>
      <c r="J143" s="320" t="s">
        <v>253</v>
      </c>
      <c r="K143" s="64" t="s">
        <v>975</v>
      </c>
      <c r="L143" s="321" t="s">
        <v>975</v>
      </c>
      <c r="M143" s="320" t="s">
        <v>194</v>
      </c>
      <c r="N143" s="321" t="str">
        <f>RegionSelect!$B$2</f>
        <v>Ethiopia</v>
      </c>
      <c r="O143" s="195">
        <v>1</v>
      </c>
      <c r="P143" s="195" t="s">
        <v>2558</v>
      </c>
      <c r="Q143" s="350">
        <v>0.5</v>
      </c>
      <c r="R143" s="195" t="s">
        <v>2558</v>
      </c>
      <c r="S143" s="89">
        <v>1</v>
      </c>
      <c r="U143">
        <v>1</v>
      </c>
      <c r="V143" s="341">
        <v>5</v>
      </c>
      <c r="Y143" t="s">
        <v>975</v>
      </c>
    </row>
    <row r="144" spans="1:27" x14ac:dyDescent="0.25">
      <c r="A144" s="357" t="s">
        <v>2339</v>
      </c>
      <c r="B144" s="357" t="s">
        <v>2380</v>
      </c>
      <c r="C144" s="357" t="s">
        <v>2388</v>
      </c>
      <c r="D144" s="66">
        <v>119</v>
      </c>
      <c r="E144" s="64" t="str">
        <f t="shared" si="9"/>
        <v>DPC.Cncr.119</v>
      </c>
      <c r="F144" s="321" t="s">
        <v>2392</v>
      </c>
      <c r="G144" s="321" t="s">
        <v>154</v>
      </c>
      <c r="H144" s="321" t="s">
        <v>2791</v>
      </c>
      <c r="I144" s="321" t="s">
        <v>220</v>
      </c>
      <c r="J144" s="320" t="s">
        <v>201</v>
      </c>
      <c r="K144" s="64" t="s">
        <v>975</v>
      </c>
      <c r="L144" s="321" t="s">
        <v>975</v>
      </c>
      <c r="M144" s="320" t="s">
        <v>975</v>
      </c>
      <c r="N144" s="321" t="str">
        <f>RegionSelect!$B$2</f>
        <v>Ethiopia</v>
      </c>
      <c r="O144" s="145">
        <f>IFERROR(VLOOKUP(_xlfn.CONCAT(AA144,RegionSelect!$C$2),RegionalData!$C:$S,13,FALSE),VLOOKUP(_xlfn.CONCAT(AA144,"ET"),RegionalData!$C:$S,13,FALSE))</f>
        <v>4.5100000000000001E-4</v>
      </c>
      <c r="P144" s="195" t="s">
        <v>2196</v>
      </c>
      <c r="Q144" s="346">
        <v>0.5</v>
      </c>
      <c r="R144" s="195" t="s">
        <v>2557</v>
      </c>
      <c r="S144" s="89">
        <v>1.01</v>
      </c>
      <c r="T144" s="358">
        <v>12</v>
      </c>
      <c r="V144" s="341">
        <v>15</v>
      </c>
      <c r="Y144" t="s">
        <v>975</v>
      </c>
      <c r="Z144" t="s">
        <v>2394</v>
      </c>
      <c r="AA144" t="s">
        <v>3155</v>
      </c>
    </row>
    <row r="145" spans="1:27" x14ac:dyDescent="0.25">
      <c r="A145" s="357" t="s">
        <v>2339</v>
      </c>
      <c r="B145" s="357" t="s">
        <v>2380</v>
      </c>
      <c r="C145" s="357" t="s">
        <v>2395</v>
      </c>
      <c r="D145" s="66">
        <v>120</v>
      </c>
      <c r="E145" s="64" t="str">
        <f>_xlfn.CONCAT("DPC.Hyp.",D145)</f>
        <v>DPC.Hyp.120</v>
      </c>
      <c r="F145" s="321" t="s">
        <v>2399</v>
      </c>
      <c r="G145" s="321" t="s">
        <v>154</v>
      </c>
      <c r="H145" s="321" t="s">
        <v>2789</v>
      </c>
      <c r="I145" s="321" t="s">
        <v>220</v>
      </c>
      <c r="J145" s="320" t="s">
        <v>194</v>
      </c>
      <c r="K145" s="64" t="s">
        <v>975</v>
      </c>
      <c r="L145" s="321" t="s">
        <v>975</v>
      </c>
      <c r="M145" s="320" t="s">
        <v>975</v>
      </c>
      <c r="N145" s="321" t="str">
        <f>RegionSelect!$B$2</f>
        <v>Ethiopia</v>
      </c>
      <c r="O145"/>
      <c r="P145" s="195"/>
      <c r="Q145" s="195"/>
      <c r="R145" s="195"/>
      <c r="T145" s="195"/>
      <c r="Y145" t="s">
        <v>975</v>
      </c>
      <c r="Z145" t="s">
        <v>2825</v>
      </c>
    </row>
    <row r="146" spans="1:27" x14ac:dyDescent="0.25">
      <c r="A146" s="357" t="s">
        <v>2339</v>
      </c>
      <c r="B146" s="357" t="s">
        <v>2380</v>
      </c>
      <c r="C146" s="357" t="s">
        <v>2395</v>
      </c>
      <c r="D146" s="66">
        <v>121</v>
      </c>
      <c r="E146" s="64" t="str">
        <f t="shared" ref="E146:E147" si="10">_xlfn.CONCAT("DPC.Hyp.",D146)</f>
        <v>DPC.Hyp.121</v>
      </c>
      <c r="F146" s="321" t="s">
        <v>2400</v>
      </c>
      <c r="G146" s="321" t="s">
        <v>154</v>
      </c>
      <c r="H146" s="321" t="s">
        <v>2789</v>
      </c>
      <c r="I146" s="321" t="s">
        <v>220</v>
      </c>
      <c r="J146" s="320" t="s">
        <v>201</v>
      </c>
      <c r="K146" s="64" t="s">
        <v>975</v>
      </c>
      <c r="L146" s="321" t="s">
        <v>975</v>
      </c>
      <c r="M146" s="320" t="s">
        <v>194</v>
      </c>
      <c r="N146" s="321" t="str">
        <f>RegionSelect!$B$2</f>
        <v>Ethiopia</v>
      </c>
      <c r="O146" s="195">
        <v>1</v>
      </c>
      <c r="P146" s="195" t="s">
        <v>2827</v>
      </c>
      <c r="Q146" s="195">
        <f>1/5</f>
        <v>0.2</v>
      </c>
      <c r="R146" s="195" t="s">
        <v>2828</v>
      </c>
      <c r="S146" s="89">
        <v>1</v>
      </c>
      <c r="T146">
        <v>1</v>
      </c>
      <c r="U146" s="195"/>
      <c r="V146" s="6">
        <v>15</v>
      </c>
    </row>
    <row r="147" spans="1:27" x14ac:dyDescent="0.25">
      <c r="A147" s="357" t="s">
        <v>2339</v>
      </c>
      <c r="B147" s="357" t="s">
        <v>2380</v>
      </c>
      <c r="C147" s="357" t="s">
        <v>2395</v>
      </c>
      <c r="D147" s="66">
        <v>122</v>
      </c>
      <c r="E147" s="64" t="str">
        <f t="shared" si="10"/>
        <v>DPC.Hyp.122</v>
      </c>
      <c r="F147" s="321" t="s">
        <v>2401</v>
      </c>
      <c r="G147" s="321" t="s">
        <v>154</v>
      </c>
      <c r="H147" s="321" t="s">
        <v>2791</v>
      </c>
      <c r="I147" s="321" t="s">
        <v>220</v>
      </c>
      <c r="J147" s="320" t="s">
        <v>201</v>
      </c>
      <c r="K147" s="64" t="s">
        <v>975</v>
      </c>
      <c r="L147" s="321" t="s">
        <v>975</v>
      </c>
      <c r="M147" s="320" t="s">
        <v>194</v>
      </c>
      <c r="N147" s="321" t="str">
        <f>RegionSelect!$B$2</f>
        <v>Ethiopia</v>
      </c>
      <c r="O147" s="145">
        <f>IFERROR(VLOOKUP(_xlfn.CONCAT(AA147,RegionSelect!$C$2),RegionalData!$C:$S,13,FALSE),VLOOKUP(_xlfn.CONCAT(AA147,"ET"),RegionalData!$C:$S,13,FALSE))</f>
        <v>0.21809999999999999</v>
      </c>
      <c r="P147" s="195" t="s">
        <v>1863</v>
      </c>
      <c r="Q147" s="195"/>
      <c r="R147" s="195"/>
      <c r="S147" s="352">
        <v>1.02</v>
      </c>
      <c r="T147" s="195"/>
      <c r="U147">
        <v>1</v>
      </c>
      <c r="V147" s="6">
        <v>5</v>
      </c>
      <c r="Y147" t="s">
        <v>975</v>
      </c>
      <c r="AA147" t="s">
        <v>3100</v>
      </c>
    </row>
    <row r="148" spans="1:27" x14ac:dyDescent="0.25">
      <c r="A148" s="357" t="s">
        <v>2339</v>
      </c>
      <c r="B148" s="357" t="s">
        <v>2380</v>
      </c>
      <c r="C148" s="357" t="s">
        <v>519</v>
      </c>
      <c r="D148" s="66">
        <v>123</v>
      </c>
      <c r="E148" s="64" t="str">
        <f>_xlfn.CONCAT("DPC.Dbt.",D148)</f>
        <v>DPC.Dbt.123</v>
      </c>
      <c r="F148" s="321" t="s">
        <v>2399</v>
      </c>
      <c r="G148" s="321" t="s">
        <v>154</v>
      </c>
      <c r="H148" s="321" t="s">
        <v>2789</v>
      </c>
      <c r="I148" s="321" t="s">
        <v>220</v>
      </c>
      <c r="J148" s="320" t="s">
        <v>194</v>
      </c>
      <c r="K148" s="64" t="s">
        <v>975</v>
      </c>
      <c r="L148" s="321" t="s">
        <v>975</v>
      </c>
      <c r="M148" s="320" t="s">
        <v>975</v>
      </c>
      <c r="N148" s="321" t="str">
        <f>RegionSelect!$B$2</f>
        <v>Ethiopia</v>
      </c>
      <c r="O148"/>
      <c r="P148" s="195"/>
      <c r="Q148" s="195"/>
      <c r="R148" s="195"/>
      <c r="T148" s="195"/>
      <c r="Y148" t="s">
        <v>975</v>
      </c>
      <c r="Z148" t="s">
        <v>2825</v>
      </c>
    </row>
    <row r="149" spans="1:27" x14ac:dyDescent="0.25">
      <c r="A149" s="357" t="s">
        <v>2339</v>
      </c>
      <c r="B149" s="357" t="s">
        <v>2380</v>
      </c>
      <c r="C149" s="357" t="s">
        <v>519</v>
      </c>
      <c r="D149" s="66">
        <v>124</v>
      </c>
      <c r="E149" s="64" t="str">
        <f t="shared" ref="E149:E150" si="11">_xlfn.CONCAT("DPC.Dbt.",D149)</f>
        <v>DPC.Dbt.124</v>
      </c>
      <c r="F149" s="321" t="s">
        <v>2402</v>
      </c>
      <c r="G149" s="321" t="s">
        <v>154</v>
      </c>
      <c r="H149" s="321" t="s">
        <v>2789</v>
      </c>
      <c r="I149" s="321" t="s">
        <v>220</v>
      </c>
      <c r="J149" s="320" t="s">
        <v>201</v>
      </c>
      <c r="K149" s="64" t="s">
        <v>975</v>
      </c>
      <c r="L149" s="321" t="s">
        <v>975</v>
      </c>
      <c r="M149" s="320" t="s">
        <v>194</v>
      </c>
      <c r="N149" s="321" t="str">
        <f>RegionSelect!$B$2</f>
        <v>Ethiopia</v>
      </c>
      <c r="O149" s="195">
        <v>1</v>
      </c>
      <c r="P149" s="195" t="s">
        <v>2827</v>
      </c>
      <c r="Q149" s="195">
        <f>1/5</f>
        <v>0.2</v>
      </c>
      <c r="R149" s="195" t="s">
        <v>2828</v>
      </c>
      <c r="S149" s="89">
        <v>1</v>
      </c>
      <c r="T149">
        <v>1</v>
      </c>
      <c r="U149" s="195"/>
      <c r="V149" s="6">
        <v>15</v>
      </c>
    </row>
    <row r="150" spans="1:27" x14ac:dyDescent="0.25">
      <c r="A150" s="357" t="s">
        <v>2339</v>
      </c>
      <c r="B150" s="357" t="s">
        <v>2380</v>
      </c>
      <c r="C150" s="357" t="s">
        <v>519</v>
      </c>
      <c r="D150" s="66">
        <v>125</v>
      </c>
      <c r="E150" s="64" t="str">
        <f t="shared" si="11"/>
        <v>DPC.Dbt.125</v>
      </c>
      <c r="F150" s="321" t="s">
        <v>2403</v>
      </c>
      <c r="G150" s="321" t="s">
        <v>154</v>
      </c>
      <c r="H150" s="321" t="s">
        <v>2791</v>
      </c>
      <c r="I150" s="321" t="s">
        <v>220</v>
      </c>
      <c r="J150" s="320" t="s">
        <v>201</v>
      </c>
      <c r="K150" s="64" t="s">
        <v>975</v>
      </c>
      <c r="L150" s="321" t="s">
        <v>975</v>
      </c>
      <c r="M150" s="320" t="s">
        <v>194</v>
      </c>
      <c r="N150" s="321" t="str">
        <f>RegionSelect!$B$2</f>
        <v>Ethiopia</v>
      </c>
      <c r="O150" s="145">
        <f>IFERROR(VLOOKUP(_xlfn.CONCAT(AA150,RegionSelect!$C$2),RegionalData!$C:$S,13,FALSE),VLOOKUP(_xlfn.CONCAT(AA150,"ET"),RegionalData!$C:$S,13,FALSE))</f>
        <v>3.2000000000000001E-2</v>
      </c>
      <c r="P150" s="195" t="s">
        <v>1863</v>
      </c>
      <c r="Q150" s="195"/>
      <c r="R150" s="195"/>
      <c r="S150" s="352">
        <v>1.02</v>
      </c>
      <c r="T150" s="195"/>
      <c r="U150">
        <v>1</v>
      </c>
      <c r="V150" s="6">
        <v>5</v>
      </c>
      <c r="Y150" t="s">
        <v>975</v>
      </c>
      <c r="AA150" t="s">
        <v>3120</v>
      </c>
    </row>
    <row r="151" spans="1:27" x14ac:dyDescent="0.25">
      <c r="A151" s="357" t="s">
        <v>2339</v>
      </c>
      <c r="B151" s="357" t="s">
        <v>2380</v>
      </c>
      <c r="C151" s="357" t="s">
        <v>2396</v>
      </c>
      <c r="D151" s="66">
        <v>126</v>
      </c>
      <c r="E151" s="64" t="str">
        <f>_xlfn.CONCAT("DPC.Asth.",D151)</f>
        <v>DPC.Asth.126</v>
      </c>
      <c r="F151" s="321" t="s">
        <v>2404</v>
      </c>
      <c r="G151" s="321" t="s">
        <v>154</v>
      </c>
      <c r="H151" s="321" t="s">
        <v>2789</v>
      </c>
      <c r="I151" s="321" t="s">
        <v>220</v>
      </c>
      <c r="J151" s="320" t="s">
        <v>2570</v>
      </c>
      <c r="K151" s="64" t="s">
        <v>975</v>
      </c>
      <c r="L151" s="321" t="s">
        <v>975</v>
      </c>
      <c r="M151" s="320" t="s">
        <v>975</v>
      </c>
      <c r="N151" s="321" t="str">
        <f>RegionSelect!$B$2</f>
        <v>Ethiopia</v>
      </c>
      <c r="O151" s="145">
        <f>IFERROR(VLOOKUP(_xlfn.CONCAT(AA151,RegionSelect!$C$2),RegionalData!$C:$S,13,FALSE),VLOOKUP(_xlfn.CONCAT(AA151,"ET"),RegionalData!$C:$S,13,FALSE))</f>
        <v>4.7E-2</v>
      </c>
      <c r="P151" s="195" t="s">
        <v>2441</v>
      </c>
      <c r="Q151" s="346">
        <v>0.1</v>
      </c>
      <c r="R151" s="195" t="s">
        <v>2442</v>
      </c>
      <c r="S151" s="89">
        <v>1</v>
      </c>
      <c r="T151" s="5">
        <v>2</v>
      </c>
      <c r="V151" s="6">
        <v>10</v>
      </c>
      <c r="Y151" t="s">
        <v>975</v>
      </c>
      <c r="AA151" t="s">
        <v>3132</v>
      </c>
    </row>
    <row r="152" spans="1:27" x14ac:dyDescent="0.25">
      <c r="A152" s="357" t="s">
        <v>2339</v>
      </c>
      <c r="B152" s="357" t="s">
        <v>2380</v>
      </c>
      <c r="C152" s="357" t="s">
        <v>2396</v>
      </c>
      <c r="D152" s="66">
        <v>127</v>
      </c>
      <c r="E152" s="64" t="str">
        <f t="shared" ref="E152:E154" si="12">_xlfn.CONCAT("DPC.Asth.",D152)</f>
        <v>DPC.Asth.127</v>
      </c>
      <c r="F152" s="321" t="s">
        <v>2405</v>
      </c>
      <c r="G152" s="321" t="s">
        <v>154</v>
      </c>
      <c r="H152" s="321" t="s">
        <v>2789</v>
      </c>
      <c r="I152" s="321" t="s">
        <v>220</v>
      </c>
      <c r="J152" s="320" t="s">
        <v>201</v>
      </c>
      <c r="K152" s="64" t="s">
        <v>975</v>
      </c>
      <c r="L152" s="321" t="s">
        <v>975</v>
      </c>
      <c r="M152" s="320" t="s">
        <v>975</v>
      </c>
      <c r="N152" s="321" t="str">
        <f>RegionSelect!$B$2</f>
        <v>Ethiopia</v>
      </c>
      <c r="O152" s="321"/>
      <c r="P152" s="321"/>
      <c r="Q152" s="195"/>
      <c r="R152" s="195"/>
      <c r="S152" s="321"/>
      <c r="T152" s="321"/>
      <c r="U152" s="321"/>
      <c r="V152" s="321"/>
      <c r="Y152" t="s">
        <v>975</v>
      </c>
      <c r="Z152" t="s">
        <v>2373</v>
      </c>
    </row>
    <row r="153" spans="1:27" x14ac:dyDescent="0.25">
      <c r="A153" s="357" t="s">
        <v>2339</v>
      </c>
      <c r="B153" s="357" t="s">
        <v>2380</v>
      </c>
      <c r="C153" s="357" t="s">
        <v>2396</v>
      </c>
      <c r="D153" s="66">
        <v>128</v>
      </c>
      <c r="E153" s="64" t="str">
        <f t="shared" si="12"/>
        <v>DPC.Asth.128</v>
      </c>
      <c r="F153" s="321" t="s">
        <v>2406</v>
      </c>
      <c r="G153" s="321" t="s">
        <v>154</v>
      </c>
      <c r="H153" s="319" t="s">
        <v>2791</v>
      </c>
      <c r="I153" s="321" t="s">
        <v>220</v>
      </c>
      <c r="J153" s="351" t="s">
        <v>2431</v>
      </c>
      <c r="K153" s="64" t="s">
        <v>975</v>
      </c>
      <c r="L153" s="321" t="s">
        <v>194</v>
      </c>
      <c r="M153" s="320" t="s">
        <v>194</v>
      </c>
      <c r="N153" s="321" t="str">
        <f>RegionSelect!$B$2</f>
        <v>Ethiopia</v>
      </c>
      <c r="O153" s="145">
        <f>IFERROR(VLOOKUP(_xlfn.CONCAT(AA153,RegionSelect!$C$2),RegionalData!$C:$S,13,FALSE),VLOOKUP(_xlfn.CONCAT(AA153,"ET"),RegionalData!$C:$S,13,FALSE))</f>
        <v>8.2649999999999987E-2</v>
      </c>
      <c r="P153" s="195" t="s">
        <v>1863</v>
      </c>
      <c r="Q153" s="195"/>
      <c r="R153" s="195"/>
      <c r="S153" s="352">
        <v>0.98499999999999999</v>
      </c>
      <c r="T153">
        <v>1</v>
      </c>
      <c r="U153">
        <v>1</v>
      </c>
      <c r="V153" s="6">
        <v>10</v>
      </c>
      <c r="Y153" t="s">
        <v>975</v>
      </c>
      <c r="Z153" t="s">
        <v>2443</v>
      </c>
      <c r="AA153" t="s">
        <v>3136</v>
      </c>
    </row>
    <row r="154" spans="1:27" x14ac:dyDescent="0.25">
      <c r="A154" s="357" t="s">
        <v>2339</v>
      </c>
      <c r="B154" s="357" t="s">
        <v>2380</v>
      </c>
      <c r="C154" s="357" t="s">
        <v>2396</v>
      </c>
      <c r="D154" s="66">
        <v>129</v>
      </c>
      <c r="E154" s="64" t="str">
        <f t="shared" si="12"/>
        <v>DPC.Asth.129</v>
      </c>
      <c r="F154" s="321" t="s">
        <v>2407</v>
      </c>
      <c r="G154" s="321" t="s">
        <v>154</v>
      </c>
      <c r="H154" s="319" t="s">
        <v>2791</v>
      </c>
      <c r="I154" s="321" t="s">
        <v>220</v>
      </c>
      <c r="J154" s="351" t="s">
        <v>2431</v>
      </c>
      <c r="K154" s="64" t="s">
        <v>975</v>
      </c>
      <c r="L154" s="321" t="s">
        <v>194</v>
      </c>
      <c r="M154" s="320" t="s">
        <v>194</v>
      </c>
      <c r="N154" s="321" t="str">
        <f>RegionSelect!$B$2</f>
        <v>Ethiopia</v>
      </c>
      <c r="O154" s="145">
        <f>IFERROR(VLOOKUP(_xlfn.CONCAT(AA154,RegionSelect!$C$2),RegionalData!$C:$S,13,FALSE),VLOOKUP(_xlfn.CONCAT(AA154,"ET"),RegionalData!$C:$S,13,FALSE))</f>
        <v>4.3499999999999997E-3</v>
      </c>
      <c r="P154" s="195" t="s">
        <v>1863</v>
      </c>
      <c r="Q154" s="195"/>
      <c r="R154" s="195"/>
      <c r="S154" s="89">
        <f>S153</f>
        <v>0.98499999999999999</v>
      </c>
      <c r="T154">
        <v>1</v>
      </c>
      <c r="U154" s="195"/>
      <c r="V154" s="6">
        <v>10</v>
      </c>
      <c r="Y154" t="s">
        <v>975</v>
      </c>
      <c r="Z154" t="s">
        <v>2443</v>
      </c>
      <c r="AA154" t="s">
        <v>3151</v>
      </c>
    </row>
    <row r="155" spans="1:27" x14ac:dyDescent="0.25">
      <c r="A155" s="357" t="s">
        <v>2339</v>
      </c>
      <c r="B155" s="357" t="s">
        <v>2380</v>
      </c>
      <c r="C155" s="357" t="s">
        <v>232</v>
      </c>
      <c r="D155" s="66">
        <v>130</v>
      </c>
      <c r="F155" s="321" t="s">
        <v>2408</v>
      </c>
      <c r="G155" s="321"/>
      <c r="K155" s="64" t="s">
        <v>975</v>
      </c>
      <c r="L155" s="321" t="s">
        <v>975</v>
      </c>
      <c r="M155" s="320" t="s">
        <v>975</v>
      </c>
      <c r="N155" s="321" t="str">
        <f>RegionSelect!$B$2</f>
        <v>Ethiopia</v>
      </c>
      <c r="O155" s="321"/>
      <c r="P155" s="321"/>
      <c r="Q155" s="195"/>
      <c r="R155" s="195"/>
      <c r="S155" s="321"/>
      <c r="T155" s="321"/>
      <c r="U155" s="321"/>
      <c r="V155" s="321"/>
      <c r="Y155" t="s">
        <v>975</v>
      </c>
    </row>
    <row r="156" spans="1:27" x14ac:dyDescent="0.25">
      <c r="A156" s="357" t="s">
        <v>2339</v>
      </c>
      <c r="B156" s="357" t="s">
        <v>2380</v>
      </c>
      <c r="C156" s="357" t="s">
        <v>232</v>
      </c>
      <c r="D156" s="66">
        <v>130</v>
      </c>
      <c r="E156" s="64" t="s">
        <v>2444</v>
      </c>
      <c r="F156" s="321" t="s">
        <v>2446</v>
      </c>
      <c r="G156" s="321" t="s">
        <v>2249</v>
      </c>
      <c r="H156" s="319" t="s">
        <v>2429</v>
      </c>
      <c r="I156" s="321" t="s">
        <v>232</v>
      </c>
      <c r="J156" s="320" t="s">
        <v>194</v>
      </c>
      <c r="K156" s="64" t="s">
        <v>975</v>
      </c>
      <c r="L156" s="321" t="s">
        <v>975</v>
      </c>
      <c r="M156" s="320" t="s">
        <v>975</v>
      </c>
      <c r="N156" s="321" t="str">
        <f>RegionSelect!$B$2</f>
        <v>Ethiopia</v>
      </c>
      <c r="O156" s="321"/>
      <c r="P156" s="321"/>
      <c r="Q156" s="195"/>
      <c r="R156" s="195"/>
      <c r="S156" s="321"/>
      <c r="T156" s="321"/>
      <c r="U156" s="321"/>
      <c r="V156" s="321"/>
      <c r="Y156" t="s">
        <v>975</v>
      </c>
      <c r="Z156" t="s">
        <v>2373</v>
      </c>
    </row>
    <row r="157" spans="1:27" x14ac:dyDescent="0.25">
      <c r="A157" s="357" t="s">
        <v>2339</v>
      </c>
      <c r="B157" s="357" t="s">
        <v>2380</v>
      </c>
      <c r="C157" s="357" t="s">
        <v>232</v>
      </c>
      <c r="D157" s="66">
        <v>130</v>
      </c>
      <c r="E157" s="64" t="s">
        <v>2445</v>
      </c>
      <c r="F157" s="321" t="s">
        <v>2447</v>
      </c>
      <c r="G157" s="321" t="s">
        <v>154</v>
      </c>
      <c r="H157" s="321" t="s">
        <v>2791</v>
      </c>
      <c r="I157" s="321" t="s">
        <v>232</v>
      </c>
      <c r="J157" s="320" t="s">
        <v>233</v>
      </c>
      <c r="K157" s="64" t="s">
        <v>975</v>
      </c>
      <c r="L157" s="321" t="s">
        <v>975</v>
      </c>
      <c r="M157" s="320" t="s">
        <v>975</v>
      </c>
      <c r="N157" s="321" t="str">
        <f>RegionSelect!$B$2</f>
        <v>Ethiopia</v>
      </c>
      <c r="O157" s="145">
        <f>IFERROR(VLOOKUP(_xlfn.CONCAT(AA157,RegionSelect!$C$2),RegionalData!$C:$S,13,FALSE),VLOOKUP(_xlfn.CONCAT(AA157,"ET"),RegionalData!$C:$S,13,FALSE))</f>
        <v>0.21579999999999999</v>
      </c>
      <c r="P157" s="195" t="s">
        <v>2433</v>
      </c>
      <c r="Q157" s="195"/>
      <c r="R157" s="195"/>
      <c r="S157" s="89">
        <v>1</v>
      </c>
      <c r="T157">
        <v>1</v>
      </c>
      <c r="U157" s="336"/>
      <c r="V157" s="6">
        <v>15</v>
      </c>
      <c r="AA157" t="s">
        <v>3190</v>
      </c>
    </row>
    <row r="158" spans="1:27" x14ac:dyDescent="0.25">
      <c r="A158" s="357" t="s">
        <v>2339</v>
      </c>
      <c r="B158" s="357" t="s">
        <v>2380</v>
      </c>
      <c r="C158" s="357" t="s">
        <v>232</v>
      </c>
      <c r="D158" s="66">
        <f>D155+1</f>
        <v>131</v>
      </c>
      <c r="E158" s="64" t="str">
        <f>_xlfn.CONCAT("DPC.MH.",D158)</f>
        <v>DPC.MH.131</v>
      </c>
      <c r="F158" s="321" t="s">
        <v>2410</v>
      </c>
      <c r="G158" s="321" t="s">
        <v>2249</v>
      </c>
      <c r="H158" s="319" t="s">
        <v>2429</v>
      </c>
      <c r="I158" s="321" t="s">
        <v>232</v>
      </c>
      <c r="J158" s="320" t="s">
        <v>194</v>
      </c>
      <c r="K158" s="64" t="s">
        <v>975</v>
      </c>
      <c r="L158" s="321" t="s">
        <v>975</v>
      </c>
      <c r="M158" s="320" t="s">
        <v>975</v>
      </c>
      <c r="N158" s="321" t="str">
        <f>RegionSelect!$B$2</f>
        <v>Ethiopia</v>
      </c>
      <c r="O158" s="321"/>
      <c r="P158" s="321"/>
      <c r="Q158" s="195"/>
      <c r="R158" s="195"/>
      <c r="S158" s="321"/>
      <c r="T158" s="321"/>
      <c r="U158" s="321"/>
      <c r="V158" s="321"/>
      <c r="Y158" t="s">
        <v>975</v>
      </c>
      <c r="Z158" t="s">
        <v>2373</v>
      </c>
    </row>
    <row r="159" spans="1:27" x14ac:dyDescent="0.25">
      <c r="A159" s="357" t="s">
        <v>2339</v>
      </c>
      <c r="B159" s="357" t="s">
        <v>2380</v>
      </c>
      <c r="C159" s="357" t="s">
        <v>232</v>
      </c>
      <c r="D159" s="66">
        <f t="shared" ref="D159:D162" si="13">D158+1</f>
        <v>132</v>
      </c>
      <c r="E159" s="64" t="str">
        <f t="shared" ref="E159:E162" si="14">_xlfn.CONCAT("DPC.MH.",D159)</f>
        <v>DPC.MH.132</v>
      </c>
      <c r="F159" s="321" t="s">
        <v>2409</v>
      </c>
      <c r="G159" s="321" t="s">
        <v>2249</v>
      </c>
      <c r="H159" s="319" t="s">
        <v>2429</v>
      </c>
      <c r="I159" s="321" t="s">
        <v>232</v>
      </c>
      <c r="J159" s="320" t="s">
        <v>194</v>
      </c>
      <c r="K159" s="64" t="s">
        <v>975</v>
      </c>
      <c r="L159" s="321" t="s">
        <v>975</v>
      </c>
      <c r="M159" s="320" t="s">
        <v>975</v>
      </c>
      <c r="N159" s="321" t="str">
        <f>RegionSelect!$B$2</f>
        <v>Ethiopia</v>
      </c>
      <c r="O159" s="321"/>
      <c r="P159" s="321"/>
      <c r="Q159" s="195"/>
      <c r="R159" s="195"/>
      <c r="S159" s="321"/>
      <c r="T159" s="321"/>
      <c r="U159" s="321"/>
      <c r="V159" s="321"/>
      <c r="Y159" t="s">
        <v>975</v>
      </c>
      <c r="Z159" t="s">
        <v>2373</v>
      </c>
    </row>
    <row r="160" spans="1:27" x14ac:dyDescent="0.25">
      <c r="A160" s="357" t="s">
        <v>2339</v>
      </c>
      <c r="B160" s="357" t="s">
        <v>2380</v>
      </c>
      <c r="C160" s="357" t="s">
        <v>232</v>
      </c>
      <c r="D160" s="66">
        <f t="shared" si="13"/>
        <v>133</v>
      </c>
      <c r="E160" s="64" t="str">
        <f t="shared" si="14"/>
        <v>DPC.MH.133</v>
      </c>
      <c r="F160" s="321" t="s">
        <v>2411</v>
      </c>
      <c r="G160" s="321" t="s">
        <v>154</v>
      </c>
      <c r="H160" s="321" t="s">
        <v>2791</v>
      </c>
      <c r="I160" s="321" t="s">
        <v>232</v>
      </c>
      <c r="J160" s="320" t="s">
        <v>233</v>
      </c>
      <c r="K160" s="64" t="s">
        <v>975</v>
      </c>
      <c r="L160" s="321" t="s">
        <v>975</v>
      </c>
      <c r="M160" s="320" t="s">
        <v>975</v>
      </c>
      <c r="N160" s="321" t="str">
        <f>RegionSelect!$B$2</f>
        <v>Ethiopia</v>
      </c>
      <c r="O160" s="371"/>
      <c r="P160" s="195" t="s">
        <v>2433</v>
      </c>
      <c r="Q160" s="195"/>
      <c r="R160" s="195"/>
      <c r="S160" s="89">
        <v>1</v>
      </c>
      <c r="T160">
        <v>1</v>
      </c>
      <c r="U160" s="336"/>
      <c r="V160" s="6">
        <v>15</v>
      </c>
      <c r="Z160" t="s">
        <v>2448</v>
      </c>
    </row>
    <row r="161" spans="1:27" x14ac:dyDescent="0.25">
      <c r="A161" s="357" t="s">
        <v>2339</v>
      </c>
      <c r="B161" s="357" t="s">
        <v>2380</v>
      </c>
      <c r="C161" s="357" t="s">
        <v>232</v>
      </c>
      <c r="D161" s="66">
        <f t="shared" si="13"/>
        <v>134</v>
      </c>
      <c r="E161" s="64" t="str">
        <f t="shared" si="14"/>
        <v>DPC.MH.134</v>
      </c>
      <c r="F161" s="321" t="s">
        <v>2412</v>
      </c>
      <c r="G161" s="321" t="s">
        <v>2249</v>
      </c>
      <c r="H161" s="319" t="s">
        <v>2429</v>
      </c>
      <c r="I161" s="321" t="s">
        <v>232</v>
      </c>
      <c r="J161" s="320" t="s">
        <v>194</v>
      </c>
      <c r="K161" s="64" t="s">
        <v>975</v>
      </c>
      <c r="L161" s="321" t="s">
        <v>975</v>
      </c>
      <c r="M161" s="320" t="s">
        <v>975</v>
      </c>
      <c r="N161" s="321" t="str">
        <f>RegionSelect!$B$2</f>
        <v>Ethiopia</v>
      </c>
      <c r="O161" s="321"/>
      <c r="P161" s="321"/>
      <c r="Q161" s="195"/>
      <c r="R161" s="195"/>
      <c r="S161" s="321"/>
      <c r="T161" s="321"/>
      <c r="U161" s="321"/>
      <c r="V161" s="321"/>
      <c r="Y161" t="s">
        <v>975</v>
      </c>
      <c r="Z161" t="s">
        <v>2373</v>
      </c>
    </row>
    <row r="162" spans="1:27" x14ac:dyDescent="0.25">
      <c r="A162" s="357" t="s">
        <v>2339</v>
      </c>
      <c r="B162" s="357" t="s">
        <v>2380</v>
      </c>
      <c r="C162" s="357" t="s">
        <v>232</v>
      </c>
      <c r="D162" s="66">
        <f t="shared" si="13"/>
        <v>135</v>
      </c>
      <c r="E162" s="64" t="str">
        <f t="shared" si="14"/>
        <v>DPC.MH.135</v>
      </c>
      <c r="F162" s="321" t="s">
        <v>2413</v>
      </c>
      <c r="G162" s="321" t="s">
        <v>154</v>
      </c>
      <c r="H162" s="321" t="s">
        <v>2791</v>
      </c>
      <c r="I162" s="321" t="s">
        <v>232</v>
      </c>
      <c r="J162" s="320" t="s">
        <v>201</v>
      </c>
      <c r="K162" s="64" t="s">
        <v>975</v>
      </c>
      <c r="L162" s="321" t="s">
        <v>975</v>
      </c>
      <c r="M162" s="320" t="s">
        <v>975</v>
      </c>
      <c r="N162" s="321" t="str">
        <f>RegionSelect!$B$2</f>
        <v>Ethiopia</v>
      </c>
      <c r="O162" s="371"/>
      <c r="P162" s="321" t="s">
        <v>2196</v>
      </c>
      <c r="Q162" s="195"/>
      <c r="R162" s="195"/>
      <c r="S162" s="89">
        <v>1</v>
      </c>
      <c r="T162">
        <v>1</v>
      </c>
      <c r="U162" s="321"/>
      <c r="V162" s="6">
        <v>15</v>
      </c>
      <c r="Y162" t="s">
        <v>975</v>
      </c>
    </row>
    <row r="163" spans="1:27" x14ac:dyDescent="0.25">
      <c r="A163" s="357" t="s">
        <v>2339</v>
      </c>
      <c r="B163" s="357" t="s">
        <v>2380</v>
      </c>
      <c r="C163" s="357" t="s">
        <v>2397</v>
      </c>
      <c r="D163" s="66">
        <v>136</v>
      </c>
      <c r="E163" s="64" t="str">
        <f>_xlfn.CONCAT("DPC.Oph.",D163)</f>
        <v>DPC.Oph.136</v>
      </c>
      <c r="F163" s="321" t="s">
        <v>2414</v>
      </c>
      <c r="G163" s="321" t="s">
        <v>154</v>
      </c>
      <c r="H163" s="321" t="s">
        <v>2789</v>
      </c>
      <c r="I163" s="319" t="s">
        <v>220</v>
      </c>
      <c r="J163" s="320" t="s">
        <v>201</v>
      </c>
      <c r="K163" s="64" t="s">
        <v>975</v>
      </c>
      <c r="L163" s="321" t="s">
        <v>975</v>
      </c>
      <c r="M163" s="320" t="s">
        <v>975</v>
      </c>
      <c r="N163" s="321" t="str">
        <f>RegionSelect!$B$2</f>
        <v>Ethiopia</v>
      </c>
      <c r="O163" s="145">
        <f>IFERROR(VLOOKUP(_xlfn.CONCAT(AA163,RegionSelect!$C$2),RegionalData!$C:$S,13,FALSE),VLOOKUP(_xlfn.CONCAT(AA163,"ET"),RegionalData!$C:$S,13,FALSE))</f>
        <v>4.8212E-4</v>
      </c>
      <c r="P163" s="321" t="s">
        <v>2581</v>
      </c>
      <c r="Q163" s="195"/>
      <c r="R163" s="195"/>
      <c r="S163" s="89">
        <f>1+Prevalences!AN393</f>
        <v>1.0311999999999999</v>
      </c>
      <c r="T163">
        <v>1</v>
      </c>
      <c r="U163" s="321"/>
      <c r="V163" s="6">
        <v>10</v>
      </c>
      <c r="Y163" t="s">
        <v>975</v>
      </c>
      <c r="Z163" t="s">
        <v>2593</v>
      </c>
      <c r="AA163" t="s">
        <v>3197</v>
      </c>
    </row>
    <row r="164" spans="1:27" x14ac:dyDescent="0.25">
      <c r="A164" s="357" t="s">
        <v>2339</v>
      </c>
      <c r="B164" s="357" t="s">
        <v>2380</v>
      </c>
      <c r="C164" s="357" t="s">
        <v>2397</v>
      </c>
      <c r="D164" s="66">
        <f>D163+1</f>
        <v>137</v>
      </c>
      <c r="E164" s="64" t="str">
        <f t="shared" ref="E164:E168" si="15">_xlfn.CONCAT("DPC.Oph.",D164)</f>
        <v>DPC.Oph.137</v>
      </c>
      <c r="F164" s="321" t="s">
        <v>2415</v>
      </c>
      <c r="G164" s="321" t="s">
        <v>154</v>
      </c>
      <c r="H164" s="321" t="s">
        <v>2429</v>
      </c>
      <c r="I164" s="319" t="s">
        <v>220</v>
      </c>
      <c r="J164" s="320" t="s">
        <v>194</v>
      </c>
      <c r="K164" s="64" t="s">
        <v>975</v>
      </c>
      <c r="L164" s="321" t="s">
        <v>975</v>
      </c>
      <c r="M164" s="320" t="s">
        <v>975</v>
      </c>
      <c r="N164" s="321" t="str">
        <f>RegionSelect!$B$2</f>
        <v>Ethiopia</v>
      </c>
      <c r="O164" s="321"/>
      <c r="P164" s="321"/>
      <c r="Q164" s="195"/>
      <c r="R164" s="195"/>
      <c r="S164" s="321"/>
      <c r="T164" s="321"/>
      <c r="U164" s="321"/>
      <c r="V164" s="321"/>
      <c r="Y164" t="s">
        <v>975</v>
      </c>
      <c r="Z164" t="s">
        <v>2373</v>
      </c>
    </row>
    <row r="165" spans="1:27" x14ac:dyDescent="0.25">
      <c r="A165" s="357" t="s">
        <v>2339</v>
      </c>
      <c r="B165" s="357" t="s">
        <v>2380</v>
      </c>
      <c r="C165" s="357" t="s">
        <v>2397</v>
      </c>
      <c r="D165" s="66">
        <f t="shared" ref="D165:D168" si="16">D164+1</f>
        <v>138</v>
      </c>
      <c r="E165" s="64" t="str">
        <f t="shared" si="15"/>
        <v>DPC.Oph.138</v>
      </c>
      <c r="F165" s="321" t="s">
        <v>2416</v>
      </c>
      <c r="G165" s="321" t="s">
        <v>154</v>
      </c>
      <c r="H165" s="319" t="s">
        <v>2789</v>
      </c>
      <c r="I165" s="319" t="s">
        <v>220</v>
      </c>
      <c r="J165" s="320" t="s">
        <v>2431</v>
      </c>
      <c r="K165" s="64" t="s">
        <v>975</v>
      </c>
      <c r="L165" s="321" t="s">
        <v>975</v>
      </c>
      <c r="M165" s="320" t="s">
        <v>194</v>
      </c>
      <c r="N165" s="321" t="str">
        <f>RegionSelect!$B$2</f>
        <v>Ethiopia</v>
      </c>
      <c r="O165" s="321"/>
      <c r="P165" s="321"/>
      <c r="Q165" s="195"/>
      <c r="R165" s="195"/>
      <c r="S165" s="321"/>
      <c r="T165" s="321"/>
      <c r="U165" s="321"/>
      <c r="V165" s="321"/>
      <c r="Y165" t="s">
        <v>975</v>
      </c>
      <c r="Z165" t="s">
        <v>2373</v>
      </c>
    </row>
    <row r="166" spans="1:27" x14ac:dyDescent="0.25">
      <c r="A166" s="357" t="s">
        <v>2339</v>
      </c>
      <c r="B166" s="357" t="s">
        <v>2380</v>
      </c>
      <c r="C166" s="357" t="s">
        <v>2397</v>
      </c>
      <c r="D166" s="66">
        <f t="shared" si="16"/>
        <v>139</v>
      </c>
      <c r="E166" s="64" t="str">
        <f t="shared" si="15"/>
        <v>DPC.Oph.139</v>
      </c>
      <c r="F166" s="321" t="s">
        <v>2417</v>
      </c>
      <c r="G166" s="321" t="s">
        <v>154</v>
      </c>
      <c r="H166" s="321" t="s">
        <v>2789</v>
      </c>
      <c r="I166" s="319" t="s">
        <v>220</v>
      </c>
      <c r="J166" s="320" t="s">
        <v>201</v>
      </c>
      <c r="K166" s="64" t="s">
        <v>975</v>
      </c>
      <c r="L166" s="321" t="s">
        <v>975</v>
      </c>
      <c r="M166" s="320" t="s">
        <v>194</v>
      </c>
      <c r="N166" s="321" t="str">
        <f>RegionSelect!$B$2</f>
        <v>Ethiopia</v>
      </c>
      <c r="O166" s="145">
        <f>1/5</f>
        <v>0.2</v>
      </c>
      <c r="P166" s="321" t="s">
        <v>2583</v>
      </c>
      <c r="Q166" s="195"/>
      <c r="R166" s="195"/>
      <c r="S166" s="89">
        <v>1</v>
      </c>
      <c r="T166">
        <v>1</v>
      </c>
      <c r="U166" s="321"/>
      <c r="V166" s="6">
        <v>15</v>
      </c>
      <c r="Y166" t="s">
        <v>975</v>
      </c>
    </row>
    <row r="167" spans="1:27" x14ac:dyDescent="0.25">
      <c r="A167" s="357" t="s">
        <v>2339</v>
      </c>
      <c r="B167" s="357" t="s">
        <v>2380</v>
      </c>
      <c r="C167" s="357" t="s">
        <v>2397</v>
      </c>
      <c r="D167" s="66">
        <f t="shared" si="16"/>
        <v>140</v>
      </c>
      <c r="E167" s="64" t="str">
        <f t="shared" si="15"/>
        <v>DPC.Oph.140</v>
      </c>
      <c r="F167" s="321" t="s">
        <v>2418</v>
      </c>
      <c r="G167" s="321" t="s">
        <v>154</v>
      </c>
      <c r="H167" s="321" t="s">
        <v>2789</v>
      </c>
      <c r="I167" s="319" t="s">
        <v>220</v>
      </c>
      <c r="J167" s="320" t="s">
        <v>221</v>
      </c>
      <c r="K167" s="64" t="s">
        <v>975</v>
      </c>
      <c r="L167" s="321" t="s">
        <v>975</v>
      </c>
      <c r="M167" s="320" t="s">
        <v>975</v>
      </c>
      <c r="N167" s="321" t="str">
        <f>RegionSelect!$B$2</f>
        <v>Ethiopia</v>
      </c>
      <c r="O167" s="321"/>
      <c r="P167" s="321"/>
      <c r="Q167" s="195"/>
      <c r="R167" s="195"/>
      <c r="S167" s="89">
        <v>1</v>
      </c>
      <c r="T167">
        <v>1</v>
      </c>
      <c r="U167" s="321"/>
      <c r="V167" s="6">
        <v>15</v>
      </c>
      <c r="Y167" t="s">
        <v>975</v>
      </c>
      <c r="Z167" t="s">
        <v>2584</v>
      </c>
    </row>
    <row r="168" spans="1:27" x14ac:dyDescent="0.25">
      <c r="A168" s="357" t="s">
        <v>2339</v>
      </c>
      <c r="B168" s="357" t="s">
        <v>2380</v>
      </c>
      <c r="C168" s="357" t="s">
        <v>2397</v>
      </c>
      <c r="D168" s="66">
        <f t="shared" si="16"/>
        <v>141</v>
      </c>
      <c r="E168" s="64" t="str">
        <f t="shared" si="15"/>
        <v>DPC.Oph.141</v>
      </c>
      <c r="F168" s="321" t="s">
        <v>2419</v>
      </c>
      <c r="G168" s="321" t="s">
        <v>154</v>
      </c>
      <c r="H168" s="321" t="s">
        <v>2791</v>
      </c>
      <c r="I168" s="319" t="s">
        <v>220</v>
      </c>
      <c r="J168" s="320" t="s">
        <v>2589</v>
      </c>
      <c r="K168" s="64" t="s">
        <v>975</v>
      </c>
      <c r="L168" s="321" t="s">
        <v>194</v>
      </c>
      <c r="M168" s="320" t="s">
        <v>194</v>
      </c>
      <c r="N168" s="321" t="str">
        <f>RegionSelect!$B$2</f>
        <v>Ethiopia</v>
      </c>
      <c r="O168" s="145">
        <f>IFERROR(VLOOKUP(_xlfn.CONCAT(AA168,RegionSelect!$C$2),RegionalData!$C:$S,13,FALSE),VLOOKUP(_xlfn.CONCAT(AA168,"ET"),RegionalData!$C:$S,13,FALSE))</f>
        <v>0.155</v>
      </c>
      <c r="P168" s="321" t="s">
        <v>2196</v>
      </c>
      <c r="Q168" s="195"/>
      <c r="R168" s="195"/>
      <c r="S168" s="352">
        <v>0.98499999999999999</v>
      </c>
      <c r="T168">
        <v>1</v>
      </c>
      <c r="U168" s="321"/>
      <c r="V168" s="6">
        <v>15</v>
      </c>
      <c r="Y168" t="s">
        <v>975</v>
      </c>
      <c r="AA168" t="s">
        <v>3201</v>
      </c>
    </row>
    <row r="169" spans="1:27" x14ac:dyDescent="0.25">
      <c r="A169" s="357" t="s">
        <v>2339</v>
      </c>
      <c r="B169" s="357" t="s">
        <v>2380</v>
      </c>
      <c r="C169" s="357" t="s">
        <v>2398</v>
      </c>
      <c r="E169" s="64" t="s">
        <v>2594</v>
      </c>
      <c r="F169" s="356" t="s">
        <v>2595</v>
      </c>
      <c r="G169" s="321" t="s">
        <v>154</v>
      </c>
      <c r="H169" s="321" t="s">
        <v>2791</v>
      </c>
      <c r="I169" s="321" t="s">
        <v>214</v>
      </c>
      <c r="J169" s="320" t="s">
        <v>212</v>
      </c>
      <c r="K169" s="64" t="s">
        <v>975</v>
      </c>
      <c r="L169" s="321" t="s">
        <v>975</v>
      </c>
      <c r="M169" s="320" t="s">
        <v>194</v>
      </c>
      <c r="N169" s="372" t="str">
        <f>RegionSelect!$B$2</f>
        <v>Ethiopia</v>
      </c>
      <c r="O169" s="145">
        <f>IFERROR(VLOOKUP(_xlfn.CONCAT(AA169,RegionSelect!$C$2),RegionalData!$C:$S,13,FALSE),VLOOKUP(_xlfn.CONCAT(AA169,"ET"),RegionalData!$C:$S,13,FALSE))</f>
        <v>1.8504347826086959E-3</v>
      </c>
      <c r="P169" s="321" t="s">
        <v>2196</v>
      </c>
      <c r="Q169" s="346">
        <v>0.25</v>
      </c>
      <c r="R169" s="195" t="s">
        <v>2598</v>
      </c>
      <c r="S169" s="352">
        <v>1</v>
      </c>
      <c r="T169">
        <v>1</v>
      </c>
      <c r="U169" s="321"/>
      <c r="V169" s="6">
        <v>7</v>
      </c>
      <c r="W169" s="321"/>
      <c r="X169" s="321"/>
      <c r="AA169" t="s">
        <v>3206</v>
      </c>
    </row>
    <row r="170" spans="1:27" x14ac:dyDescent="0.25">
      <c r="A170" s="357" t="s">
        <v>2339</v>
      </c>
      <c r="B170" s="357" t="s">
        <v>2380</v>
      </c>
      <c r="C170" s="357" t="s">
        <v>2398</v>
      </c>
      <c r="E170" s="64" t="s">
        <v>2596</v>
      </c>
      <c r="F170" s="356" t="s">
        <v>2597</v>
      </c>
      <c r="G170" s="321" t="s">
        <v>154</v>
      </c>
      <c r="H170" s="321" t="s">
        <v>2791</v>
      </c>
      <c r="I170" s="321" t="s">
        <v>214</v>
      </c>
      <c r="J170" s="320" t="s">
        <v>212</v>
      </c>
      <c r="K170" s="64" t="s">
        <v>975</v>
      </c>
      <c r="L170" s="321" t="s">
        <v>194</v>
      </c>
      <c r="M170" s="320" t="s">
        <v>194</v>
      </c>
      <c r="N170" s="372" t="str">
        <f>RegionSelect!$B$2</f>
        <v>Ethiopia</v>
      </c>
      <c r="O170" s="145">
        <f>IFERROR(VLOOKUP(_xlfn.CONCAT(AA170,RegionSelect!$C$2),RegionalData!$C:$S,13,FALSE),VLOOKUP(_xlfn.CONCAT(AA170,"ET"),RegionalData!$C:$S,13,FALSE))</f>
        <v>2.1217391304347829E-3</v>
      </c>
      <c r="P170" s="321" t="s">
        <v>2196</v>
      </c>
      <c r="Q170" s="346">
        <v>0.25</v>
      </c>
      <c r="R170" s="195" t="s">
        <v>2598</v>
      </c>
      <c r="S170" s="352">
        <v>1</v>
      </c>
      <c r="T170">
        <v>1</v>
      </c>
      <c r="U170" s="321"/>
      <c r="V170" s="6">
        <v>15</v>
      </c>
      <c r="W170" s="321"/>
      <c r="X170" s="321"/>
      <c r="AA170" t="s">
        <v>3208</v>
      </c>
    </row>
    <row r="171" spans="1:27" x14ac:dyDescent="0.25">
      <c r="A171" s="357" t="s">
        <v>2339</v>
      </c>
      <c r="B171" s="357" t="s">
        <v>2380</v>
      </c>
      <c r="C171" s="357" t="s">
        <v>2398</v>
      </c>
      <c r="D171" s="66">
        <v>142</v>
      </c>
      <c r="F171" s="321" t="s">
        <v>2420</v>
      </c>
      <c r="G171" s="321" t="s">
        <v>154</v>
      </c>
      <c r="H171" s="321" t="s">
        <v>2791</v>
      </c>
      <c r="I171" s="321" t="s">
        <v>214</v>
      </c>
      <c r="J171" s="320" t="s">
        <v>212</v>
      </c>
      <c r="K171" s="64" t="s">
        <v>975</v>
      </c>
      <c r="L171" s="321" t="s">
        <v>975</v>
      </c>
      <c r="M171" s="320" t="s">
        <v>194</v>
      </c>
      <c r="N171" s="321" t="str">
        <f>RegionSelect!$B$2</f>
        <v>Ethiopia</v>
      </c>
      <c r="O171" s="321"/>
      <c r="P171" s="321"/>
      <c r="Q171" s="195"/>
      <c r="R171" s="195"/>
      <c r="S171" s="321"/>
      <c r="T171" s="321"/>
      <c r="U171" s="321"/>
      <c r="V171" s="321"/>
      <c r="Y171" t="s">
        <v>975</v>
      </c>
      <c r="Z171" t="s">
        <v>2609</v>
      </c>
    </row>
    <row r="172" spans="1:27" x14ac:dyDescent="0.25">
      <c r="A172" s="357" t="s">
        <v>2339</v>
      </c>
      <c r="B172" s="357" t="s">
        <v>2380</v>
      </c>
      <c r="C172" s="357" t="s">
        <v>2398</v>
      </c>
      <c r="D172" s="66">
        <f>D171+1</f>
        <v>143</v>
      </c>
      <c r="F172" s="321" t="s">
        <v>2421</v>
      </c>
      <c r="G172" s="321" t="s">
        <v>154</v>
      </c>
      <c r="H172" s="321" t="s">
        <v>2791</v>
      </c>
      <c r="I172" s="321" t="s">
        <v>214</v>
      </c>
      <c r="J172" s="320" t="s">
        <v>212</v>
      </c>
      <c r="K172" s="64" t="s">
        <v>975</v>
      </c>
      <c r="L172" s="321" t="s">
        <v>975</v>
      </c>
      <c r="M172" s="320" t="s">
        <v>194</v>
      </c>
      <c r="N172" s="321" t="str">
        <f>RegionSelect!$B$2</f>
        <v>Ethiopia</v>
      </c>
      <c r="O172" s="321"/>
      <c r="P172" s="321"/>
      <c r="Q172" s="195"/>
      <c r="R172" s="195"/>
      <c r="S172" s="321"/>
      <c r="T172" s="321"/>
      <c r="U172" s="321"/>
      <c r="V172" s="321"/>
      <c r="Y172" t="s">
        <v>975</v>
      </c>
      <c r="Z172" t="s">
        <v>2609</v>
      </c>
    </row>
    <row r="173" spans="1:27" x14ac:dyDescent="0.25">
      <c r="A173" s="357" t="s">
        <v>2339</v>
      </c>
      <c r="B173" s="357" t="s">
        <v>2380</v>
      </c>
      <c r="C173" s="357" t="s">
        <v>2398</v>
      </c>
      <c r="D173" s="66">
        <f t="shared" ref="D173:D180" si="17">D172+1</f>
        <v>144</v>
      </c>
      <c r="F173" s="321" t="s">
        <v>2449</v>
      </c>
      <c r="G173" s="321" t="s">
        <v>154</v>
      </c>
      <c r="H173" s="321" t="s">
        <v>2791</v>
      </c>
      <c r="I173" s="321" t="s">
        <v>214</v>
      </c>
      <c r="J173" s="320" t="s">
        <v>212</v>
      </c>
      <c r="K173" s="64" t="s">
        <v>975</v>
      </c>
      <c r="L173" s="321" t="s">
        <v>975</v>
      </c>
      <c r="M173" s="320" t="s">
        <v>194</v>
      </c>
      <c r="N173" s="321" t="str">
        <f>RegionSelect!$B$2</f>
        <v>Ethiopia</v>
      </c>
      <c r="O173" s="321"/>
      <c r="P173" s="321"/>
      <c r="Q173" s="195"/>
      <c r="R173" s="195"/>
      <c r="S173" s="321"/>
      <c r="T173" s="321"/>
      <c r="U173" s="321"/>
      <c r="V173" s="321"/>
      <c r="Y173" t="s">
        <v>975</v>
      </c>
      <c r="Z173" t="s">
        <v>2609</v>
      </c>
    </row>
    <row r="174" spans="1:27" x14ac:dyDescent="0.25">
      <c r="A174" s="357" t="s">
        <v>2339</v>
      </c>
      <c r="B174" s="357" t="s">
        <v>2380</v>
      </c>
      <c r="C174" s="357" t="s">
        <v>2398</v>
      </c>
      <c r="D174" s="66">
        <f t="shared" si="17"/>
        <v>145</v>
      </c>
      <c r="F174" s="321" t="s">
        <v>2422</v>
      </c>
      <c r="G174" s="321" t="s">
        <v>154</v>
      </c>
      <c r="H174" s="321" t="s">
        <v>2791</v>
      </c>
      <c r="I174" s="321" t="s">
        <v>214</v>
      </c>
      <c r="J174" s="320" t="s">
        <v>212</v>
      </c>
      <c r="K174" s="64" t="s">
        <v>975</v>
      </c>
      <c r="L174" s="321" t="s">
        <v>194</v>
      </c>
      <c r="M174" s="320" t="s">
        <v>194</v>
      </c>
      <c r="N174" s="321" t="str">
        <f>RegionSelect!$B$2</f>
        <v>Ethiopia</v>
      </c>
      <c r="O174" s="321"/>
      <c r="P174" s="321"/>
      <c r="Q174" s="195"/>
      <c r="R174" s="195"/>
      <c r="S174" s="321"/>
      <c r="T174" s="321"/>
      <c r="U174" s="321"/>
      <c r="V174" s="321"/>
      <c r="Y174" t="s">
        <v>975</v>
      </c>
      <c r="Z174" t="s">
        <v>2609</v>
      </c>
    </row>
    <row r="175" spans="1:27" x14ac:dyDescent="0.25">
      <c r="A175" s="357" t="s">
        <v>2339</v>
      </c>
      <c r="B175" s="357" t="s">
        <v>2380</v>
      </c>
      <c r="C175" s="357" t="s">
        <v>2398</v>
      </c>
      <c r="D175" s="66">
        <f t="shared" si="17"/>
        <v>146</v>
      </c>
      <c r="F175" s="321" t="s">
        <v>2423</v>
      </c>
      <c r="G175" s="321" t="s">
        <v>2249</v>
      </c>
      <c r="H175" s="321" t="s">
        <v>2429</v>
      </c>
      <c r="I175" s="321" t="s">
        <v>214</v>
      </c>
      <c r="J175" s="320" t="s">
        <v>194</v>
      </c>
      <c r="K175" s="64" t="s">
        <v>975</v>
      </c>
      <c r="L175" s="321" t="s">
        <v>975</v>
      </c>
      <c r="M175" s="320" t="s">
        <v>975</v>
      </c>
      <c r="N175" s="321" t="str">
        <f>RegionSelect!$B$2</f>
        <v>Ethiopia</v>
      </c>
      <c r="P175" s="195"/>
      <c r="Q175" s="195"/>
      <c r="R175" s="195"/>
      <c r="S175" s="195"/>
      <c r="T175" s="195"/>
      <c r="U175" s="195"/>
      <c r="V175" s="195"/>
      <c r="W175" s="195"/>
      <c r="X175" s="195"/>
      <c r="Y175" t="s">
        <v>975</v>
      </c>
      <c r="Z175" t="s">
        <v>2373</v>
      </c>
    </row>
    <row r="176" spans="1:27" x14ac:dyDescent="0.25">
      <c r="A176" s="357" t="s">
        <v>2339</v>
      </c>
      <c r="B176" s="357" t="s">
        <v>2380</v>
      </c>
      <c r="C176" s="357" t="s">
        <v>2398</v>
      </c>
      <c r="D176" s="66">
        <f t="shared" si="17"/>
        <v>147</v>
      </c>
      <c r="F176" s="321" t="s">
        <v>2424</v>
      </c>
      <c r="G176" s="321" t="s">
        <v>154</v>
      </c>
      <c r="H176" s="321" t="s">
        <v>2791</v>
      </c>
      <c r="I176" s="321" t="s">
        <v>214</v>
      </c>
      <c r="J176" s="320" t="s">
        <v>212</v>
      </c>
      <c r="K176" s="64" t="s">
        <v>975</v>
      </c>
      <c r="L176" s="321" t="s">
        <v>975</v>
      </c>
      <c r="M176" s="320" t="s">
        <v>194</v>
      </c>
      <c r="N176" s="321" t="str">
        <f>RegionSelect!$B$2</f>
        <v>Ethiopia</v>
      </c>
      <c r="O176" s="321"/>
      <c r="P176" s="321"/>
      <c r="Q176" s="195"/>
      <c r="R176" s="195"/>
      <c r="S176" s="321"/>
      <c r="T176" s="321"/>
      <c r="U176" s="321"/>
      <c r="V176" s="321"/>
      <c r="Y176" t="s">
        <v>975</v>
      </c>
      <c r="Z176" t="s">
        <v>2609</v>
      </c>
    </row>
    <row r="177" spans="1:27" x14ac:dyDescent="0.25">
      <c r="A177" s="357" t="s">
        <v>2339</v>
      </c>
      <c r="B177" s="357" t="s">
        <v>2380</v>
      </c>
      <c r="C177" s="357" t="s">
        <v>2398</v>
      </c>
      <c r="D177" s="66">
        <f t="shared" si="17"/>
        <v>148</v>
      </c>
      <c r="F177" s="321" t="s">
        <v>2425</v>
      </c>
      <c r="G177" s="321" t="s">
        <v>154</v>
      </c>
      <c r="H177" s="321" t="s">
        <v>2791</v>
      </c>
      <c r="I177" s="321" t="s">
        <v>214</v>
      </c>
      <c r="J177" s="320" t="s">
        <v>212</v>
      </c>
      <c r="K177" s="64" t="s">
        <v>975</v>
      </c>
      <c r="L177" s="321" t="s">
        <v>194</v>
      </c>
      <c r="M177" s="320" t="s">
        <v>194</v>
      </c>
      <c r="N177" s="321" t="str">
        <f>RegionSelect!$B$2</f>
        <v>Ethiopia</v>
      </c>
      <c r="O177" s="321"/>
      <c r="P177" s="321"/>
      <c r="Q177" s="195"/>
      <c r="R177" s="195"/>
      <c r="S177" s="321"/>
      <c r="T177" s="321"/>
      <c r="U177" s="321"/>
      <c r="V177" s="321"/>
      <c r="Y177" t="s">
        <v>975</v>
      </c>
      <c r="Z177" t="s">
        <v>2609</v>
      </c>
    </row>
    <row r="178" spans="1:27" x14ac:dyDescent="0.25">
      <c r="A178" s="357" t="s">
        <v>2339</v>
      </c>
      <c r="B178" s="357" t="s">
        <v>2380</v>
      </c>
      <c r="C178" s="357" t="s">
        <v>2398</v>
      </c>
      <c r="D178" s="66">
        <f t="shared" si="17"/>
        <v>149</v>
      </c>
      <c r="F178" s="321" t="s">
        <v>2426</v>
      </c>
      <c r="G178" s="321" t="s">
        <v>154</v>
      </c>
      <c r="H178" s="321" t="s">
        <v>2791</v>
      </c>
      <c r="I178" s="321" t="s">
        <v>214</v>
      </c>
      <c r="J178" s="320" t="s">
        <v>212</v>
      </c>
      <c r="K178" s="64" t="s">
        <v>975</v>
      </c>
      <c r="L178" s="321" t="s">
        <v>194</v>
      </c>
      <c r="M178" s="320" t="s">
        <v>194</v>
      </c>
      <c r="N178" s="321" t="str">
        <f>RegionSelect!$B$2</f>
        <v>Ethiopia</v>
      </c>
      <c r="O178" s="321"/>
      <c r="P178" s="321"/>
      <c r="Q178" s="195"/>
      <c r="R178" s="195"/>
      <c r="S178" s="321"/>
      <c r="T178" s="321"/>
      <c r="U178" s="321"/>
      <c r="V178" s="321"/>
      <c r="Y178" t="s">
        <v>975</v>
      </c>
      <c r="Z178" t="s">
        <v>2609</v>
      </c>
    </row>
    <row r="179" spans="1:27" x14ac:dyDescent="0.25">
      <c r="A179" s="357" t="s">
        <v>2339</v>
      </c>
      <c r="B179" s="357" t="s">
        <v>2380</v>
      </c>
      <c r="C179" s="357" t="s">
        <v>2398</v>
      </c>
      <c r="D179" s="66">
        <f t="shared" si="17"/>
        <v>150</v>
      </c>
      <c r="F179" s="321" t="s">
        <v>2427</v>
      </c>
      <c r="G179" s="321" t="s">
        <v>154</v>
      </c>
      <c r="H179" s="319" t="s">
        <v>2429</v>
      </c>
      <c r="I179" s="321" t="s">
        <v>214</v>
      </c>
      <c r="J179" s="320" t="s">
        <v>194</v>
      </c>
      <c r="K179" s="64" t="s">
        <v>975</v>
      </c>
      <c r="L179" s="321" t="s">
        <v>975</v>
      </c>
      <c r="M179" s="320" t="s">
        <v>194</v>
      </c>
      <c r="N179" s="321" t="str">
        <f>RegionSelect!$B$2</f>
        <v>Ethiopia</v>
      </c>
      <c r="P179" s="195"/>
      <c r="Q179" s="195"/>
      <c r="R179" s="195"/>
      <c r="S179" s="195"/>
      <c r="T179" s="195"/>
      <c r="U179" s="195"/>
      <c r="V179" s="195"/>
      <c r="W179" s="195"/>
      <c r="X179" s="195"/>
      <c r="Y179" t="s">
        <v>975</v>
      </c>
      <c r="Z179" t="s">
        <v>2336</v>
      </c>
    </row>
    <row r="180" spans="1:27" x14ac:dyDescent="0.25">
      <c r="A180" s="357" t="s">
        <v>2339</v>
      </c>
      <c r="B180" s="357" t="s">
        <v>2380</v>
      </c>
      <c r="C180" s="357" t="s">
        <v>2398</v>
      </c>
      <c r="D180" s="66">
        <f t="shared" si="17"/>
        <v>151</v>
      </c>
      <c r="F180" s="321" t="s">
        <v>2428</v>
      </c>
      <c r="G180" s="321" t="s">
        <v>154</v>
      </c>
      <c r="H180" s="321" t="s">
        <v>2791</v>
      </c>
      <c r="I180" s="321" t="s">
        <v>214</v>
      </c>
      <c r="J180" s="320" t="s">
        <v>212</v>
      </c>
      <c r="K180" s="64" t="s">
        <v>975</v>
      </c>
      <c r="L180" s="321" t="s">
        <v>975</v>
      </c>
      <c r="M180" s="320" t="s">
        <v>194</v>
      </c>
      <c r="N180" s="321" t="str">
        <f>RegionSelect!$B$2</f>
        <v>Ethiopia</v>
      </c>
      <c r="O180" s="321"/>
      <c r="P180" s="321"/>
      <c r="Q180" s="195"/>
      <c r="R180" s="195"/>
      <c r="S180" s="321"/>
      <c r="T180" s="321"/>
      <c r="U180" s="321"/>
      <c r="V180" s="321"/>
      <c r="Y180" t="s">
        <v>975</v>
      </c>
      <c r="Z180" t="s">
        <v>2609</v>
      </c>
    </row>
    <row r="181" spans="1:27" x14ac:dyDescent="0.25">
      <c r="A181" s="66" t="s">
        <v>2339</v>
      </c>
      <c r="B181" s="66" t="s">
        <v>2450</v>
      </c>
      <c r="D181" s="66">
        <v>152</v>
      </c>
      <c r="E181" s="64" t="str">
        <f>_xlfn.CONCAT("DPC.OutPt.",D181)</f>
        <v>DPC.OutPt.152</v>
      </c>
      <c r="F181" s="356" t="s">
        <v>2451</v>
      </c>
      <c r="G181" s="356" t="s">
        <v>154</v>
      </c>
      <c r="H181" s="356" t="s">
        <v>2791</v>
      </c>
      <c r="I181" s="356" t="s">
        <v>220</v>
      </c>
      <c r="J181" s="320" t="s">
        <v>201</v>
      </c>
      <c r="K181" s="64" t="s">
        <v>975</v>
      </c>
      <c r="L181" s="356" t="s">
        <v>194</v>
      </c>
      <c r="M181" s="320" t="s">
        <v>194</v>
      </c>
      <c r="N181" s="321" t="str">
        <f>RegionSelect!$B$2</f>
        <v>Ethiopia</v>
      </c>
      <c r="O181" s="146">
        <v>1</v>
      </c>
      <c r="P181" s="321" t="s">
        <v>2196</v>
      </c>
      <c r="Q181" s="195"/>
      <c r="R181" s="195"/>
      <c r="S181" s="89">
        <v>1</v>
      </c>
      <c r="T181">
        <v>1</v>
      </c>
      <c r="U181" s="380">
        <f>1/5</f>
        <v>0.2</v>
      </c>
      <c r="V181" s="6">
        <v>10</v>
      </c>
      <c r="Y181" t="s">
        <v>975</v>
      </c>
      <c r="Z181" t="s">
        <v>2781</v>
      </c>
    </row>
    <row r="182" spans="1:27" x14ac:dyDescent="0.25">
      <c r="A182" s="66" t="s">
        <v>2339</v>
      </c>
      <c r="D182" s="66">
        <v>153</v>
      </c>
      <c r="E182" s="344"/>
      <c r="F182" s="345" t="s">
        <v>2452</v>
      </c>
      <c r="N182" s="321" t="str">
        <f>RegionSelect!$B$2</f>
        <v>Ethiopia</v>
      </c>
    </row>
    <row r="183" spans="1:27" x14ac:dyDescent="0.25">
      <c r="A183" s="66" t="s">
        <v>2339</v>
      </c>
      <c r="D183" s="66">
        <v>154</v>
      </c>
      <c r="E183" s="344"/>
      <c r="F183" s="345" t="s">
        <v>2452</v>
      </c>
      <c r="N183" s="321" t="str">
        <f>RegionSelect!$B$2</f>
        <v>Ethiopia</v>
      </c>
    </row>
    <row r="184" spans="1:27" x14ac:dyDescent="0.25">
      <c r="A184" s="66" t="s">
        <v>2339</v>
      </c>
      <c r="D184" s="66">
        <v>155</v>
      </c>
      <c r="E184" s="344"/>
      <c r="F184" s="345" t="s">
        <v>2452</v>
      </c>
      <c r="N184" s="321" t="str">
        <f>RegionSelect!$B$2</f>
        <v>Ethiopia</v>
      </c>
    </row>
    <row r="185" spans="1:27" x14ac:dyDescent="0.25">
      <c r="A185" s="66" t="s">
        <v>2339</v>
      </c>
      <c r="B185" s="66" t="s">
        <v>528</v>
      </c>
      <c r="D185" s="66">
        <v>156</v>
      </c>
      <c r="E185" s="64" t="s">
        <v>2453</v>
      </c>
      <c r="F185" s="321" t="s">
        <v>2454</v>
      </c>
      <c r="G185" s="321" t="s">
        <v>193</v>
      </c>
      <c r="H185" s="356" t="s">
        <v>206</v>
      </c>
      <c r="I185" s="356" t="s">
        <v>194</v>
      </c>
      <c r="J185" s="320" t="s">
        <v>194</v>
      </c>
      <c r="K185" s="64" t="s">
        <v>975</v>
      </c>
      <c r="L185" s="321" t="s">
        <v>975</v>
      </c>
      <c r="M185" s="320" t="s">
        <v>975</v>
      </c>
      <c r="N185" s="321" t="str">
        <f>RegionSelect!$B$2</f>
        <v>Ethiopia</v>
      </c>
      <c r="P185" s="195"/>
      <c r="Q185" s="195"/>
      <c r="R185" s="195"/>
      <c r="S185" s="195"/>
      <c r="T185" s="195"/>
      <c r="U185" s="195"/>
      <c r="V185" s="195"/>
      <c r="W185" s="195"/>
      <c r="X185" s="195"/>
      <c r="Y185" t="s">
        <v>975</v>
      </c>
      <c r="Z185" t="s">
        <v>2368</v>
      </c>
    </row>
    <row r="186" spans="1:27" x14ac:dyDescent="0.25">
      <c r="A186" s="66" t="s">
        <v>2339</v>
      </c>
      <c r="B186" s="66" t="s">
        <v>528</v>
      </c>
      <c r="C186" s="66" t="s">
        <v>2455</v>
      </c>
      <c r="D186" s="66">
        <f>D185+1</f>
        <v>157</v>
      </c>
      <c r="E186" s="64" t="str">
        <f>_xlfn.CONCAT("DPC.NTD.",D186)</f>
        <v>DPC.NTD.157</v>
      </c>
      <c r="F186" s="321" t="s">
        <v>2460</v>
      </c>
      <c r="G186" s="356" t="s">
        <v>154</v>
      </c>
      <c r="H186" s="356" t="s">
        <v>2791</v>
      </c>
      <c r="I186" s="356" t="s">
        <v>528</v>
      </c>
      <c r="J186" s="320" t="s">
        <v>201</v>
      </c>
      <c r="K186" s="64" t="s">
        <v>975</v>
      </c>
      <c r="L186" s="356" t="s">
        <v>975</v>
      </c>
      <c r="M186" s="320" t="s">
        <v>975</v>
      </c>
      <c r="N186" s="321" t="str">
        <f>RegionSelect!$B$2</f>
        <v>Ethiopia</v>
      </c>
      <c r="O186" s="145">
        <f>IFERROR(VLOOKUP(_xlfn.CONCAT(AA186,RegionSelect!$C$2),RegionalData!$C:$S,13,FALSE),VLOOKUP(_xlfn.CONCAT(AA186,"ET"),RegionalData!$C:$S,13,FALSE))</f>
        <v>4.6529294056327089E-3</v>
      </c>
      <c r="P186" s="321" t="s">
        <v>2196</v>
      </c>
      <c r="Q186" s="321"/>
      <c r="R186" s="321"/>
      <c r="S186" s="352">
        <v>0.98</v>
      </c>
      <c r="T186">
        <v>1</v>
      </c>
      <c r="V186" s="6">
        <v>5</v>
      </c>
      <c r="Y186" t="s">
        <v>975</v>
      </c>
      <c r="AA186" t="s">
        <v>3211</v>
      </c>
    </row>
    <row r="187" spans="1:27" x14ac:dyDescent="0.25">
      <c r="A187" s="66" t="s">
        <v>2339</v>
      </c>
      <c r="B187" s="66" t="s">
        <v>528</v>
      </c>
      <c r="C187" s="66" t="s">
        <v>2455</v>
      </c>
      <c r="D187" s="66">
        <f t="shared" ref="D187:D212" si="18">D186+1</f>
        <v>158</v>
      </c>
      <c r="E187" s="64" t="str">
        <f t="shared" ref="E187:E212" si="19">_xlfn.CONCAT("DPC.NTD.",D187)</f>
        <v>DPC.NTD.158</v>
      </c>
      <c r="F187" s="321" t="s">
        <v>2459</v>
      </c>
      <c r="G187" s="356" t="s">
        <v>154</v>
      </c>
      <c r="H187" s="356" t="s">
        <v>206</v>
      </c>
      <c r="I187" s="319" t="s">
        <v>528</v>
      </c>
      <c r="J187" s="320" t="s">
        <v>194</v>
      </c>
      <c r="K187" s="64" t="s">
        <v>194</v>
      </c>
      <c r="L187" s="319" t="s">
        <v>194</v>
      </c>
      <c r="M187" s="320" t="s">
        <v>194</v>
      </c>
      <c r="N187" s="321" t="str">
        <f>RegionSelect!$B$2</f>
        <v>Ethiopia</v>
      </c>
      <c r="P187" s="321"/>
      <c r="Q187" s="321"/>
      <c r="R187" s="321"/>
      <c r="T187" s="321"/>
      <c r="U187" s="321"/>
      <c r="W187" s="321"/>
      <c r="X187" s="321"/>
      <c r="Y187" t="s">
        <v>975</v>
      </c>
      <c r="Z187" t="s">
        <v>2335</v>
      </c>
    </row>
    <row r="188" spans="1:27" x14ac:dyDescent="0.25">
      <c r="A188" s="66" t="s">
        <v>2339</v>
      </c>
      <c r="B188" s="66" t="s">
        <v>528</v>
      </c>
      <c r="C188" s="66" t="s">
        <v>2455</v>
      </c>
      <c r="D188" s="66">
        <f t="shared" si="18"/>
        <v>159</v>
      </c>
      <c r="E188" s="64" t="str">
        <f t="shared" si="19"/>
        <v>DPC.NTD.159</v>
      </c>
      <c r="F188" s="356" t="s">
        <v>2462</v>
      </c>
      <c r="G188" s="356" t="s">
        <v>2249</v>
      </c>
      <c r="H188" s="356" t="s">
        <v>206</v>
      </c>
      <c r="I188" s="319" t="s">
        <v>528</v>
      </c>
      <c r="J188" s="320" t="s">
        <v>212</v>
      </c>
      <c r="K188" s="64" t="s">
        <v>975</v>
      </c>
      <c r="L188" s="321" t="s">
        <v>975</v>
      </c>
      <c r="M188" s="320" t="s">
        <v>975</v>
      </c>
      <c r="N188" s="321" t="str">
        <f>RegionSelect!$B$2</f>
        <v>Ethiopia</v>
      </c>
      <c r="O188" s="145">
        <f>IFERROR(VLOOKUP(_xlfn.CONCAT(AA188,RegionSelect!$C$2),RegionalData!$C:$S,13,FALSE),VLOOKUP(_xlfn.CONCAT(AA188,"ET"),RegionalData!$C:$S,13,FALSE))</f>
        <v>0.21276595744680851</v>
      </c>
      <c r="P188" s="195" t="s">
        <v>2367</v>
      </c>
      <c r="Q188" s="347"/>
      <c r="R188" s="347"/>
      <c r="T188" s="195"/>
      <c r="U188" s="347">
        <v>1</v>
      </c>
      <c r="V188" s="347">
        <v>5</v>
      </c>
      <c r="W188" s="347"/>
      <c r="X188" s="347"/>
      <c r="Y188" t="s">
        <v>975</v>
      </c>
      <c r="Z188" s="337" t="s">
        <v>2366</v>
      </c>
      <c r="AA188" t="s">
        <v>3050</v>
      </c>
    </row>
    <row r="189" spans="1:27" x14ac:dyDescent="0.25">
      <c r="A189" s="66" t="s">
        <v>2339</v>
      </c>
      <c r="B189" s="66" t="s">
        <v>528</v>
      </c>
      <c r="C189" s="66" t="s">
        <v>2455</v>
      </c>
      <c r="D189" s="66">
        <f t="shared" si="18"/>
        <v>160</v>
      </c>
      <c r="E189" s="64" t="str">
        <f t="shared" si="19"/>
        <v>DPC.NTD.160</v>
      </c>
      <c r="F189" s="321" t="s">
        <v>2472</v>
      </c>
      <c r="G189" s="356" t="s">
        <v>2249</v>
      </c>
      <c r="H189" s="356" t="s">
        <v>206</v>
      </c>
      <c r="I189" s="319" t="s">
        <v>528</v>
      </c>
      <c r="J189" s="320" t="s">
        <v>194</v>
      </c>
      <c r="K189" s="64" t="s">
        <v>975</v>
      </c>
      <c r="L189" s="321" t="s">
        <v>975</v>
      </c>
      <c r="M189" s="320" t="s">
        <v>975</v>
      </c>
      <c r="N189" s="321" t="str">
        <f>RegionSelect!$B$2</f>
        <v>Ethiopia</v>
      </c>
      <c r="P189" s="195"/>
      <c r="Q189" s="195"/>
      <c r="R189" s="195"/>
      <c r="S189" s="195"/>
      <c r="T189" s="195"/>
      <c r="U189" s="195"/>
      <c r="V189" s="195"/>
      <c r="W189" s="346"/>
      <c r="X189" s="195"/>
      <c r="Y189" t="s">
        <v>975</v>
      </c>
      <c r="Z189" s="5" t="s">
        <v>2373</v>
      </c>
    </row>
    <row r="190" spans="1:27" x14ac:dyDescent="0.25">
      <c r="A190" s="66" t="s">
        <v>2339</v>
      </c>
      <c r="B190" s="66" t="s">
        <v>528</v>
      </c>
      <c r="C190" s="66" t="s">
        <v>406</v>
      </c>
      <c r="D190" s="66">
        <f t="shared" si="18"/>
        <v>161</v>
      </c>
      <c r="E190" s="64" t="str">
        <f t="shared" si="19"/>
        <v>DPC.NTD.161</v>
      </c>
      <c r="F190" s="356" t="s">
        <v>2461</v>
      </c>
      <c r="G190" s="356" t="s">
        <v>154</v>
      </c>
      <c r="H190" s="356" t="s">
        <v>206</v>
      </c>
      <c r="I190" s="319" t="s">
        <v>528</v>
      </c>
      <c r="J190" s="320" t="s">
        <v>194</v>
      </c>
      <c r="K190" s="64" t="s">
        <v>194</v>
      </c>
      <c r="L190" s="321" t="s">
        <v>194</v>
      </c>
      <c r="M190" s="320" t="s">
        <v>194</v>
      </c>
      <c r="N190" s="321" t="str">
        <f>RegionSelect!$B$2</f>
        <v>Ethiopia</v>
      </c>
      <c r="P190" s="321"/>
      <c r="Q190" s="321"/>
      <c r="R190" s="321"/>
      <c r="T190" s="321"/>
      <c r="U190" s="321"/>
      <c r="W190" s="321"/>
      <c r="X190" s="321"/>
      <c r="Y190" t="s">
        <v>975</v>
      </c>
      <c r="Z190" t="s">
        <v>2335</v>
      </c>
    </row>
    <row r="191" spans="1:27" x14ac:dyDescent="0.25">
      <c r="A191" s="66" t="s">
        <v>2339</v>
      </c>
      <c r="B191" s="66" t="s">
        <v>528</v>
      </c>
      <c r="C191" s="66" t="s">
        <v>406</v>
      </c>
      <c r="D191" s="66">
        <f t="shared" si="18"/>
        <v>162</v>
      </c>
      <c r="E191" s="64" t="str">
        <f t="shared" si="19"/>
        <v>DPC.NTD.162</v>
      </c>
      <c r="F191" s="356" t="s">
        <v>2471</v>
      </c>
      <c r="G191" s="356" t="s">
        <v>2249</v>
      </c>
      <c r="H191" s="356" t="s">
        <v>206</v>
      </c>
      <c r="I191" s="319" t="s">
        <v>528</v>
      </c>
      <c r="J191" s="320" t="s">
        <v>194</v>
      </c>
      <c r="K191" s="64" t="s">
        <v>975</v>
      </c>
      <c r="L191" s="321" t="s">
        <v>975</v>
      </c>
      <c r="M191" s="320" t="s">
        <v>975</v>
      </c>
      <c r="N191" s="321" t="str">
        <f>RegionSelect!$B$2</f>
        <v>Ethiopia</v>
      </c>
      <c r="P191" s="195"/>
      <c r="Q191" s="195"/>
      <c r="R191" s="195"/>
      <c r="S191" s="195"/>
      <c r="T191" s="195"/>
      <c r="U191" s="195"/>
      <c r="V191" s="195"/>
      <c r="W191" s="346"/>
      <c r="X191" s="195"/>
      <c r="Y191" t="s">
        <v>975</v>
      </c>
      <c r="Z191" s="5" t="s">
        <v>2373</v>
      </c>
    </row>
    <row r="192" spans="1:27" x14ac:dyDescent="0.25">
      <c r="A192" s="66" t="s">
        <v>2339</v>
      </c>
      <c r="B192" s="66" t="s">
        <v>528</v>
      </c>
      <c r="C192" s="66" t="s">
        <v>410</v>
      </c>
      <c r="D192" s="66">
        <f t="shared" si="18"/>
        <v>163</v>
      </c>
      <c r="E192" s="64" t="str">
        <f t="shared" si="19"/>
        <v>DPC.NTD.163</v>
      </c>
      <c r="F192" s="356" t="s">
        <v>2469</v>
      </c>
      <c r="G192" s="356" t="s">
        <v>2249</v>
      </c>
      <c r="H192" s="356" t="s">
        <v>206</v>
      </c>
      <c r="I192" s="319" t="s">
        <v>528</v>
      </c>
      <c r="J192" s="320" t="s">
        <v>194</v>
      </c>
      <c r="K192" s="64" t="s">
        <v>975</v>
      </c>
      <c r="L192" s="321" t="s">
        <v>975</v>
      </c>
      <c r="M192" s="320" t="s">
        <v>975</v>
      </c>
      <c r="N192" s="321" t="str">
        <f>RegionSelect!$B$2</f>
        <v>Ethiopia</v>
      </c>
      <c r="P192" s="195"/>
      <c r="Q192" s="195"/>
      <c r="R192" s="195"/>
      <c r="S192" s="195"/>
      <c r="T192" s="195"/>
      <c r="U192" s="195"/>
      <c r="V192" s="195"/>
      <c r="W192" s="346"/>
      <c r="X192" s="195"/>
      <c r="Y192" t="s">
        <v>975</v>
      </c>
      <c r="Z192" s="5" t="s">
        <v>2373</v>
      </c>
    </row>
    <row r="193" spans="1:27" x14ac:dyDescent="0.25">
      <c r="A193" s="66" t="s">
        <v>2339</v>
      </c>
      <c r="B193" s="66" t="s">
        <v>528</v>
      </c>
      <c r="C193" s="66" t="s">
        <v>410</v>
      </c>
      <c r="D193" s="66">
        <f t="shared" si="18"/>
        <v>164</v>
      </c>
      <c r="E193" s="64" t="str">
        <f t="shared" si="19"/>
        <v>DPC.NTD.164</v>
      </c>
      <c r="F193" s="356" t="s">
        <v>2463</v>
      </c>
      <c r="G193" s="356" t="s">
        <v>2249</v>
      </c>
      <c r="H193" s="356" t="s">
        <v>206</v>
      </c>
      <c r="I193" s="319" t="s">
        <v>528</v>
      </c>
      <c r="J193" s="320" t="s">
        <v>194</v>
      </c>
      <c r="K193" s="64" t="s">
        <v>975</v>
      </c>
      <c r="L193" s="321" t="s">
        <v>975</v>
      </c>
      <c r="M193" s="320" t="s">
        <v>975</v>
      </c>
      <c r="N193" s="321" t="str">
        <f>RegionSelect!$B$2</f>
        <v>Ethiopia</v>
      </c>
      <c r="P193" s="195"/>
      <c r="Q193" s="195"/>
      <c r="R193" s="195"/>
      <c r="S193" s="195"/>
      <c r="T193" s="195"/>
      <c r="U193" s="195"/>
      <c r="V193" s="195"/>
      <c r="W193" s="346"/>
      <c r="X193" s="195"/>
      <c r="Y193" t="s">
        <v>975</v>
      </c>
      <c r="Z193" s="5" t="s">
        <v>2373</v>
      </c>
    </row>
    <row r="194" spans="1:27" x14ac:dyDescent="0.25">
      <c r="A194" s="66" t="s">
        <v>2339</v>
      </c>
      <c r="B194" s="66" t="s">
        <v>528</v>
      </c>
      <c r="C194" s="66" t="s">
        <v>410</v>
      </c>
      <c r="D194" s="66">
        <f t="shared" si="18"/>
        <v>165</v>
      </c>
      <c r="E194" s="64" t="str">
        <f t="shared" si="19"/>
        <v>DPC.NTD.165</v>
      </c>
      <c r="F194" s="356" t="s">
        <v>2464</v>
      </c>
      <c r="G194" s="356" t="s">
        <v>154</v>
      </c>
      <c r="H194" s="356" t="s">
        <v>2791</v>
      </c>
      <c r="I194" s="319" t="s">
        <v>528</v>
      </c>
      <c r="J194" s="320" t="s">
        <v>2589</v>
      </c>
      <c r="K194" s="64" t="s">
        <v>975</v>
      </c>
      <c r="L194" s="321" t="s">
        <v>975</v>
      </c>
      <c r="M194" s="320" t="s">
        <v>194</v>
      </c>
      <c r="N194" s="372" t="str">
        <f>RegionSelect!$B$2</f>
        <v>Ethiopia</v>
      </c>
      <c r="O194" s="145">
        <f>IFERROR(VLOOKUP(_xlfn.CONCAT(AA194,RegionSelect!$C$2),RegionalData!$C:$S,13,FALSE),VLOOKUP(_xlfn.CONCAT(AA194,"ET"),RegionalData!$C:$S,13,FALSE))</f>
        <v>1.0375000000000001E-2</v>
      </c>
      <c r="P194" s="321" t="s">
        <v>2196</v>
      </c>
      <c r="Q194" s="195"/>
      <c r="R194" s="195"/>
      <c r="S194" s="352">
        <v>0.98</v>
      </c>
      <c r="T194">
        <v>1</v>
      </c>
      <c r="V194" s="6">
        <v>5</v>
      </c>
      <c r="Y194" t="s">
        <v>975</v>
      </c>
      <c r="AA194" t="s">
        <v>3215</v>
      </c>
    </row>
    <row r="195" spans="1:27" x14ac:dyDescent="0.25">
      <c r="A195" s="66" t="s">
        <v>2339</v>
      </c>
      <c r="B195" s="66" t="s">
        <v>528</v>
      </c>
      <c r="C195" s="66" t="s">
        <v>410</v>
      </c>
      <c r="D195" s="66">
        <f t="shared" si="18"/>
        <v>166</v>
      </c>
      <c r="E195" s="64" t="str">
        <f t="shared" si="19"/>
        <v>DPC.NTD.166</v>
      </c>
      <c r="F195" s="356" t="s">
        <v>2465</v>
      </c>
      <c r="G195" s="356" t="s">
        <v>154</v>
      </c>
      <c r="H195" s="356" t="s">
        <v>2791</v>
      </c>
      <c r="I195" s="319" t="s">
        <v>528</v>
      </c>
      <c r="J195" s="320" t="s">
        <v>201</v>
      </c>
      <c r="K195" s="64" t="s">
        <v>975</v>
      </c>
      <c r="L195" s="321" t="s">
        <v>194</v>
      </c>
      <c r="M195" s="320" t="s">
        <v>194</v>
      </c>
      <c r="N195" s="321" t="str">
        <f>RegionSelect!$B$2</f>
        <v>Ethiopia</v>
      </c>
      <c r="O195" s="371"/>
      <c r="P195" s="321" t="s">
        <v>2196</v>
      </c>
      <c r="Q195" s="195"/>
      <c r="R195" s="195"/>
      <c r="S195" s="303">
        <f>S194</f>
        <v>0.98</v>
      </c>
      <c r="T195">
        <v>1</v>
      </c>
      <c r="V195" s="341">
        <v>30</v>
      </c>
      <c r="Y195" t="s">
        <v>975</v>
      </c>
    </row>
    <row r="196" spans="1:27" x14ac:dyDescent="0.25">
      <c r="A196" s="66" t="s">
        <v>2339</v>
      </c>
      <c r="B196" s="66" t="s">
        <v>528</v>
      </c>
      <c r="C196" s="66" t="s">
        <v>410</v>
      </c>
      <c r="D196" s="66">
        <f t="shared" si="18"/>
        <v>167</v>
      </c>
      <c r="E196" s="64" t="str">
        <f t="shared" si="19"/>
        <v>DPC.NTD.167</v>
      </c>
      <c r="F196" s="356" t="s">
        <v>2466</v>
      </c>
      <c r="G196" s="356" t="s">
        <v>2249</v>
      </c>
      <c r="H196" s="356" t="s">
        <v>206</v>
      </c>
      <c r="I196" s="319" t="s">
        <v>528</v>
      </c>
      <c r="J196" s="320" t="s">
        <v>194</v>
      </c>
      <c r="K196" s="64" t="s">
        <v>194</v>
      </c>
      <c r="L196" s="321" t="s">
        <v>194</v>
      </c>
      <c r="M196" s="320" t="s">
        <v>194</v>
      </c>
      <c r="N196" s="321" t="str">
        <f>RegionSelect!$B$2</f>
        <v>Ethiopia</v>
      </c>
      <c r="P196" s="321"/>
      <c r="Q196" s="321"/>
      <c r="R196" s="321"/>
      <c r="T196" s="321"/>
      <c r="U196" s="321"/>
      <c r="W196" s="321"/>
      <c r="X196" s="321"/>
      <c r="Y196" t="s">
        <v>975</v>
      </c>
      <c r="Z196" t="s">
        <v>2335</v>
      </c>
    </row>
    <row r="197" spans="1:27" x14ac:dyDescent="0.25">
      <c r="A197" s="66" t="s">
        <v>2339</v>
      </c>
      <c r="B197" s="66" t="s">
        <v>528</v>
      </c>
      <c r="C197" s="66" t="s">
        <v>410</v>
      </c>
      <c r="D197" s="66">
        <f t="shared" si="18"/>
        <v>168</v>
      </c>
      <c r="E197" s="64" t="str">
        <f t="shared" si="19"/>
        <v>DPC.NTD.168</v>
      </c>
      <c r="F197" s="356" t="s">
        <v>2467</v>
      </c>
      <c r="G197" s="356" t="s">
        <v>2249</v>
      </c>
      <c r="H197" s="356" t="s">
        <v>206</v>
      </c>
      <c r="I197" s="319" t="s">
        <v>528</v>
      </c>
      <c r="J197" s="320" t="s">
        <v>194</v>
      </c>
      <c r="K197" s="64" t="s">
        <v>975</v>
      </c>
      <c r="L197" s="321" t="s">
        <v>975</v>
      </c>
      <c r="M197" s="320" t="s">
        <v>975</v>
      </c>
      <c r="N197" s="321" t="str">
        <f>RegionSelect!$B$2</f>
        <v>Ethiopia</v>
      </c>
      <c r="P197" s="195"/>
      <c r="Q197" s="195"/>
      <c r="R197" s="195"/>
      <c r="S197" s="195"/>
      <c r="T197" s="195"/>
      <c r="U197" s="195"/>
      <c r="V197" s="195"/>
      <c r="W197" s="195"/>
      <c r="X197" s="195"/>
      <c r="Y197" t="s">
        <v>975</v>
      </c>
      <c r="Z197" s="5" t="s">
        <v>2373</v>
      </c>
    </row>
    <row r="198" spans="1:27" x14ac:dyDescent="0.25">
      <c r="A198" s="66" t="s">
        <v>2339</v>
      </c>
      <c r="B198" s="66" t="s">
        <v>528</v>
      </c>
      <c r="C198" s="66" t="s">
        <v>2456</v>
      </c>
      <c r="D198" s="66">
        <f t="shared" si="18"/>
        <v>169</v>
      </c>
      <c r="E198" s="64" t="str">
        <f t="shared" si="19"/>
        <v>DPC.NTD.169</v>
      </c>
      <c r="F198" s="356" t="s">
        <v>2468</v>
      </c>
      <c r="G198" s="356" t="s">
        <v>2249</v>
      </c>
      <c r="H198" s="356" t="s">
        <v>206</v>
      </c>
      <c r="I198" s="319" t="s">
        <v>528</v>
      </c>
      <c r="J198" s="320" t="s">
        <v>194</v>
      </c>
      <c r="K198" s="64" t="s">
        <v>975</v>
      </c>
      <c r="L198" s="321" t="s">
        <v>975</v>
      </c>
      <c r="M198" s="320" t="s">
        <v>975</v>
      </c>
      <c r="N198" s="321" t="str">
        <f>RegionSelect!$B$2</f>
        <v>Ethiopia</v>
      </c>
      <c r="P198" s="195"/>
      <c r="Q198" s="195"/>
      <c r="R198" s="195"/>
      <c r="S198" s="195"/>
      <c r="T198" s="195"/>
      <c r="U198" s="195"/>
      <c r="V198" s="195"/>
      <c r="W198" s="195"/>
      <c r="X198" s="195"/>
      <c r="Y198" t="s">
        <v>975</v>
      </c>
      <c r="Z198" s="5" t="s">
        <v>2373</v>
      </c>
    </row>
    <row r="199" spans="1:27" x14ac:dyDescent="0.25">
      <c r="A199" s="66" t="s">
        <v>2339</v>
      </c>
      <c r="B199" s="66" t="s">
        <v>528</v>
      </c>
      <c r="C199" s="66" t="s">
        <v>2456</v>
      </c>
      <c r="D199" s="66">
        <f t="shared" si="18"/>
        <v>170</v>
      </c>
      <c r="E199" s="64" t="str">
        <f t="shared" si="19"/>
        <v>DPC.NTD.170</v>
      </c>
      <c r="F199" s="356" t="s">
        <v>2473</v>
      </c>
      <c r="G199" s="356" t="s">
        <v>2249</v>
      </c>
      <c r="H199" s="356" t="s">
        <v>206</v>
      </c>
      <c r="I199" s="319" t="s">
        <v>528</v>
      </c>
      <c r="J199" s="320" t="s">
        <v>194</v>
      </c>
      <c r="K199" s="64" t="s">
        <v>194</v>
      </c>
      <c r="L199" s="321" t="s">
        <v>194</v>
      </c>
      <c r="M199" s="320" t="s">
        <v>194</v>
      </c>
      <c r="N199" s="321" t="str">
        <f>RegionSelect!$B$2</f>
        <v>Ethiopia</v>
      </c>
      <c r="P199" s="321"/>
      <c r="Q199" s="321"/>
      <c r="R199" s="321"/>
      <c r="T199" s="321"/>
      <c r="U199" s="321"/>
      <c r="W199" s="321"/>
      <c r="X199" s="321"/>
      <c r="Y199" t="s">
        <v>975</v>
      </c>
      <c r="Z199" t="s">
        <v>2335</v>
      </c>
    </row>
    <row r="200" spans="1:27" x14ac:dyDescent="0.25">
      <c r="A200" s="66" t="s">
        <v>2339</v>
      </c>
      <c r="B200" s="66" t="s">
        <v>528</v>
      </c>
      <c r="C200" s="66" t="s">
        <v>2456</v>
      </c>
      <c r="D200" s="66">
        <f t="shared" si="18"/>
        <v>171</v>
      </c>
      <c r="E200" s="64" t="str">
        <f t="shared" si="19"/>
        <v>DPC.NTD.171</v>
      </c>
      <c r="F200" s="356" t="s">
        <v>2474</v>
      </c>
      <c r="G200" s="356" t="s">
        <v>2249</v>
      </c>
      <c r="H200" s="356" t="s">
        <v>206</v>
      </c>
      <c r="I200" s="319" t="s">
        <v>528</v>
      </c>
      <c r="J200" s="320" t="s">
        <v>212</v>
      </c>
      <c r="K200" s="64" t="s">
        <v>975</v>
      </c>
      <c r="L200" s="321" t="s">
        <v>975</v>
      </c>
      <c r="M200" s="320" t="s">
        <v>975</v>
      </c>
      <c r="N200" s="321" t="str">
        <f>RegionSelect!$B$2</f>
        <v>Ethiopia</v>
      </c>
      <c r="O200" s="145">
        <f>IFERROR(VLOOKUP(_xlfn.CONCAT(AA200,RegionSelect!$C$2),RegionalData!$C:$S,13,FALSE),VLOOKUP(_xlfn.CONCAT(AA200,"ET"),RegionalData!$C:$S,13,FALSE))</f>
        <v>0.21276595744680851</v>
      </c>
      <c r="P200" s="195" t="s">
        <v>2367</v>
      </c>
      <c r="Q200" s="347"/>
      <c r="R200" s="386"/>
      <c r="T200" s="195"/>
      <c r="U200" s="347">
        <v>1</v>
      </c>
      <c r="V200" s="347">
        <v>5</v>
      </c>
      <c r="W200" s="347"/>
      <c r="X200" s="347"/>
      <c r="Y200" t="s">
        <v>975</v>
      </c>
      <c r="Z200" s="337" t="s">
        <v>2366</v>
      </c>
      <c r="AA200" t="s">
        <v>3050</v>
      </c>
    </row>
    <row r="201" spans="1:27" x14ac:dyDescent="0.25">
      <c r="A201" s="66" t="s">
        <v>2339</v>
      </c>
      <c r="B201" s="66" t="s">
        <v>528</v>
      </c>
      <c r="C201" s="66" t="s">
        <v>2457</v>
      </c>
      <c r="D201" s="66">
        <f t="shared" si="18"/>
        <v>172</v>
      </c>
      <c r="E201" s="64" t="str">
        <f t="shared" si="19"/>
        <v>DPC.NTD.172</v>
      </c>
      <c r="F201" s="356" t="s">
        <v>2475</v>
      </c>
      <c r="G201" s="356" t="s">
        <v>2249</v>
      </c>
      <c r="H201" s="356" t="s">
        <v>206</v>
      </c>
      <c r="I201" s="319" t="s">
        <v>528</v>
      </c>
      <c r="J201" s="320" t="s">
        <v>194</v>
      </c>
      <c r="K201" s="64" t="s">
        <v>975</v>
      </c>
      <c r="L201" s="321" t="s">
        <v>975</v>
      </c>
      <c r="M201" s="320" t="s">
        <v>975</v>
      </c>
      <c r="N201" s="321" t="str">
        <f>RegionSelect!$B$2</f>
        <v>Ethiopia</v>
      </c>
      <c r="P201" s="195"/>
      <c r="Q201" s="195"/>
      <c r="R201" s="195"/>
      <c r="S201" s="195"/>
      <c r="T201" s="195"/>
      <c r="U201" s="195"/>
      <c r="V201" s="195"/>
      <c r="W201" s="195"/>
      <c r="X201" s="195"/>
      <c r="Y201" t="s">
        <v>975</v>
      </c>
      <c r="Z201" s="5" t="s">
        <v>2373</v>
      </c>
    </row>
    <row r="202" spans="1:27" x14ac:dyDescent="0.25">
      <c r="A202" s="66" t="s">
        <v>2339</v>
      </c>
      <c r="B202" s="66" t="s">
        <v>528</v>
      </c>
      <c r="C202" s="66" t="s">
        <v>2457</v>
      </c>
      <c r="D202" s="66">
        <f t="shared" si="18"/>
        <v>173</v>
      </c>
      <c r="E202" s="64" t="str">
        <f t="shared" si="19"/>
        <v>DPC.NTD.173</v>
      </c>
      <c r="F202" s="356" t="s">
        <v>2476</v>
      </c>
      <c r="G202" s="356" t="s">
        <v>2249</v>
      </c>
      <c r="H202" s="356" t="s">
        <v>206</v>
      </c>
      <c r="I202" s="319" t="s">
        <v>528</v>
      </c>
      <c r="J202" s="320" t="s">
        <v>209</v>
      </c>
      <c r="K202" s="64" t="s">
        <v>194</v>
      </c>
      <c r="L202" s="321" t="s">
        <v>194</v>
      </c>
      <c r="M202" s="320" t="s">
        <v>194</v>
      </c>
      <c r="N202" s="321" t="str">
        <f>RegionSelect!$B$2</f>
        <v>Ethiopia</v>
      </c>
      <c r="P202" s="321"/>
      <c r="Q202" s="321"/>
      <c r="R202" s="321"/>
      <c r="T202" s="321"/>
      <c r="U202" s="321"/>
      <c r="W202" s="321"/>
      <c r="X202" s="321"/>
      <c r="Y202" t="s">
        <v>975</v>
      </c>
      <c r="Z202" t="s">
        <v>2335</v>
      </c>
    </row>
    <row r="203" spans="1:27" x14ac:dyDescent="0.25">
      <c r="A203" s="66" t="s">
        <v>2339</v>
      </c>
      <c r="B203" s="66" t="s">
        <v>528</v>
      </c>
      <c r="C203" s="66" t="s">
        <v>2457</v>
      </c>
      <c r="D203" s="66">
        <f t="shared" si="18"/>
        <v>174</v>
      </c>
      <c r="E203" s="64" t="str">
        <f t="shared" si="19"/>
        <v>DPC.NTD.174</v>
      </c>
      <c r="F203" s="356" t="s">
        <v>2477</v>
      </c>
      <c r="G203" s="356" t="s">
        <v>154</v>
      </c>
      <c r="H203" s="356" t="s">
        <v>2791</v>
      </c>
      <c r="I203" s="319" t="s">
        <v>528</v>
      </c>
      <c r="J203" s="320" t="s">
        <v>253</v>
      </c>
      <c r="K203" s="64" t="s">
        <v>975</v>
      </c>
      <c r="L203" s="321" t="s">
        <v>975</v>
      </c>
      <c r="M203" s="320" t="s">
        <v>194</v>
      </c>
      <c r="N203" s="321" t="str">
        <f>RegionSelect!$B$2</f>
        <v>Ethiopia</v>
      </c>
      <c r="O203" s="145">
        <f>IFERROR(VLOOKUP(_xlfn.CONCAT(AA203,RegionSelect!$C$2),RegionalData!$C:$S,13,FALSE),VLOOKUP(_xlfn.CONCAT(AA203,"ET"),RegionalData!$C:$S,13,FALSE))</f>
        <v>0.33399999999999996</v>
      </c>
      <c r="P203" s="321" t="s">
        <v>2196</v>
      </c>
      <c r="Q203" s="195"/>
      <c r="R203" s="195"/>
      <c r="S203" s="352">
        <v>0.98</v>
      </c>
      <c r="T203">
        <v>1</v>
      </c>
      <c r="V203" s="6">
        <v>5</v>
      </c>
      <c r="Y203" t="s">
        <v>975</v>
      </c>
      <c r="AA203" t="s">
        <v>3222</v>
      </c>
    </row>
    <row r="204" spans="1:27" x14ac:dyDescent="0.25">
      <c r="A204" s="66" t="s">
        <v>2339</v>
      </c>
      <c r="B204" s="66" t="s">
        <v>528</v>
      </c>
      <c r="C204" s="66" t="s">
        <v>2238</v>
      </c>
      <c r="D204" s="66">
        <f t="shared" si="18"/>
        <v>175</v>
      </c>
      <c r="E204" s="64" t="str">
        <f t="shared" si="19"/>
        <v>DPC.NTD.175</v>
      </c>
      <c r="F204" s="356" t="s">
        <v>2470</v>
      </c>
      <c r="G204" s="356" t="s">
        <v>2249</v>
      </c>
      <c r="H204" s="356" t="s">
        <v>206</v>
      </c>
      <c r="I204" s="319" t="s">
        <v>528</v>
      </c>
      <c r="J204" s="320" t="s">
        <v>194</v>
      </c>
      <c r="K204" s="64" t="s">
        <v>975</v>
      </c>
      <c r="L204" s="321" t="s">
        <v>975</v>
      </c>
      <c r="M204" s="320" t="s">
        <v>975</v>
      </c>
      <c r="N204" s="321" t="str">
        <f>RegionSelect!$B$2</f>
        <v>Ethiopia</v>
      </c>
      <c r="P204" s="195"/>
      <c r="Q204" s="195"/>
      <c r="R204" s="195"/>
      <c r="S204" s="195"/>
      <c r="T204" s="195"/>
      <c r="U204" s="195"/>
      <c r="V204" s="195"/>
      <c r="W204" s="195"/>
      <c r="X204" s="195"/>
      <c r="Y204" t="s">
        <v>975</v>
      </c>
      <c r="Z204" s="5" t="s">
        <v>2373</v>
      </c>
    </row>
    <row r="205" spans="1:27" x14ac:dyDescent="0.25">
      <c r="A205" s="66" t="s">
        <v>2339</v>
      </c>
      <c r="B205" s="66" t="s">
        <v>528</v>
      </c>
      <c r="C205" s="66" t="s">
        <v>2238</v>
      </c>
      <c r="D205" s="66">
        <f t="shared" si="18"/>
        <v>176</v>
      </c>
      <c r="E205" s="64" t="str">
        <f t="shared" si="19"/>
        <v>DPC.NTD.176</v>
      </c>
      <c r="F205" s="356" t="s">
        <v>2478</v>
      </c>
      <c r="G205" s="356" t="s">
        <v>2249</v>
      </c>
      <c r="H205" s="356" t="s">
        <v>206</v>
      </c>
      <c r="I205" s="319" t="s">
        <v>528</v>
      </c>
      <c r="J205" s="320" t="s">
        <v>194</v>
      </c>
      <c r="K205" s="64" t="s">
        <v>194</v>
      </c>
      <c r="L205" s="321" t="s">
        <v>194</v>
      </c>
      <c r="M205" s="320" t="s">
        <v>194</v>
      </c>
      <c r="N205" s="321" t="str">
        <f>RegionSelect!$B$2</f>
        <v>Ethiopia</v>
      </c>
      <c r="P205" s="321"/>
      <c r="Q205" s="321"/>
      <c r="R205" s="321"/>
      <c r="T205" s="321"/>
      <c r="U205" s="321"/>
      <c r="W205" s="321"/>
      <c r="X205" s="321"/>
      <c r="Y205" t="s">
        <v>975</v>
      </c>
      <c r="Z205" t="s">
        <v>2335</v>
      </c>
    </row>
    <row r="206" spans="1:27" x14ac:dyDescent="0.25">
      <c r="A206" s="66" t="s">
        <v>2339</v>
      </c>
      <c r="B206" s="66" t="s">
        <v>528</v>
      </c>
      <c r="C206" s="66" t="s">
        <v>2238</v>
      </c>
      <c r="D206" s="66">
        <f t="shared" si="18"/>
        <v>177</v>
      </c>
      <c r="E206" s="64" t="str">
        <f t="shared" si="19"/>
        <v>DPC.NTD.177</v>
      </c>
      <c r="F206" s="356" t="s">
        <v>2479</v>
      </c>
      <c r="G206" s="356" t="s">
        <v>154</v>
      </c>
      <c r="H206" s="356" t="s">
        <v>2791</v>
      </c>
      <c r="I206" s="319" t="s">
        <v>528</v>
      </c>
      <c r="J206" s="320" t="s">
        <v>201</v>
      </c>
      <c r="K206" s="64" t="s">
        <v>975</v>
      </c>
      <c r="L206" s="321" t="s">
        <v>975</v>
      </c>
      <c r="M206" s="320" t="s">
        <v>194</v>
      </c>
      <c r="N206" s="321" t="str">
        <f>RegionSelect!$B$2</f>
        <v>Ethiopia</v>
      </c>
      <c r="O206" s="145">
        <f>IFERROR(VLOOKUP(_xlfn.CONCAT(AA206,RegionSelect!$C$2),RegionalData!$C:$S,13,FALSE),VLOOKUP(_xlfn.CONCAT(AA206,"ET"),RegionalData!$C:$S,13,FALSE))</f>
        <v>3.3599999999999998E-2</v>
      </c>
      <c r="P206" s="321" t="s">
        <v>2196</v>
      </c>
      <c r="Q206" s="195"/>
      <c r="R206" s="195"/>
      <c r="S206" s="352">
        <v>0.98</v>
      </c>
      <c r="T206">
        <v>1</v>
      </c>
      <c r="V206" s="6">
        <v>5</v>
      </c>
      <c r="Y206" t="s">
        <v>975</v>
      </c>
      <c r="AA206" t="s">
        <v>2972</v>
      </c>
    </row>
    <row r="207" spans="1:27" x14ac:dyDescent="0.25">
      <c r="A207" s="66" t="s">
        <v>2339</v>
      </c>
      <c r="B207" s="66" t="s">
        <v>528</v>
      </c>
      <c r="C207" s="66" t="s">
        <v>2458</v>
      </c>
      <c r="D207" s="66">
        <f t="shared" si="18"/>
        <v>178</v>
      </c>
      <c r="E207" s="64" t="str">
        <f t="shared" si="19"/>
        <v>DPC.NTD.178</v>
      </c>
      <c r="F207" s="356" t="s">
        <v>2480</v>
      </c>
      <c r="G207" s="356" t="s">
        <v>2249</v>
      </c>
      <c r="H207" s="356" t="s">
        <v>206</v>
      </c>
      <c r="I207" s="319" t="s">
        <v>528</v>
      </c>
      <c r="J207" s="320" t="s">
        <v>194</v>
      </c>
      <c r="K207" s="64" t="s">
        <v>194</v>
      </c>
      <c r="L207" s="321" t="s">
        <v>194</v>
      </c>
      <c r="M207" s="320" t="s">
        <v>194</v>
      </c>
      <c r="N207" s="321" t="str">
        <f>RegionSelect!$B$2</f>
        <v>Ethiopia</v>
      </c>
      <c r="P207" s="321"/>
      <c r="Q207" s="321"/>
      <c r="R207" s="321"/>
      <c r="T207" s="321"/>
      <c r="U207" s="321"/>
      <c r="W207" s="321"/>
      <c r="X207" s="321"/>
      <c r="Y207" t="s">
        <v>975</v>
      </c>
      <c r="Z207" t="s">
        <v>2335</v>
      </c>
    </row>
    <row r="208" spans="1:27" x14ac:dyDescent="0.25">
      <c r="A208" s="66" t="s">
        <v>2339</v>
      </c>
      <c r="B208" s="66" t="s">
        <v>528</v>
      </c>
      <c r="C208" s="66" t="s">
        <v>2458</v>
      </c>
      <c r="D208" s="66">
        <f t="shared" si="18"/>
        <v>179</v>
      </c>
      <c r="E208" s="64" t="str">
        <f t="shared" si="19"/>
        <v>DPC.NTD.179</v>
      </c>
      <c r="F208" s="356" t="s">
        <v>2481</v>
      </c>
      <c r="G208" s="356" t="s">
        <v>154</v>
      </c>
      <c r="H208" s="356" t="s">
        <v>2791</v>
      </c>
      <c r="I208" s="319" t="s">
        <v>528</v>
      </c>
      <c r="J208" s="320" t="s">
        <v>212</v>
      </c>
      <c r="K208" s="64" t="s">
        <v>975</v>
      </c>
      <c r="L208" s="321" t="s">
        <v>975</v>
      </c>
      <c r="M208" s="320" t="s">
        <v>975</v>
      </c>
      <c r="N208" s="321" t="str">
        <f>RegionSelect!$B$2</f>
        <v>Ethiopia</v>
      </c>
      <c r="O208" s="347">
        <v>0</v>
      </c>
      <c r="P208" s="321" t="s">
        <v>2622</v>
      </c>
      <c r="Q208" s="195"/>
      <c r="R208" s="195"/>
      <c r="S208" s="352">
        <v>0.95</v>
      </c>
      <c r="T208">
        <v>1</v>
      </c>
      <c r="V208" s="6">
        <v>5</v>
      </c>
      <c r="Y208" t="s">
        <v>975</v>
      </c>
    </row>
    <row r="209" spans="1:27" x14ac:dyDescent="0.25">
      <c r="A209" s="66" t="s">
        <v>2339</v>
      </c>
      <c r="B209" s="66" t="s">
        <v>528</v>
      </c>
      <c r="C209" s="66" t="s">
        <v>2458</v>
      </c>
      <c r="D209" s="66">
        <f t="shared" si="18"/>
        <v>180</v>
      </c>
      <c r="E209" s="64" t="str">
        <f t="shared" si="19"/>
        <v>DPC.NTD.180</v>
      </c>
      <c r="F209" s="356" t="s">
        <v>2482</v>
      </c>
      <c r="G209" s="356" t="s">
        <v>2249</v>
      </c>
      <c r="H209" s="356" t="s">
        <v>206</v>
      </c>
      <c r="I209" s="319" t="s">
        <v>528</v>
      </c>
      <c r="J209" s="320" t="s">
        <v>194</v>
      </c>
      <c r="K209" s="64" t="s">
        <v>975</v>
      </c>
      <c r="L209" s="321" t="s">
        <v>975</v>
      </c>
      <c r="M209" s="320" t="s">
        <v>975</v>
      </c>
      <c r="N209" s="321" t="str">
        <f>RegionSelect!$B$2</f>
        <v>Ethiopia</v>
      </c>
      <c r="P209" s="195"/>
      <c r="Q209" s="195"/>
      <c r="R209" s="195"/>
      <c r="S209" s="195"/>
      <c r="T209" s="195"/>
      <c r="U209" s="195"/>
      <c r="V209" s="195"/>
      <c r="W209" s="195"/>
      <c r="X209" s="195"/>
      <c r="Y209" t="s">
        <v>975</v>
      </c>
      <c r="Z209" s="5" t="s">
        <v>2373</v>
      </c>
    </row>
    <row r="210" spans="1:27" x14ac:dyDescent="0.25">
      <c r="A210" s="66" t="s">
        <v>2339</v>
      </c>
      <c r="B210" s="66" t="s">
        <v>528</v>
      </c>
      <c r="C210" s="66" t="s">
        <v>2458</v>
      </c>
      <c r="D210" s="66">
        <f>D209+1</f>
        <v>181</v>
      </c>
      <c r="E210" s="64" t="str">
        <f t="shared" si="19"/>
        <v>DPC.NTD.181</v>
      </c>
      <c r="F210" s="356" t="s">
        <v>2483</v>
      </c>
      <c r="G210" s="321" t="s">
        <v>193</v>
      </c>
      <c r="H210" s="356" t="s">
        <v>206</v>
      </c>
      <c r="I210" s="319" t="s">
        <v>528</v>
      </c>
      <c r="J210" s="320" t="s">
        <v>194</v>
      </c>
      <c r="K210" s="64" t="s">
        <v>975</v>
      </c>
      <c r="L210" s="321" t="s">
        <v>975</v>
      </c>
      <c r="M210" s="320" t="s">
        <v>975</v>
      </c>
      <c r="N210" s="321" t="str">
        <f>RegionSelect!$B$2</f>
        <v>Ethiopia</v>
      </c>
      <c r="P210" s="195"/>
      <c r="Q210" s="195"/>
      <c r="R210" s="195"/>
      <c r="S210" s="195"/>
      <c r="T210" s="195"/>
      <c r="U210" s="195"/>
      <c r="V210" s="195"/>
      <c r="W210" s="195"/>
      <c r="X210" s="195"/>
      <c r="Y210" t="s">
        <v>975</v>
      </c>
      <c r="Z210" s="5" t="s">
        <v>2368</v>
      </c>
    </row>
    <row r="211" spans="1:27" x14ac:dyDescent="0.25">
      <c r="A211" s="66" t="s">
        <v>2339</v>
      </c>
      <c r="B211" s="66" t="s">
        <v>528</v>
      </c>
      <c r="C211" s="66" t="s">
        <v>2484</v>
      </c>
      <c r="D211" s="66">
        <f t="shared" si="18"/>
        <v>182</v>
      </c>
      <c r="E211" s="64" t="str">
        <f t="shared" si="19"/>
        <v>DPC.NTD.182</v>
      </c>
      <c r="F211" s="356" t="s">
        <v>2485</v>
      </c>
      <c r="G211" s="356" t="s">
        <v>2249</v>
      </c>
      <c r="H211" s="356" t="s">
        <v>206</v>
      </c>
      <c r="I211" s="319" t="s">
        <v>528</v>
      </c>
      <c r="J211" s="320" t="s">
        <v>194</v>
      </c>
      <c r="K211" s="64" t="s">
        <v>975</v>
      </c>
      <c r="L211" s="321" t="s">
        <v>975</v>
      </c>
      <c r="M211" s="320" t="s">
        <v>975</v>
      </c>
      <c r="N211" s="321" t="str">
        <f>RegionSelect!$B$2</f>
        <v>Ethiopia</v>
      </c>
      <c r="P211" s="195"/>
      <c r="Q211" s="195"/>
      <c r="R211" s="195"/>
      <c r="S211" s="195"/>
      <c r="T211" s="195"/>
      <c r="U211" s="195"/>
      <c r="V211" s="195"/>
      <c r="W211" s="195"/>
      <c r="X211" s="195"/>
      <c r="Y211" t="s">
        <v>975</v>
      </c>
      <c r="Z211" s="5" t="s">
        <v>2373</v>
      </c>
    </row>
    <row r="212" spans="1:27" x14ac:dyDescent="0.25">
      <c r="A212" s="66" t="s">
        <v>2339</v>
      </c>
      <c r="B212" s="66" t="s">
        <v>528</v>
      </c>
      <c r="C212" s="66" t="s">
        <v>2484</v>
      </c>
      <c r="D212" s="66">
        <f t="shared" si="18"/>
        <v>183</v>
      </c>
      <c r="E212" s="64" t="str">
        <f t="shared" si="19"/>
        <v>DPC.NTD.183</v>
      </c>
      <c r="F212" s="356" t="s">
        <v>2492</v>
      </c>
      <c r="G212" s="356" t="s">
        <v>154</v>
      </c>
      <c r="H212" s="356" t="s">
        <v>2791</v>
      </c>
      <c r="I212" s="319" t="s">
        <v>528</v>
      </c>
      <c r="J212" s="320" t="s">
        <v>212</v>
      </c>
      <c r="K212" s="64" t="s">
        <v>975</v>
      </c>
      <c r="L212" s="321" t="s">
        <v>975</v>
      </c>
      <c r="M212" s="320" t="s">
        <v>975</v>
      </c>
      <c r="N212" s="372" t="str">
        <f>RegionSelect!$B$2</f>
        <v>Ethiopia</v>
      </c>
      <c r="O212" s="145">
        <f>1/57/28</f>
        <v>6.2656641604010022E-4</v>
      </c>
      <c r="P212" s="321" t="s">
        <v>2621</v>
      </c>
      <c r="Q212" s="195"/>
      <c r="R212" s="195"/>
      <c r="S212" s="352">
        <v>0.98</v>
      </c>
      <c r="T212">
        <v>1</v>
      </c>
      <c r="V212" s="6">
        <v>5</v>
      </c>
      <c r="Y212" t="s">
        <v>975</v>
      </c>
      <c r="AA212" t="s">
        <v>3225</v>
      </c>
    </row>
    <row r="213" spans="1:27" x14ac:dyDescent="0.25">
      <c r="A213" s="66" t="s">
        <v>2486</v>
      </c>
      <c r="D213" s="66" t="s">
        <v>2488</v>
      </c>
      <c r="E213" s="64" t="s">
        <v>2627</v>
      </c>
      <c r="F213" s="356" t="s">
        <v>2487</v>
      </c>
      <c r="G213" s="356" t="s">
        <v>2249</v>
      </c>
      <c r="H213" s="319" t="s">
        <v>194</v>
      </c>
      <c r="I213" s="319" t="s">
        <v>194</v>
      </c>
      <c r="J213" s="320" t="s">
        <v>212</v>
      </c>
      <c r="K213" s="64" t="s">
        <v>975</v>
      </c>
      <c r="L213" s="321" t="s">
        <v>975</v>
      </c>
      <c r="M213" s="320" t="s">
        <v>194</v>
      </c>
      <c r="N213" s="321" t="str">
        <f>RegionSelect!$B$2</f>
        <v>Ethiopia</v>
      </c>
      <c r="W213" s="5">
        <v>7</v>
      </c>
      <c r="Z213" s="234" t="s">
        <v>2491</v>
      </c>
    </row>
    <row r="214" spans="1:27" x14ac:dyDescent="0.25">
      <c r="A214" s="66" t="s">
        <v>2489</v>
      </c>
      <c r="D214" s="66" t="s">
        <v>2490</v>
      </c>
      <c r="E214" s="64" t="s">
        <v>2628</v>
      </c>
      <c r="F214" s="356" t="s">
        <v>2487</v>
      </c>
      <c r="G214" s="319" t="s">
        <v>2249</v>
      </c>
      <c r="H214" s="319" t="s">
        <v>194</v>
      </c>
      <c r="I214" s="319" t="s">
        <v>194</v>
      </c>
      <c r="J214" s="320" t="s">
        <v>212</v>
      </c>
      <c r="K214" s="64" t="s">
        <v>975</v>
      </c>
      <c r="L214" s="321" t="s">
        <v>975</v>
      </c>
      <c r="M214" s="320" t="s">
        <v>194</v>
      </c>
      <c r="N214" s="321" t="str">
        <f>RegionSelect!$B$2</f>
        <v>Ethiopia</v>
      </c>
      <c r="W214" s="5">
        <v>7</v>
      </c>
    </row>
    <row r="215" spans="1:27" x14ac:dyDescent="0.25">
      <c r="A215" s="64"/>
      <c r="E215" s="64" t="s">
        <v>2812</v>
      </c>
      <c r="F215" s="319" t="s">
        <v>2812</v>
      </c>
      <c r="G215" s="356" t="s">
        <v>193</v>
      </c>
      <c r="H215" s="319" t="s">
        <v>194</v>
      </c>
      <c r="I215" s="319" t="s">
        <v>194</v>
      </c>
      <c r="J215" s="320" t="s">
        <v>212</v>
      </c>
      <c r="K215" s="64" t="s">
        <v>975</v>
      </c>
      <c r="L215" s="321" t="s">
        <v>975</v>
      </c>
      <c r="M215" s="320" t="s">
        <v>975</v>
      </c>
      <c r="N215" s="321" t="str">
        <f>RegionSelect!$B$2</f>
        <v>Ethiopia</v>
      </c>
      <c r="O215" s="58">
        <v>0.1</v>
      </c>
      <c r="P215" s="58" t="s">
        <v>2065</v>
      </c>
      <c r="Q215" s="139"/>
      <c r="R215" s="139"/>
      <c r="S215" s="130">
        <v>0.98</v>
      </c>
      <c r="T215" s="58">
        <v>1</v>
      </c>
      <c r="U215" s="58"/>
      <c r="V215" s="275">
        <f>'Work time'!AD53*10*60</f>
        <v>53.832494807158753</v>
      </c>
    </row>
    <row r="216" spans="1:27" x14ac:dyDescent="0.25">
      <c r="A216" s="64"/>
      <c r="E216" s="64" t="s">
        <v>1953</v>
      </c>
      <c r="F216" s="319" t="s">
        <v>1953</v>
      </c>
      <c r="G216" s="356" t="s">
        <v>193</v>
      </c>
      <c r="H216" s="319" t="s">
        <v>194</v>
      </c>
      <c r="I216" s="319" t="s">
        <v>194</v>
      </c>
      <c r="J216" s="320" t="s">
        <v>212</v>
      </c>
      <c r="K216" s="64" t="s">
        <v>975</v>
      </c>
      <c r="L216" s="321" t="s">
        <v>975</v>
      </c>
      <c r="M216" s="320" t="s">
        <v>975</v>
      </c>
      <c r="N216" s="321" t="str">
        <f>RegionSelect!$B$2</f>
        <v>Ethiopia</v>
      </c>
      <c r="O216" s="58">
        <v>0.1</v>
      </c>
      <c r="P216" s="58" t="s">
        <v>2065</v>
      </c>
      <c r="Q216" s="139"/>
      <c r="R216" s="139"/>
      <c r="S216" s="58">
        <v>1</v>
      </c>
      <c r="T216" s="58">
        <v>1</v>
      </c>
      <c r="V216" s="6">
        <f>'Work time'!AD55*10*60</f>
        <v>45.844447190612613</v>
      </c>
    </row>
    <row r="217" spans="1:27" x14ac:dyDescent="0.25">
      <c r="E217" s="66" t="s">
        <v>2772</v>
      </c>
      <c r="F217" s="66" t="s">
        <v>2772</v>
      </c>
      <c r="N217" s="321" t="str">
        <f>RegionSelect!$B$2</f>
        <v>Ethiopia</v>
      </c>
      <c r="X217">
        <v>1E-3</v>
      </c>
    </row>
    <row r="218" spans="1:27" x14ac:dyDescent="0.25">
      <c r="E218" s="64" t="s">
        <v>2795</v>
      </c>
      <c r="F218" s="319" t="s">
        <v>2797</v>
      </c>
      <c r="G218" s="321" t="s">
        <v>193</v>
      </c>
      <c r="H218" s="321" t="s">
        <v>194</v>
      </c>
      <c r="I218" s="321" t="s">
        <v>194</v>
      </c>
      <c r="J218" s="320" t="s">
        <v>212</v>
      </c>
      <c r="K218" s="392" t="s">
        <v>975</v>
      </c>
      <c r="L218" s="321" t="s">
        <v>975</v>
      </c>
      <c r="M218" s="320" t="s">
        <v>975</v>
      </c>
      <c r="N218" s="321" t="str">
        <f>RegionSelect!$B$2</f>
        <v>Ethiopia</v>
      </c>
      <c r="O218" s="195">
        <f>O215/2</f>
        <v>0.05</v>
      </c>
      <c r="P218" t="str">
        <f t="shared" ref="P218:Z218" si="20">IF(P215="","",P215)</f>
        <v>time per 10 people</v>
      </c>
      <c r="Q218" t="str">
        <f t="shared" si="20"/>
        <v/>
      </c>
      <c r="R218" t="str">
        <f t="shared" si="20"/>
        <v/>
      </c>
      <c r="S218">
        <f t="shared" si="20"/>
        <v>0.98</v>
      </c>
      <c r="T218">
        <f t="shared" si="20"/>
        <v>1</v>
      </c>
      <c r="U218" t="str">
        <f t="shared" si="20"/>
        <v/>
      </c>
      <c r="V218">
        <f t="shared" si="20"/>
        <v>53.832494807158753</v>
      </c>
      <c r="W218" t="str">
        <f t="shared" si="20"/>
        <v/>
      </c>
      <c r="X218" t="str">
        <f t="shared" si="20"/>
        <v/>
      </c>
      <c r="Y218" t="str">
        <f t="shared" si="20"/>
        <v/>
      </c>
      <c r="Z218" t="str">
        <f t="shared" si="20"/>
        <v/>
      </c>
    </row>
    <row r="219" spans="1:27" x14ac:dyDescent="0.25">
      <c r="E219" s="64" t="s">
        <v>2796</v>
      </c>
      <c r="F219" s="319" t="s">
        <v>2798</v>
      </c>
      <c r="G219" s="321" t="s">
        <v>193</v>
      </c>
      <c r="H219" s="321" t="s">
        <v>194</v>
      </c>
      <c r="I219" s="321" t="s">
        <v>194</v>
      </c>
      <c r="J219" s="320" t="s">
        <v>212</v>
      </c>
      <c r="K219" s="392" t="s">
        <v>975</v>
      </c>
      <c r="L219" s="321" t="s">
        <v>975</v>
      </c>
      <c r="M219" s="320" t="s">
        <v>975</v>
      </c>
      <c r="N219" s="321" t="str">
        <f>RegionSelect!$B$2</f>
        <v>Ethiopia</v>
      </c>
      <c r="O219" s="195">
        <f>O215/2</f>
        <v>0.05</v>
      </c>
      <c r="P219" t="str">
        <f t="shared" ref="P219:Z219" si="21">IF(P215="","",P215)</f>
        <v>time per 10 people</v>
      </c>
      <c r="Q219" t="str">
        <f t="shared" si="21"/>
        <v/>
      </c>
      <c r="R219" t="str">
        <f t="shared" si="21"/>
        <v/>
      </c>
      <c r="S219">
        <f t="shared" si="21"/>
        <v>0.98</v>
      </c>
      <c r="T219">
        <f t="shared" si="21"/>
        <v>1</v>
      </c>
      <c r="U219" t="str">
        <f t="shared" si="21"/>
        <v/>
      </c>
      <c r="V219">
        <f t="shared" si="21"/>
        <v>53.832494807158753</v>
      </c>
      <c r="W219" t="str">
        <f t="shared" si="21"/>
        <v/>
      </c>
      <c r="X219" t="str">
        <f t="shared" si="21"/>
        <v/>
      </c>
      <c r="Y219" t="str">
        <f t="shared" si="21"/>
        <v/>
      </c>
      <c r="Z219" t="str">
        <f t="shared" si="21"/>
        <v/>
      </c>
    </row>
    <row r="220" spans="1:27" x14ac:dyDescent="0.25">
      <c r="E220" s="64" t="s">
        <v>2813</v>
      </c>
      <c r="F220" s="321" t="s">
        <v>2819</v>
      </c>
      <c r="G220" s="321" t="s">
        <v>193</v>
      </c>
      <c r="H220" s="321" t="s">
        <v>194</v>
      </c>
      <c r="I220" s="321" t="s">
        <v>194</v>
      </c>
      <c r="J220" s="320" t="s">
        <v>194</v>
      </c>
      <c r="N220" s="321" t="str">
        <f>RegionSelect!$B$2</f>
        <v>Ethiopia</v>
      </c>
      <c r="W220" s="3">
        <f>'Work time'!AE61</f>
        <v>4.5120000000000005</v>
      </c>
    </row>
    <row r="221" spans="1:27" x14ac:dyDescent="0.25">
      <c r="E221" s="64" t="s">
        <v>2814</v>
      </c>
      <c r="F221" s="321" t="s">
        <v>2820</v>
      </c>
      <c r="G221" s="321" t="s">
        <v>193</v>
      </c>
      <c r="H221" s="321" t="s">
        <v>194</v>
      </c>
      <c r="I221" s="321" t="s">
        <v>194</v>
      </c>
      <c r="J221" s="320" t="s">
        <v>194</v>
      </c>
      <c r="N221" s="321" t="str">
        <f>RegionSelect!$B$2</f>
        <v>Ethiopia</v>
      </c>
      <c r="W221" s="3">
        <f>W220</f>
        <v>4.5120000000000005</v>
      </c>
    </row>
    <row r="222" spans="1:27" x14ac:dyDescent="0.25">
      <c r="E222" s="64" t="s">
        <v>2815</v>
      </c>
      <c r="F222" s="321" t="s">
        <v>2821</v>
      </c>
      <c r="G222" s="321" t="s">
        <v>193</v>
      </c>
      <c r="H222" s="321" t="s">
        <v>194</v>
      </c>
      <c r="I222" s="321" t="s">
        <v>194</v>
      </c>
      <c r="J222" s="320" t="s">
        <v>194</v>
      </c>
      <c r="N222" s="321" t="str">
        <f>RegionSelect!$B$2</f>
        <v>Ethiopia</v>
      </c>
      <c r="W222" s="3">
        <f t="shared" ref="W222:W225" si="22">W221</f>
        <v>4.5120000000000005</v>
      </c>
    </row>
    <row r="223" spans="1:27" x14ac:dyDescent="0.25">
      <c r="E223" s="64" t="s">
        <v>2816</v>
      </c>
      <c r="F223" s="321" t="s">
        <v>2822</v>
      </c>
      <c r="G223" s="321" t="s">
        <v>193</v>
      </c>
      <c r="H223" s="321" t="s">
        <v>194</v>
      </c>
      <c r="I223" s="321" t="s">
        <v>194</v>
      </c>
      <c r="J223" s="320" t="s">
        <v>194</v>
      </c>
      <c r="N223" s="321" t="str">
        <f>RegionSelect!$B$2</f>
        <v>Ethiopia</v>
      </c>
      <c r="W223" s="3">
        <f t="shared" si="22"/>
        <v>4.5120000000000005</v>
      </c>
    </row>
    <row r="224" spans="1:27" x14ac:dyDescent="0.25">
      <c r="E224" s="64" t="s">
        <v>2817</v>
      </c>
      <c r="F224" s="321" t="s">
        <v>2823</v>
      </c>
      <c r="G224" s="321" t="s">
        <v>193</v>
      </c>
      <c r="H224" s="321" t="s">
        <v>194</v>
      </c>
      <c r="I224" s="321" t="s">
        <v>194</v>
      </c>
      <c r="J224" s="320" t="s">
        <v>194</v>
      </c>
      <c r="N224" s="321" t="str">
        <f>RegionSelect!$B$2</f>
        <v>Ethiopia</v>
      </c>
      <c r="W224" s="3">
        <f t="shared" si="22"/>
        <v>4.5120000000000005</v>
      </c>
    </row>
    <row r="225" spans="5:23" x14ac:dyDescent="0.25">
      <c r="E225" s="64" t="s">
        <v>2818</v>
      </c>
      <c r="F225" s="321" t="s">
        <v>2824</v>
      </c>
      <c r="G225" s="321" t="s">
        <v>193</v>
      </c>
      <c r="H225" s="321" t="s">
        <v>194</v>
      </c>
      <c r="I225" s="321" t="s">
        <v>194</v>
      </c>
      <c r="J225" s="320" t="s">
        <v>194</v>
      </c>
      <c r="N225" s="321" t="str">
        <f>RegionSelect!$B$2</f>
        <v>Ethiopia</v>
      </c>
      <c r="W225" s="3">
        <f t="shared" si="22"/>
        <v>4.5120000000000005</v>
      </c>
    </row>
  </sheetData>
  <autoFilter ref="A1:AA225"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I156:I217 I76:I154 I226:I545 I2:I47</xm:sqref>
        </x14:dataValidation>
        <x14:dataValidation type="list" allowBlank="1" showInputMessage="1" showErrorMessage="1" xr:uid="{925A0EEB-9365-4265-BCAA-8FCF4189DF40}">
          <x14:formula1>
            <xm:f>lookups!$B$2:$B$9</xm:f>
          </x14:formula1>
          <xm:sqref>H226:H446 H156:H217 H2:H154</xm:sqref>
        </x14:dataValidation>
        <x14:dataValidation type="list" allowBlank="1" showInputMessage="1" showErrorMessage="1" xr:uid="{C319048F-06A6-4121-9C15-D4FC96370093}">
          <x14:formula1>
            <xm:f>lookups!$F$2:$F$25</xm:f>
          </x14:formula1>
          <xm:sqref>J156:J1048576 J2:J154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64"/>
  <sheetViews>
    <sheetView zoomScale="70" zoomScaleNormal="70" workbookViewId="0">
      <pane ySplit="1" topLeftCell="A1048549" activePane="bottomLeft" state="frozen"/>
      <selection activeCell="B15" sqref="B15"/>
      <selection pane="bottomLeft" activeCell="S1" sqref="S1"/>
    </sheetView>
  </sheetViews>
  <sheetFormatPr defaultRowHeight="15" x14ac:dyDescent="0.25"/>
  <cols>
    <col min="1" max="1" width="15.140625" style="319" customWidth="1"/>
    <col min="2" max="2" width="42" style="319" bestFit="1" customWidth="1"/>
    <col min="3" max="3" width="3.85546875" style="64" customWidth="1"/>
    <col min="4" max="4" width="3.85546875" style="319" customWidth="1"/>
    <col min="5" max="5" width="3.85546875" style="320" customWidth="1"/>
    <col min="6" max="8" width="3.85546875" style="319" customWidth="1"/>
    <col min="9" max="9" width="3.85546875" style="320" customWidth="1"/>
    <col min="10" max="14" width="3.85546875" style="319" customWidth="1"/>
    <col min="15" max="15" width="3.85546875" style="320" customWidth="1"/>
    <col min="16" max="19" width="3.85546875" style="319" customWidth="1"/>
    <col min="20" max="20" width="3.85546875" style="320" customWidth="1"/>
  </cols>
  <sheetData>
    <row r="1" spans="1:20" s="177" customFormat="1" ht="87.6" customHeight="1" x14ac:dyDescent="0.25">
      <c r="A1" s="328" t="s">
        <v>135</v>
      </c>
      <c r="B1" s="328" t="s">
        <v>136</v>
      </c>
      <c r="C1" s="363" t="s">
        <v>2629</v>
      </c>
      <c r="D1" s="364" t="s">
        <v>2631</v>
      </c>
      <c r="E1" s="365" t="s">
        <v>2630</v>
      </c>
      <c r="F1" s="364" t="s">
        <v>2753</v>
      </c>
      <c r="G1" s="364" t="s">
        <v>2755</v>
      </c>
      <c r="H1" s="364" t="s">
        <v>2756</v>
      </c>
      <c r="I1" s="365" t="s">
        <v>2757</v>
      </c>
      <c r="J1" s="364" t="s">
        <v>2759</v>
      </c>
      <c r="K1" s="364" t="s">
        <v>2754</v>
      </c>
      <c r="L1" s="364" t="s">
        <v>2760</v>
      </c>
      <c r="M1" s="364" t="s">
        <v>2761</v>
      </c>
      <c r="N1" s="364" t="s">
        <v>2762</v>
      </c>
      <c r="O1" s="365" t="s">
        <v>2763</v>
      </c>
      <c r="P1" s="364" t="s">
        <v>2765</v>
      </c>
      <c r="Q1" s="364" t="s">
        <v>2766</v>
      </c>
      <c r="R1" s="364" t="s">
        <v>2767</v>
      </c>
      <c r="S1" s="364" t="s">
        <v>2768</v>
      </c>
      <c r="T1" s="365" t="s">
        <v>2769</v>
      </c>
    </row>
    <row r="2" spans="1:20" x14ac:dyDescent="0.25">
      <c r="A2" s="319" t="s">
        <v>2166</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25">
      <c r="A3" s="319" t="s">
        <v>2199</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25">
      <c r="A4" s="319" t="s">
        <v>2192</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25">
      <c r="A5" s="319" t="s">
        <v>2194</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3" si="8">M5</f>
        <v>0</v>
      </c>
      <c r="T5" s="320">
        <f t="shared" si="3"/>
        <v>100</v>
      </c>
    </row>
    <row r="6" spans="1:20" x14ac:dyDescent="0.25">
      <c r="A6" s="321" t="s">
        <v>2203</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25">
      <c r="A7" s="321" t="s">
        <v>2208</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25">
      <c r="A8" s="321" t="s">
        <v>2770</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25">
      <c r="A9" s="321" t="s">
        <v>2771</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25">
      <c r="A10" s="321" t="s">
        <v>2632</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25">
      <c r="A11" s="321" t="s">
        <v>2633</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25">
      <c r="A12" s="321" t="s">
        <v>2634</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25">
      <c r="A13" s="321" t="s">
        <v>2635</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25">
      <c r="A14" s="321" t="s">
        <v>2226</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25">
      <c r="A15" s="321" t="s">
        <v>2228</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25">
      <c r="A16" s="321" t="s">
        <v>2229</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25">
      <c r="A17" s="321" t="s">
        <v>2227</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25">
      <c r="A18" s="321" t="s">
        <v>2637</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25">
      <c r="A19" s="321" t="s">
        <v>2638</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25">
      <c r="A20" s="321" t="s">
        <v>2639</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25">
      <c r="A21" s="321" t="s">
        <v>2640</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25">
      <c r="A22" s="321" t="s">
        <v>2641</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25">
      <c r="A23" s="321" t="s">
        <v>2642</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25">
      <c r="A24" s="321" t="s">
        <v>2643</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25">
      <c r="A25" s="321" t="s">
        <v>2644</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25">
      <c r="A26" s="321" t="s">
        <v>2254</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25">
      <c r="A27" s="321" t="s">
        <v>2260</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25">
      <c r="A28" s="321" t="s">
        <v>2261</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25">
      <c r="A29" s="321" t="s">
        <v>2262</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25">
      <c r="A30" s="321" t="s">
        <v>2263</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25">
      <c r="A31" s="321" t="s">
        <v>2255</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25">
      <c r="A32" s="321" t="s">
        <v>2256</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25">
      <c r="A33" s="321" t="s">
        <v>2257</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25">
      <c r="A34" s="321" t="s">
        <v>2258</v>
      </c>
      <c r="B34" s="319" t="str">
        <f>VLOOKUP(A34,TaskValues_ref!E:F,2,FALSE)</f>
        <v>Mobiliation &amp; promotion of EPI</v>
      </c>
      <c r="C34" s="64">
        <v>100</v>
      </c>
      <c r="E34" s="320">
        <f t="shared" ref="E34:E55" si="34">SUM(C34:D34)</f>
        <v>100</v>
      </c>
      <c r="F34" s="319">
        <v>100</v>
      </c>
      <c r="I34" s="320">
        <f t="shared" ref="I34:I52" si="35">SUM(F34:H34)</f>
        <v>100</v>
      </c>
      <c r="J34" s="319">
        <v>50</v>
      </c>
      <c r="K34" s="321">
        <v>50</v>
      </c>
      <c r="L34" s="321"/>
      <c r="M34" s="319">
        <f>SUMIFS(Cadres_Comprehensive!P:P,Cadres_Comprehensive!A:A,Cadres_Basic!A34)</f>
        <v>0</v>
      </c>
      <c r="O34" s="320">
        <f t="shared" ref="O34:O52" si="36">SUM(J34:N34)</f>
        <v>100</v>
      </c>
      <c r="P34" s="319">
        <v>100</v>
      </c>
      <c r="R34" s="319">
        <f>M34</f>
        <v>0</v>
      </c>
      <c r="T34" s="320">
        <f t="shared" si="3"/>
        <v>100</v>
      </c>
    </row>
    <row r="35" spans="1:20" x14ac:dyDescent="0.25">
      <c r="A35" s="321" t="s">
        <v>2259</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25">
      <c r="A36" s="321" t="s">
        <v>2294</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3" si="37">SUM(P36:S36)</f>
        <v>100</v>
      </c>
    </row>
    <row r="37" spans="1:20" x14ac:dyDescent="0.25">
      <c r="A37" s="321" t="s">
        <v>2295</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25">
      <c r="A38" s="321" t="s">
        <v>2296</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25">
      <c r="A39" s="321" t="s">
        <v>2297</v>
      </c>
      <c r="B39" s="319" t="e">
        <f>VLOOKUP(A39,TaskValues_ref!E:F,2,FALSE)</f>
        <v>#N/A</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25">
      <c r="A40" s="321" t="s">
        <v>2645</v>
      </c>
      <c r="B40" s="319" t="str">
        <f>VLOOKUP(A40,TaskValues_ref!E:F,2,FALSE)</f>
        <v>Provision of contraceptives</v>
      </c>
      <c r="C40" s="64">
        <v>100</v>
      </c>
      <c r="E40" s="320">
        <f t="shared" si="34"/>
        <v>100</v>
      </c>
      <c r="F40" s="321">
        <v>50</v>
      </c>
      <c r="G40" s="319">
        <v>50</v>
      </c>
      <c r="I40" s="320">
        <f t="shared" si="35"/>
        <v>100</v>
      </c>
      <c r="K40" s="321">
        <v>50</v>
      </c>
      <c r="L40" s="319">
        <v>50</v>
      </c>
      <c r="M40" s="319">
        <f>SUMIFS(Cadres_Comprehensive!P:P,Cadres_Comprehensive!A:A,Cadres_Basic!A40)</f>
        <v>0</v>
      </c>
      <c r="O40" s="320">
        <f t="shared" si="36"/>
        <v>100</v>
      </c>
      <c r="P40" s="321">
        <v>50</v>
      </c>
      <c r="Q40" s="319">
        <v>50</v>
      </c>
      <c r="R40" s="319">
        <f t="shared" si="8"/>
        <v>0</v>
      </c>
      <c r="T40" s="320">
        <f t="shared" si="37"/>
        <v>100</v>
      </c>
    </row>
    <row r="41" spans="1:20" x14ac:dyDescent="0.25">
      <c r="A41" s="321" t="s">
        <v>2646</v>
      </c>
      <c r="B41" s="319" t="str">
        <f>VLOOKUP(A41,TaskValues_ref!E:F,2,FALSE)</f>
        <v>Provision of implants and IUCD</v>
      </c>
      <c r="C41" s="64">
        <v>100</v>
      </c>
      <c r="E41" s="320">
        <f t="shared" si="34"/>
        <v>100</v>
      </c>
      <c r="F41" s="64"/>
      <c r="G41" s="321">
        <v>100</v>
      </c>
      <c r="I41" s="320">
        <f t="shared" si="35"/>
        <v>100</v>
      </c>
      <c r="L41" s="321">
        <v>100</v>
      </c>
      <c r="M41" s="319">
        <f>SUMIFS(Cadres_Comprehensive!P:P,Cadres_Comprehensive!A:A,Cadres_Basic!A41)</f>
        <v>0</v>
      </c>
      <c r="O41" s="320">
        <f t="shared" si="36"/>
        <v>100</v>
      </c>
      <c r="Q41" s="321">
        <v>100</v>
      </c>
      <c r="R41" s="319">
        <f t="shared" si="8"/>
        <v>0</v>
      </c>
      <c r="T41" s="320">
        <f t="shared" si="37"/>
        <v>100</v>
      </c>
    </row>
    <row r="42" spans="1:20" x14ac:dyDescent="0.25">
      <c r="A42" s="321" t="s">
        <v>2648</v>
      </c>
      <c r="B42" s="319" t="str">
        <f>VLOOKUP(A42,TaskValues_ref!E:F,2,FALSE)</f>
        <v>Psycho-social counseling</v>
      </c>
      <c r="C42" s="64">
        <v>100</v>
      </c>
      <c r="E42" s="320">
        <f t="shared" si="34"/>
        <v>100</v>
      </c>
      <c r="F42" s="321"/>
      <c r="G42" s="319">
        <v>100</v>
      </c>
      <c r="I42" s="320">
        <f t="shared" si="35"/>
        <v>100</v>
      </c>
      <c r="K42" s="321"/>
      <c r="L42" s="321">
        <v>100</v>
      </c>
      <c r="M42" s="319">
        <f>SUMIFS(Cadres_Comprehensive!P:P,Cadres_Comprehensive!A:A,Cadres_Basic!A42)</f>
        <v>0</v>
      </c>
      <c r="O42" s="320">
        <f t="shared" si="36"/>
        <v>100</v>
      </c>
      <c r="P42" s="321"/>
      <c r="Q42" s="319">
        <v>100</v>
      </c>
      <c r="R42" s="319">
        <f t="shared" ref="R42" si="38">M42</f>
        <v>0</v>
      </c>
      <c r="T42" s="320">
        <f t="shared" ref="T42" si="39">SUM(P42:S42)</f>
        <v>100</v>
      </c>
    </row>
    <row r="43" spans="1:20" x14ac:dyDescent="0.25">
      <c r="A43" s="321" t="s">
        <v>2650</v>
      </c>
      <c r="B43" s="319" t="str">
        <f>VLOOKUP(A43,TaskValues_ref!E:F,2,FALSE)</f>
        <v>Post-abortion follow-up</v>
      </c>
      <c r="C43" s="64">
        <v>100</v>
      </c>
      <c r="E43" s="320">
        <f t="shared" si="34"/>
        <v>100</v>
      </c>
      <c r="G43" s="321">
        <v>100</v>
      </c>
      <c r="I43" s="320">
        <f t="shared" si="35"/>
        <v>100</v>
      </c>
      <c r="L43" s="321">
        <v>100</v>
      </c>
      <c r="M43" s="319">
        <f>SUMIFS(Cadres_Comprehensive!P:P,Cadres_Comprehensive!A:A,Cadres_Basic!A43)</f>
        <v>0</v>
      </c>
      <c r="O43" s="320">
        <f t="shared" si="36"/>
        <v>100</v>
      </c>
      <c r="Q43" s="321">
        <v>100</v>
      </c>
      <c r="R43" s="319">
        <f t="shared" si="8"/>
        <v>0</v>
      </c>
      <c r="T43" s="320">
        <f t="shared" si="37"/>
        <v>100</v>
      </c>
    </row>
    <row r="44" spans="1:20" x14ac:dyDescent="0.25">
      <c r="A44" s="321" t="s">
        <v>2651</v>
      </c>
      <c r="B44" s="319" t="str">
        <f>VLOOKUP(A44,TaskValues_ref!E:F,2,FALSE)</f>
        <v>Education on menstration</v>
      </c>
      <c r="C44" s="64">
        <v>100</v>
      </c>
      <c r="E44" s="320">
        <f t="shared" si="34"/>
        <v>100</v>
      </c>
      <c r="F44" s="319">
        <v>100</v>
      </c>
      <c r="I44" s="320">
        <f t="shared" si="35"/>
        <v>100</v>
      </c>
      <c r="J44" s="319">
        <v>50</v>
      </c>
      <c r="K44" s="321">
        <v>50</v>
      </c>
      <c r="L44" s="321"/>
      <c r="M44" s="319">
        <f>SUMIFS(Cadres_Comprehensive!P:P,Cadres_Comprehensive!A:A,Cadres_Basic!A44)</f>
        <v>0</v>
      </c>
      <c r="O44" s="320">
        <f t="shared" si="36"/>
        <v>100</v>
      </c>
      <c r="P44" s="319">
        <v>100</v>
      </c>
      <c r="R44" s="319">
        <f>M44</f>
        <v>0</v>
      </c>
      <c r="T44" s="320">
        <f t="shared" ref="T44" si="40">SUM(P44:S44)</f>
        <v>100</v>
      </c>
    </row>
    <row r="45" spans="1:20" x14ac:dyDescent="0.25">
      <c r="A45" s="321" t="s">
        <v>2652</v>
      </c>
      <c r="B45" s="319" t="str">
        <f>VLOOKUP(A45,TaskValues_ref!E:F,2,FALSE)</f>
        <v>Treatment of menstrual problems</v>
      </c>
      <c r="C45" s="64">
        <v>100</v>
      </c>
      <c r="E45" s="320">
        <f t="shared" si="34"/>
        <v>100</v>
      </c>
      <c r="G45" s="321">
        <v>100</v>
      </c>
      <c r="I45" s="320">
        <f t="shared" ref="I45" si="41">SUM(F45:H45)</f>
        <v>100</v>
      </c>
      <c r="L45" s="321">
        <v>100</v>
      </c>
      <c r="M45" s="319">
        <f>SUMIFS(Cadres_Comprehensive!P:P,Cadres_Comprehensive!A:A,Cadres_Basic!A45)</f>
        <v>0</v>
      </c>
      <c r="O45" s="320">
        <f t="shared" ref="O45" si="42">SUM(J45:N45)</f>
        <v>100</v>
      </c>
      <c r="Q45" s="321">
        <v>100</v>
      </c>
      <c r="R45" s="319">
        <f t="shared" ref="R45" si="43">M45</f>
        <v>0</v>
      </c>
      <c r="T45" s="320">
        <f t="shared" ref="T45" si="44">SUM(P45:S45)</f>
        <v>100</v>
      </c>
    </row>
    <row r="46" spans="1:20" x14ac:dyDescent="0.25">
      <c r="A46" s="321" t="s">
        <v>2653</v>
      </c>
      <c r="B46" s="319" t="str">
        <f>VLOOKUP(A46,TaskValues_ref!E:F,2,FALSE)</f>
        <v>Promote self-breast exam</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ref="T46:T48" si="45">SUM(P46:S46)</f>
        <v>100</v>
      </c>
    </row>
    <row r="47" spans="1:20" x14ac:dyDescent="0.25">
      <c r="A47" s="321" t="s">
        <v>2654</v>
      </c>
      <c r="B47" s="319" t="str">
        <f>VLOOKUP(A47,TaskValues_ref!E:F,2,FALSE)</f>
        <v>HPV vacination</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25">
      <c r="A48" s="321" t="s">
        <v>2655</v>
      </c>
      <c r="B48" s="319" t="str">
        <f>VLOOKUP(A48,TaskValues_ref!E:F,2,FALSE)</f>
        <v>Education on health &amp; wellbeing</v>
      </c>
      <c r="C48" s="64">
        <v>100</v>
      </c>
      <c r="E48" s="320">
        <f t="shared" si="34"/>
        <v>100</v>
      </c>
      <c r="F48" s="319">
        <v>100</v>
      </c>
      <c r="I48" s="320">
        <f t="shared" si="35"/>
        <v>100</v>
      </c>
      <c r="J48" s="319">
        <v>50</v>
      </c>
      <c r="K48" s="321">
        <v>50</v>
      </c>
      <c r="L48" s="321"/>
      <c r="M48" s="319">
        <f>SUMIFS(Cadres_Comprehensive!P:P,Cadres_Comprehensive!A:A,Cadres_Basic!A48)</f>
        <v>0</v>
      </c>
      <c r="O48" s="320">
        <f t="shared" si="36"/>
        <v>100</v>
      </c>
      <c r="P48" s="319">
        <v>100</v>
      </c>
      <c r="R48" s="319">
        <f>M48</f>
        <v>0</v>
      </c>
      <c r="T48" s="320">
        <f t="shared" si="45"/>
        <v>100</v>
      </c>
    </row>
    <row r="49" spans="1:20" x14ac:dyDescent="0.25">
      <c r="A49" s="321" t="s">
        <v>2656</v>
      </c>
      <c r="B49" s="319" t="str">
        <f>VLOOKUP(A49,TaskValues_ref!E:F,2,FALSE)</f>
        <v>Adolescent SRH</v>
      </c>
      <c r="C49" s="64">
        <v>100</v>
      </c>
      <c r="E49" s="320">
        <f t="shared" si="34"/>
        <v>100</v>
      </c>
      <c r="G49" s="321">
        <v>100</v>
      </c>
      <c r="I49" s="320">
        <f t="shared" ref="I49:I50" si="46">SUM(F49:H49)</f>
        <v>100</v>
      </c>
      <c r="L49" s="321">
        <v>100</v>
      </c>
      <c r="M49" s="319">
        <f>SUMIFS(Cadres_Comprehensive!P:P,Cadres_Comprehensive!A:A,Cadres_Basic!A49)</f>
        <v>0</v>
      </c>
      <c r="O49" s="320">
        <f t="shared" ref="O49:O50" si="47">SUM(J49:N49)</f>
        <v>100</v>
      </c>
      <c r="Q49" s="321">
        <v>100</v>
      </c>
      <c r="R49" s="319">
        <f t="shared" ref="R49:R50" si="48">M49</f>
        <v>0</v>
      </c>
      <c r="T49" s="320">
        <f t="shared" ref="T49:T50" si="49">SUM(P49:S49)</f>
        <v>100</v>
      </c>
    </row>
    <row r="50" spans="1:20" x14ac:dyDescent="0.25">
      <c r="A50" s="321" t="s">
        <v>2657</v>
      </c>
      <c r="B50" s="319" t="str">
        <f>VLOOKUP(A50,TaskValues_ref!E:F,2,FALSE)</f>
        <v>Provision of adolescent-friendly contraceptives</v>
      </c>
      <c r="C50" s="64">
        <v>100</v>
      </c>
      <c r="E50" s="320">
        <f t="shared" si="34"/>
        <v>100</v>
      </c>
      <c r="G50" s="321">
        <v>100</v>
      </c>
      <c r="I50" s="320">
        <f t="shared" si="46"/>
        <v>100</v>
      </c>
      <c r="L50" s="321">
        <v>100</v>
      </c>
      <c r="M50" s="319">
        <f>SUMIFS(Cadres_Comprehensive!P:P,Cadres_Comprehensive!A:A,Cadres_Basic!A50)</f>
        <v>0</v>
      </c>
      <c r="O50" s="320">
        <f t="shared" si="47"/>
        <v>100</v>
      </c>
      <c r="Q50" s="321">
        <v>100</v>
      </c>
      <c r="R50" s="319">
        <f t="shared" si="48"/>
        <v>0</v>
      </c>
      <c r="T50" s="320">
        <f t="shared" si="49"/>
        <v>100</v>
      </c>
    </row>
    <row r="51" spans="1:20" x14ac:dyDescent="0.25">
      <c r="A51" s="321" t="s">
        <v>2658</v>
      </c>
      <c r="B51" s="319" t="str">
        <f>VLOOKUP(A51,TaskValues_ref!E:F,2,FALSE)</f>
        <v>Education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ref="T51:T52" si="50">SUM(P51:S51)</f>
        <v>100</v>
      </c>
    </row>
    <row r="52" spans="1:20" x14ac:dyDescent="0.25">
      <c r="A52" s="321" t="s">
        <v>2659</v>
      </c>
      <c r="B52" s="319" t="str">
        <f>VLOOKUP(A52,TaskValues_ref!E:F,2,FALSE)</f>
        <v>Community dialogue about GBV</v>
      </c>
      <c r="C52" s="64">
        <v>100</v>
      </c>
      <c r="E52" s="320">
        <f t="shared" si="34"/>
        <v>100</v>
      </c>
      <c r="F52" s="319">
        <v>100</v>
      </c>
      <c r="I52" s="320">
        <f t="shared" si="35"/>
        <v>100</v>
      </c>
      <c r="J52" s="319">
        <v>50</v>
      </c>
      <c r="K52" s="321">
        <v>50</v>
      </c>
      <c r="L52" s="321"/>
      <c r="M52" s="319">
        <f>SUMIFS(Cadres_Comprehensive!P:P,Cadres_Comprehensive!A:A,Cadres_Basic!A52)</f>
        <v>0</v>
      </c>
      <c r="O52" s="320">
        <f t="shared" si="36"/>
        <v>100</v>
      </c>
      <c r="P52" s="319">
        <v>100</v>
      </c>
      <c r="R52" s="319">
        <f>M52</f>
        <v>0</v>
      </c>
      <c r="T52" s="320">
        <f t="shared" si="50"/>
        <v>100</v>
      </c>
    </row>
    <row r="53" spans="1:20" x14ac:dyDescent="0.25">
      <c r="A53" s="321" t="s">
        <v>2660</v>
      </c>
      <c r="B53" s="319" t="str">
        <f>VLOOKUP(A53,TaskValues_ref!E:F,2,FALSE)</f>
        <v>Pregnancy test for GBV</v>
      </c>
      <c r="C53" s="64">
        <v>100</v>
      </c>
      <c r="E53" s="320">
        <f t="shared" si="34"/>
        <v>100</v>
      </c>
      <c r="G53" s="321">
        <v>100</v>
      </c>
      <c r="I53" s="320">
        <f t="shared" ref="I53:I57" si="51">SUM(F53:H53)</f>
        <v>100</v>
      </c>
      <c r="L53" s="321">
        <v>100</v>
      </c>
      <c r="M53" s="319">
        <f>SUMIFS(Cadres_Comprehensive!P:P,Cadres_Comprehensive!A:A,Cadres_Basic!A53)</f>
        <v>0</v>
      </c>
      <c r="O53" s="320">
        <f t="shared" ref="O53:O57" si="52">SUM(J53:N53)</f>
        <v>100</v>
      </c>
      <c r="Q53" s="321">
        <v>100</v>
      </c>
      <c r="R53" s="319">
        <f t="shared" ref="R53:R57" si="53">M53</f>
        <v>0</v>
      </c>
      <c r="T53" s="320">
        <f t="shared" ref="T53:T57" si="54">SUM(P53:S53)</f>
        <v>100</v>
      </c>
    </row>
    <row r="54" spans="1:20" x14ac:dyDescent="0.25">
      <c r="A54" s="321" t="s">
        <v>2661</v>
      </c>
      <c r="B54" s="319" t="str">
        <f>VLOOKUP(A54,TaskValues_ref!E:F,2,FALSE)</f>
        <v>HIV test for GBV</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25">
      <c r="A55" s="321" t="s">
        <v>2662</v>
      </c>
      <c r="B55" s="319" t="str">
        <f>VLOOKUP(A55,TaskValues_ref!E:F,2,FALSE)</f>
        <v>Emergency GBV response</v>
      </c>
      <c r="C55" s="64">
        <v>100</v>
      </c>
      <c r="E55" s="320">
        <f t="shared" si="34"/>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25">
      <c r="A56" s="321" t="s">
        <v>2663</v>
      </c>
      <c r="B56" s="319" t="str">
        <f>VLOOKUP(A56,TaskValues_ref!E:F,2,FALSE)</f>
        <v>Medical treatment for GBV</v>
      </c>
      <c r="C56" s="64">
        <v>100</v>
      </c>
      <c r="E56" s="320">
        <f t="shared" ref="E56:E88" si="55">SUM(C56:D56)</f>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25">
      <c r="A57" s="321" t="s">
        <v>2664</v>
      </c>
      <c r="B57" s="319" t="str">
        <f>VLOOKUP(A57,TaskValues_ref!E:F,2,FALSE)</f>
        <v>Psycho-social support for GBV</v>
      </c>
      <c r="C57" s="64">
        <v>100</v>
      </c>
      <c r="E57" s="320">
        <f t="shared" si="55"/>
        <v>100</v>
      </c>
      <c r="G57" s="321">
        <v>100</v>
      </c>
      <c r="I57" s="320">
        <f t="shared" si="51"/>
        <v>100</v>
      </c>
      <c r="L57" s="321">
        <v>100</v>
      </c>
      <c r="M57" s="319">
        <f>SUMIFS(Cadres_Comprehensive!P:P,Cadres_Comprehensive!A:A,Cadres_Basic!A57)</f>
        <v>0</v>
      </c>
      <c r="O57" s="320">
        <f t="shared" si="52"/>
        <v>100</v>
      </c>
      <c r="Q57" s="321">
        <v>100</v>
      </c>
      <c r="R57" s="319">
        <f t="shared" si="53"/>
        <v>0</v>
      </c>
      <c r="T57" s="320">
        <f t="shared" si="54"/>
        <v>100</v>
      </c>
    </row>
    <row r="58" spans="1:20" x14ac:dyDescent="0.25">
      <c r="A58" s="321" t="s">
        <v>2665</v>
      </c>
      <c r="B58" s="319" t="str">
        <f>VLOOKUP(A58,TaskValues_ref!E:F,2,FALSE)</f>
        <v>Adovacy against HTP</v>
      </c>
      <c r="C58" s="64">
        <v>100</v>
      </c>
      <c r="E58" s="320">
        <f t="shared" si="55"/>
        <v>100</v>
      </c>
      <c r="F58" s="319">
        <v>100</v>
      </c>
      <c r="I58" s="320">
        <f t="shared" ref="I58:I88" si="56">SUM(F58:H58)</f>
        <v>100</v>
      </c>
      <c r="J58" s="319">
        <v>50</v>
      </c>
      <c r="K58" s="321">
        <v>50</v>
      </c>
      <c r="L58" s="321"/>
      <c r="M58" s="319">
        <f>SUMIFS(Cadres_Comprehensive!P:P,Cadres_Comprehensive!A:A,Cadres_Basic!A58)</f>
        <v>0</v>
      </c>
      <c r="O58" s="320">
        <f t="shared" ref="O58:O88" si="57">SUM(J58:N58)</f>
        <v>100</v>
      </c>
      <c r="P58" s="319">
        <v>100</v>
      </c>
      <c r="R58" s="319">
        <f>M58</f>
        <v>0</v>
      </c>
      <c r="T58" s="320">
        <f t="shared" ref="T58:T59" si="58">SUM(P58:S58)</f>
        <v>100</v>
      </c>
    </row>
    <row r="59" spans="1:20" x14ac:dyDescent="0.25">
      <c r="A59" s="321" t="s">
        <v>2666</v>
      </c>
      <c r="B59" s="319" t="str">
        <f>VLOOKUP(A59,TaskValues_ref!E:F,2,FALSE)</f>
        <v>Prevention of teen pregnancy</v>
      </c>
      <c r="C59" s="64">
        <v>100</v>
      </c>
      <c r="E59" s="320">
        <f t="shared" si="55"/>
        <v>100</v>
      </c>
      <c r="F59" s="319">
        <v>100</v>
      </c>
      <c r="I59" s="320">
        <f t="shared" si="56"/>
        <v>100</v>
      </c>
      <c r="J59" s="319">
        <v>50</v>
      </c>
      <c r="K59" s="321">
        <v>50</v>
      </c>
      <c r="L59" s="321"/>
      <c r="M59" s="319">
        <f>SUMIFS(Cadres_Comprehensive!P:P,Cadres_Comprehensive!A:A,Cadres_Basic!A59)</f>
        <v>0</v>
      </c>
      <c r="O59" s="320">
        <f t="shared" si="57"/>
        <v>100</v>
      </c>
      <c r="P59" s="319">
        <v>100</v>
      </c>
      <c r="R59" s="319">
        <f>M59</f>
        <v>0</v>
      </c>
      <c r="T59" s="320">
        <f t="shared" si="58"/>
        <v>100</v>
      </c>
    </row>
    <row r="60" spans="1:20" x14ac:dyDescent="0.25">
      <c r="A60" s="321" t="s">
        <v>2667</v>
      </c>
      <c r="B60" s="319" t="str">
        <f>VLOOKUP(A60,TaskValues_ref!E:F,2,FALSE)</f>
        <v>Folic acid</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59">M60</f>
        <v>0</v>
      </c>
      <c r="T60" s="320">
        <f t="shared" ref="T60" si="60">SUM(P60:S60)</f>
        <v>100</v>
      </c>
    </row>
    <row r="61" spans="1:20" x14ac:dyDescent="0.25">
      <c r="A61" s="321" t="s">
        <v>2668</v>
      </c>
      <c r="B61" s="319" t="str">
        <f>VLOOKUP(A61,TaskValues_ref!E:F,2,FALSE)</f>
        <v>SRH counseling for men</v>
      </c>
      <c r="C61" s="64">
        <v>100</v>
      </c>
      <c r="E61" s="320">
        <f t="shared" si="55"/>
        <v>100</v>
      </c>
      <c r="G61" s="321">
        <v>100</v>
      </c>
      <c r="I61" s="320">
        <f t="shared" si="56"/>
        <v>100</v>
      </c>
      <c r="L61" s="321">
        <v>100</v>
      </c>
      <c r="M61" s="319">
        <f>SUMIFS(Cadres_Comprehensive!P:P,Cadres_Comprehensive!A:A,Cadres_Basic!A61)</f>
        <v>0</v>
      </c>
      <c r="O61" s="320">
        <f t="shared" si="57"/>
        <v>100</v>
      </c>
      <c r="Q61" s="321">
        <v>100</v>
      </c>
      <c r="R61" s="319">
        <f t="shared" ref="R61" si="61">M61</f>
        <v>0</v>
      </c>
      <c r="T61" s="320">
        <f t="shared" ref="T61" si="62">SUM(P61:S61)</f>
        <v>100</v>
      </c>
    </row>
    <row r="62" spans="1:20" x14ac:dyDescent="0.25">
      <c r="A62" s="321" t="s">
        <v>2669</v>
      </c>
      <c r="B62" s="319" t="str">
        <f>VLOOKUP(A62,TaskValues_ref!E:F,2,FALSE)</f>
        <v>Promote breast feeding</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ref="T62:T65" si="63">SUM(P62:S62)</f>
        <v>100</v>
      </c>
    </row>
    <row r="63" spans="1:20" x14ac:dyDescent="0.25">
      <c r="A63" s="321" t="s">
        <v>2670</v>
      </c>
      <c r="B63" s="319" t="str">
        <f>VLOOKUP(A63,TaskValues_ref!E:F,2,FALSE)</f>
        <v>Nutritional screening during pregnancy</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25">
      <c r="A64" s="321" t="s">
        <v>2671</v>
      </c>
      <c r="B64" s="319" t="str">
        <f>VLOOKUP(A64,TaskValues_ref!E:F,2,FALSE)</f>
        <v>Monthly monitoring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25">
      <c r="A65" s="321" t="s">
        <v>2672</v>
      </c>
      <c r="B65" s="319" t="str">
        <f>VLOOKUP(A65,TaskValues_ref!E:F,2,FALSE)</f>
        <v>MUAC and oedema screening</v>
      </c>
      <c r="C65" s="64">
        <v>100</v>
      </c>
      <c r="E65" s="320">
        <f t="shared" si="55"/>
        <v>100</v>
      </c>
      <c r="F65" s="319">
        <v>100</v>
      </c>
      <c r="I65" s="320">
        <f t="shared" si="56"/>
        <v>100</v>
      </c>
      <c r="J65" s="319">
        <v>50</v>
      </c>
      <c r="K65" s="321">
        <v>50</v>
      </c>
      <c r="L65" s="321"/>
      <c r="M65" s="319">
        <f>SUMIFS(Cadres_Comprehensive!P:P,Cadres_Comprehensive!A:A,Cadres_Basic!A65)</f>
        <v>0</v>
      </c>
      <c r="O65" s="320">
        <f t="shared" si="57"/>
        <v>100</v>
      </c>
      <c r="P65" s="319">
        <v>100</v>
      </c>
      <c r="R65" s="319">
        <f>M65</f>
        <v>0</v>
      </c>
      <c r="T65" s="320">
        <f t="shared" si="63"/>
        <v>100</v>
      </c>
    </row>
    <row r="66" spans="1:20" x14ac:dyDescent="0.25">
      <c r="A66" s="321" t="s">
        <v>2673</v>
      </c>
      <c r="B66" s="319" t="str">
        <f>VLOOKUP(A66,TaskValues_ref!E:F,2,FALSE)</f>
        <v>Treat malnourished mothers</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ref="R66:R69" si="64">M66</f>
        <v>0</v>
      </c>
      <c r="T66" s="320">
        <f t="shared" ref="T66:T69" si="65">SUM(P66:S66)</f>
        <v>100</v>
      </c>
    </row>
    <row r="67" spans="1:20" x14ac:dyDescent="0.25">
      <c r="A67" s="321" t="s">
        <v>2623</v>
      </c>
      <c r="B67" s="319" t="str">
        <f>VLOOKUP(A67,TaskValues_ref!E:F,2,FALSE)</f>
        <v>Anaemia severe U5</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25">
      <c r="A68" s="321" t="s">
        <v>2536</v>
      </c>
      <c r="B68" s="319" t="str">
        <f>VLOOKUP(A68,TaskValues_ref!E:F,2,FALSE)</f>
        <v>Anaemia severe children</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25">
      <c r="A69" s="321" t="s">
        <v>2537</v>
      </c>
      <c r="B69" s="319" t="str">
        <f>VLOOKUP(A69,TaskValues_ref!E:F,2,FALSE)</f>
        <v>Anaemia severe adults</v>
      </c>
      <c r="C69" s="64">
        <v>100</v>
      </c>
      <c r="E69" s="320">
        <f t="shared" si="55"/>
        <v>100</v>
      </c>
      <c r="G69" s="321">
        <v>100</v>
      </c>
      <c r="I69" s="320">
        <f t="shared" si="56"/>
        <v>100</v>
      </c>
      <c r="L69" s="321">
        <v>100</v>
      </c>
      <c r="M69" s="319">
        <f>SUMIFS(Cadres_Comprehensive!P:P,Cadres_Comprehensive!A:A,Cadres_Basic!A69)</f>
        <v>0</v>
      </c>
      <c r="O69" s="320">
        <f t="shared" si="57"/>
        <v>100</v>
      </c>
      <c r="Q69" s="321">
        <v>100</v>
      </c>
      <c r="R69" s="319">
        <f t="shared" si="64"/>
        <v>0</v>
      </c>
      <c r="T69" s="320">
        <f t="shared" si="65"/>
        <v>100</v>
      </c>
    </row>
    <row r="70" spans="1:20" x14ac:dyDescent="0.25">
      <c r="A70" s="321" t="s">
        <v>2674</v>
      </c>
      <c r="B70" s="319" t="str">
        <f>VLOOKUP(A70,TaskValues_ref!E:F,2,FALSE)</f>
        <v>Promote nutrition for MNC</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ref="T70:T72" si="66">SUM(P70:S70)</f>
        <v>100</v>
      </c>
    </row>
    <row r="71" spans="1:20" x14ac:dyDescent="0.25">
      <c r="A71" s="321" t="s">
        <v>2675</v>
      </c>
      <c r="B71" s="319" t="str">
        <f>VLOOKUP(A71,TaskValues_ref!E:F,2,FALSE)</f>
        <v>Education re nutrition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25">
      <c r="A72" s="321" t="s">
        <v>2676</v>
      </c>
      <c r="B72" s="319" t="str">
        <f>VLOOKUP(A72,TaskValues_ref!E:F,2,FALSE)</f>
        <v>Calcium supplementation</v>
      </c>
      <c r="C72" s="64">
        <v>100</v>
      </c>
      <c r="E72" s="320">
        <f t="shared" si="55"/>
        <v>100</v>
      </c>
      <c r="F72" s="319">
        <v>100</v>
      </c>
      <c r="I72" s="320">
        <f t="shared" si="56"/>
        <v>100</v>
      </c>
      <c r="J72" s="319">
        <v>50</v>
      </c>
      <c r="K72" s="321">
        <v>50</v>
      </c>
      <c r="L72" s="321"/>
      <c r="M72" s="319">
        <f>SUMIFS(Cadres_Comprehensive!P:P,Cadres_Comprehensive!A:A,Cadres_Basic!A72)</f>
        <v>0</v>
      </c>
      <c r="O72" s="320">
        <f t="shared" si="57"/>
        <v>100</v>
      </c>
      <c r="P72" s="319">
        <v>100</v>
      </c>
      <c r="R72" s="319">
        <f>M72</f>
        <v>0</v>
      </c>
      <c r="T72" s="320">
        <f t="shared" si="66"/>
        <v>100</v>
      </c>
    </row>
    <row r="73" spans="1:20" x14ac:dyDescent="0.25">
      <c r="A73" s="321" t="s">
        <v>2677</v>
      </c>
      <c r="B73" s="319" t="str">
        <f>VLOOKUP(A73,TaskValues_ref!E:F,2,FALSE)</f>
        <v>Nutrition for HIV+ women</v>
      </c>
      <c r="C73" s="64">
        <v>100</v>
      </c>
      <c r="E73" s="320">
        <f t="shared" si="55"/>
        <v>100</v>
      </c>
      <c r="F73" s="321">
        <v>100</v>
      </c>
      <c r="I73" s="320">
        <f t="shared" si="56"/>
        <v>100</v>
      </c>
      <c r="J73" s="321">
        <v>50</v>
      </c>
      <c r="K73" s="321">
        <v>50</v>
      </c>
      <c r="M73" s="319">
        <f>SUMIFS(Cadres_Comprehensive!P:P,Cadres_Comprehensive!A:A,Cadres_Basic!A73)</f>
        <v>0</v>
      </c>
      <c r="O73" s="320">
        <f t="shared" si="57"/>
        <v>100</v>
      </c>
      <c r="P73" s="321">
        <v>100</v>
      </c>
      <c r="R73" s="319">
        <f t="shared" ref="R73:R129" si="67">M73</f>
        <v>0</v>
      </c>
      <c r="T73" s="320">
        <f t="shared" ref="T73:T93" si="68">SUM(P73:S73)</f>
        <v>100</v>
      </c>
    </row>
    <row r="74" spans="1:20" x14ac:dyDescent="0.25">
      <c r="A74" s="321" t="s">
        <v>2678</v>
      </c>
      <c r="B74" s="319" t="str">
        <f>VLOOKUP(A74,TaskValues_ref!E:F,2,FALSE)</f>
        <v>Promote iodized salt &amp; fortified food</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ref="T74:T76" si="69">SUM(P74:S74)</f>
        <v>100</v>
      </c>
    </row>
    <row r="75" spans="1:20" x14ac:dyDescent="0.25">
      <c r="A75" s="321" t="s">
        <v>2679</v>
      </c>
      <c r="B75" s="319" t="str">
        <f>VLOOKUP(A75,TaskValues_ref!E:F,2,FALSE)</f>
        <v>Nutrition outreach</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25">
      <c r="A76" s="321" t="s">
        <v>2680</v>
      </c>
      <c r="B76" s="319" t="str">
        <f>VLOOKUP(A76,TaskValues_ref!E:F,2,FALSE)</f>
        <v>Promote gender equity &amp; empowerment</v>
      </c>
      <c r="C76" s="64">
        <v>100</v>
      </c>
      <c r="E76" s="320">
        <f t="shared" si="55"/>
        <v>100</v>
      </c>
      <c r="F76" s="319">
        <v>100</v>
      </c>
      <c r="I76" s="320">
        <f t="shared" si="56"/>
        <v>100</v>
      </c>
      <c r="J76" s="319">
        <v>50</v>
      </c>
      <c r="K76" s="321">
        <v>50</v>
      </c>
      <c r="L76" s="321"/>
      <c r="M76" s="319">
        <f>SUMIFS(Cadres_Comprehensive!P:P,Cadres_Comprehensive!A:A,Cadres_Basic!A76)</f>
        <v>0</v>
      </c>
      <c r="O76" s="320">
        <f t="shared" si="57"/>
        <v>100</v>
      </c>
      <c r="P76" s="319">
        <v>100</v>
      </c>
      <c r="R76" s="319">
        <f>M76</f>
        <v>0</v>
      </c>
      <c r="T76" s="320">
        <f t="shared" si="69"/>
        <v>100</v>
      </c>
    </row>
    <row r="77" spans="1:20" x14ac:dyDescent="0.25">
      <c r="A77" s="321" t="s">
        <v>2681</v>
      </c>
      <c r="B77" s="319" t="str">
        <f>VLOOKUP(A77,TaskValues_ref!E:F,2,FALSE)</f>
        <v>Nutritional disaster response</v>
      </c>
      <c r="C77" s="64">
        <v>100</v>
      </c>
      <c r="E77" s="320">
        <f t="shared" si="55"/>
        <v>100</v>
      </c>
      <c r="G77" s="321">
        <v>100</v>
      </c>
      <c r="I77" s="320">
        <f t="shared" si="56"/>
        <v>100</v>
      </c>
      <c r="L77" s="321">
        <v>100</v>
      </c>
      <c r="M77" s="319">
        <f>SUMIFS(Cadres_Comprehensive!P:P,Cadres_Comprehensive!A:A,Cadres_Basic!A77)</f>
        <v>0</v>
      </c>
      <c r="O77" s="320">
        <f t="shared" si="57"/>
        <v>100</v>
      </c>
      <c r="Q77" s="321">
        <v>100</v>
      </c>
      <c r="R77" s="319">
        <f t="shared" ref="R77" si="70">M77</f>
        <v>0</v>
      </c>
      <c r="T77" s="320">
        <f t="shared" ref="T77" si="71">SUM(P77:S77)</f>
        <v>100</v>
      </c>
    </row>
    <row r="78" spans="1:20" x14ac:dyDescent="0.25">
      <c r="A78" s="321" t="s">
        <v>2682</v>
      </c>
      <c r="B78" s="319" t="str">
        <f>VLOOKUP(A78,TaskValues_ref!E:F,2,FALSE)</f>
        <v>Multisectoral nutrition intervention</v>
      </c>
      <c r="C78" s="64">
        <v>100</v>
      </c>
      <c r="E78" s="320">
        <f t="shared" si="55"/>
        <v>100</v>
      </c>
      <c r="F78" s="321">
        <v>100</v>
      </c>
      <c r="I78" s="320">
        <f t="shared" si="56"/>
        <v>100</v>
      </c>
      <c r="J78" s="321">
        <v>50</v>
      </c>
      <c r="K78" s="321">
        <v>50</v>
      </c>
      <c r="M78" s="319">
        <f>SUMIFS(Cadres_Comprehensive!P:P,Cadres_Comprehensive!A:A,Cadres_Basic!A78)</f>
        <v>0</v>
      </c>
      <c r="O78" s="320">
        <f t="shared" si="57"/>
        <v>100</v>
      </c>
      <c r="P78" s="321">
        <v>100</v>
      </c>
      <c r="R78" s="319">
        <f t="shared" si="67"/>
        <v>0</v>
      </c>
      <c r="T78" s="320">
        <f t="shared" si="68"/>
        <v>100</v>
      </c>
    </row>
    <row r="79" spans="1:20" x14ac:dyDescent="0.25">
      <c r="A79" s="321" t="s">
        <v>2683</v>
      </c>
      <c r="B79" s="319" t="str">
        <f>VLOOKUP(A79,TaskValues_ref!E:F,2,FALSE)</f>
        <v>Breast feeding technique</v>
      </c>
      <c r="C79" s="64">
        <v>100</v>
      </c>
      <c r="E79" s="320">
        <f t="shared" si="55"/>
        <v>100</v>
      </c>
      <c r="F79" s="319">
        <v>100</v>
      </c>
      <c r="I79" s="320">
        <f t="shared" si="56"/>
        <v>100</v>
      </c>
      <c r="J79" s="319">
        <v>50</v>
      </c>
      <c r="K79" s="321">
        <v>50</v>
      </c>
      <c r="L79" s="321"/>
      <c r="M79" s="319">
        <f>SUMIFS(Cadres_Comprehensive!P:P,Cadres_Comprehensive!A:A,Cadres_Basic!A79)</f>
        <v>0</v>
      </c>
      <c r="O79" s="320">
        <f t="shared" si="57"/>
        <v>100</v>
      </c>
      <c r="P79" s="319">
        <v>100</v>
      </c>
      <c r="R79" s="319">
        <f>M79</f>
        <v>0</v>
      </c>
      <c r="T79" s="320">
        <f t="shared" ref="T79" si="72">SUM(P79:S79)</f>
        <v>100</v>
      </c>
    </row>
    <row r="80" spans="1:20" x14ac:dyDescent="0.25">
      <c r="A80" s="321" t="s">
        <v>2684</v>
      </c>
      <c r="B80" s="319" t="str">
        <f>VLOOKUP(A80,TaskValues_ref!E:F,2,FALSE)</f>
        <v>Acute malnutrition</v>
      </c>
      <c r="C80" s="64">
        <v>100</v>
      </c>
      <c r="E80" s="320">
        <f t="shared" si="55"/>
        <v>100</v>
      </c>
      <c r="G80" s="319">
        <v>100</v>
      </c>
      <c r="I80" s="320">
        <f t="shared" si="56"/>
        <v>100</v>
      </c>
      <c r="L80" s="319">
        <v>100</v>
      </c>
      <c r="M80" s="319">
        <f>SUMIFS(Cadres_Comprehensive!P:P,Cadres_Comprehensive!A:A,Cadres_Basic!A80)</f>
        <v>0</v>
      </c>
      <c r="O80" s="320">
        <f t="shared" si="57"/>
        <v>100</v>
      </c>
      <c r="Q80" s="319">
        <v>100</v>
      </c>
      <c r="R80" s="319">
        <f t="shared" si="67"/>
        <v>0</v>
      </c>
      <c r="T80" s="320">
        <f t="shared" si="68"/>
        <v>100</v>
      </c>
    </row>
    <row r="81" spans="1:20" x14ac:dyDescent="0.25">
      <c r="A81" s="321" t="s">
        <v>2685</v>
      </c>
      <c r="B81" s="319" t="str">
        <f>VLOOKUP(A81,TaskValues_ref!E:F,2,FALSE)</f>
        <v>Counsel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ref="R81:R90" si="73">M81</f>
        <v>0</v>
      </c>
      <c r="T81" s="320">
        <f t="shared" ref="T81:T88" si="74">SUM(P81:S81)</f>
        <v>100</v>
      </c>
    </row>
    <row r="82" spans="1:20" x14ac:dyDescent="0.25">
      <c r="A82" s="321" t="s">
        <v>2686</v>
      </c>
      <c r="B82" s="319" t="str">
        <f>VLOOKUP(A82,TaskValues_ref!E:F,2,FALSE)</f>
        <v>Timely complementary feeding</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25">
      <c r="A83" s="391" t="s">
        <v>2687</v>
      </c>
      <c r="B83" s="319" t="str">
        <f>VLOOKUP(A83,TaskValues_ref!E:F,2,FALSE)</f>
        <v>Promote BF until 24 months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25">
      <c r="A84" s="391" t="s">
        <v>2688</v>
      </c>
      <c r="B84" s="319" t="str">
        <f>VLOOKUP(A84,TaskValues_ref!E:F,2,FALSE)</f>
        <v>Promote BF during child illness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25">
      <c r="A85" s="391" t="s">
        <v>2689</v>
      </c>
      <c r="B85" s="319" t="str">
        <f>VLOOKUP(A85,TaskValues_ref!E:F,2,FALSE)</f>
        <v>Educate on complementary foods</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25">
      <c r="A86" s="321" t="s">
        <v>2690</v>
      </c>
      <c r="B86" s="319" t="str">
        <f>VLOOKUP(A86,TaskValues_ref!E:F,2,FALSE)</f>
        <v>Nutrition education for children</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25">
      <c r="A87" s="321" t="s">
        <v>2691</v>
      </c>
      <c r="B87" s="319" t="str">
        <f>VLOOKUP(A87,TaskValues_ref!E:F,2,FALSE)</f>
        <v>STI prevention for sex workers</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25">
      <c r="A88" s="321" t="s">
        <v>2692</v>
      </c>
      <c r="B88" s="319" t="str">
        <f>VLOOKUP(A88,TaskValues_ref!E:F,2,FALSE)</f>
        <v>Risk reduction</v>
      </c>
      <c r="C88" s="64">
        <v>100</v>
      </c>
      <c r="E88" s="320">
        <f t="shared" si="55"/>
        <v>100</v>
      </c>
      <c r="F88" s="319">
        <v>100</v>
      </c>
      <c r="I88" s="320">
        <f t="shared" si="56"/>
        <v>100</v>
      </c>
      <c r="J88" s="319">
        <v>50</v>
      </c>
      <c r="K88" s="321">
        <v>50</v>
      </c>
      <c r="L88" s="321"/>
      <c r="M88" s="319">
        <f>SUMIFS(Cadres_Comprehensive!P:P,Cadres_Comprehensive!A:A,Cadres_Basic!A88)</f>
        <v>0</v>
      </c>
      <c r="O88" s="320">
        <f t="shared" si="57"/>
        <v>100</v>
      </c>
      <c r="P88" s="319">
        <v>100</v>
      </c>
      <c r="R88" s="319">
        <f t="shared" si="73"/>
        <v>0</v>
      </c>
      <c r="T88" s="320">
        <f t="shared" si="74"/>
        <v>100</v>
      </c>
    </row>
    <row r="89" spans="1:20" x14ac:dyDescent="0.25">
      <c r="A89" s="321" t="s">
        <v>2693</v>
      </c>
      <c r="B89" s="319" t="str">
        <f>VLOOKUP(A89,TaskValues_ref!E:F,2,FALSE)</f>
        <v>HIV self-testing</v>
      </c>
      <c r="C89" s="64">
        <v>100</v>
      </c>
      <c r="E89" s="320">
        <f t="shared" ref="E89:E118" si="75">SUM(C89:D89)</f>
        <v>100</v>
      </c>
      <c r="F89" s="319">
        <v>100</v>
      </c>
      <c r="I89" s="320">
        <f t="shared" ref="I89:I90" si="76">SUM(F89:H89)</f>
        <v>100</v>
      </c>
      <c r="J89" s="319">
        <v>50</v>
      </c>
      <c r="K89" s="321">
        <v>50</v>
      </c>
      <c r="L89" s="321"/>
      <c r="M89" s="319">
        <f>SUMIFS(Cadres_Comprehensive!P:P,Cadres_Comprehensive!A:A,Cadres_Basic!A89)</f>
        <v>0</v>
      </c>
      <c r="O89" s="320">
        <f t="shared" ref="O89:O90" si="77">SUM(J89:N89)</f>
        <v>100</v>
      </c>
      <c r="P89" s="319">
        <v>100</v>
      </c>
      <c r="R89" s="319">
        <f t="shared" si="73"/>
        <v>0</v>
      </c>
      <c r="T89" s="320">
        <f t="shared" ref="T89:T90" si="78">SUM(P89:S89)</f>
        <v>100</v>
      </c>
    </row>
    <row r="90" spans="1:20" x14ac:dyDescent="0.25">
      <c r="A90" s="321" t="s">
        <v>2694</v>
      </c>
      <c r="B90" s="319" t="str">
        <f>VLOOKUP(A90,TaskValues_ref!E:F,2,FALSE)</f>
        <v>HIV voluntary counseling &amp; testing</v>
      </c>
      <c r="C90" s="64">
        <v>100</v>
      </c>
      <c r="E90" s="320">
        <f t="shared" si="75"/>
        <v>100</v>
      </c>
      <c r="F90" s="319">
        <v>100</v>
      </c>
      <c r="I90" s="320">
        <f t="shared" si="76"/>
        <v>100</v>
      </c>
      <c r="J90" s="319">
        <v>50</v>
      </c>
      <c r="K90" s="321">
        <v>50</v>
      </c>
      <c r="L90" s="321"/>
      <c r="M90" s="319">
        <f>SUMIFS(Cadres_Comprehensive!P:P,Cadres_Comprehensive!A:A,Cadres_Basic!A90)</f>
        <v>0</v>
      </c>
      <c r="O90" s="320">
        <f t="shared" si="77"/>
        <v>100</v>
      </c>
      <c r="P90" s="319">
        <v>100</v>
      </c>
      <c r="R90" s="319">
        <f t="shared" si="73"/>
        <v>0</v>
      </c>
      <c r="T90" s="320">
        <f t="shared" si="78"/>
        <v>100</v>
      </c>
    </row>
    <row r="91" spans="1:20" x14ac:dyDescent="0.25">
      <c r="A91" s="321" t="s">
        <v>2695</v>
      </c>
      <c r="B91" s="319" t="str">
        <f>VLOOKUP(A91,TaskValues_ref!E:F,2,FALSE)</f>
        <v>HIV provider-initiated counseling &amp; testing</v>
      </c>
      <c r="C91" s="64">
        <v>100</v>
      </c>
      <c r="E91" s="320">
        <f t="shared" si="75"/>
        <v>100</v>
      </c>
      <c r="G91" s="319">
        <v>100</v>
      </c>
      <c r="I91" s="320">
        <f t="shared" ref="I91:I105" si="79">SUM(F91:H91)</f>
        <v>100</v>
      </c>
      <c r="L91" s="319">
        <v>100</v>
      </c>
      <c r="M91" s="319">
        <f>SUMIFS(Cadres_Comprehensive!P:P,Cadres_Comprehensive!A:A,Cadres_Basic!A91)</f>
        <v>0</v>
      </c>
      <c r="O91" s="320">
        <f t="shared" ref="O91:O105" si="80">SUM(J91:N91)</f>
        <v>100</v>
      </c>
      <c r="Q91" s="319">
        <v>100</v>
      </c>
      <c r="R91" s="319">
        <f t="shared" si="67"/>
        <v>0</v>
      </c>
      <c r="T91" s="320">
        <f t="shared" si="68"/>
        <v>100</v>
      </c>
    </row>
    <row r="92" spans="1:20" x14ac:dyDescent="0.25">
      <c r="A92" s="321" t="s">
        <v>2696</v>
      </c>
      <c r="B92" s="319" t="str">
        <f>VLOOKUP(A92,TaskValues_ref!E:F,2,FALSE)</f>
        <v>HIV linkages</v>
      </c>
      <c r="C92" s="64">
        <v>100</v>
      </c>
      <c r="E92" s="320">
        <f t="shared" si="75"/>
        <v>100</v>
      </c>
      <c r="F92" s="321"/>
      <c r="G92" s="319">
        <v>100</v>
      </c>
      <c r="I92" s="320">
        <f t="shared" ref="I92" si="81">SUM(F92:H92)</f>
        <v>100</v>
      </c>
      <c r="K92" s="321"/>
      <c r="L92" s="321">
        <v>100</v>
      </c>
      <c r="M92" s="319">
        <f>SUMIFS(Cadres_Comprehensive!P:P,Cadres_Comprehensive!A:A,Cadres_Basic!A92)</f>
        <v>0</v>
      </c>
      <c r="O92" s="320">
        <f t="shared" si="80"/>
        <v>100</v>
      </c>
      <c r="P92" s="321"/>
      <c r="Q92" s="319">
        <v>100</v>
      </c>
      <c r="R92" s="319">
        <f t="shared" si="67"/>
        <v>0</v>
      </c>
      <c r="T92" s="320">
        <f t="shared" ref="T92" si="82">SUM(P92:S92)</f>
        <v>100</v>
      </c>
    </row>
    <row r="93" spans="1:20" x14ac:dyDescent="0.25">
      <c r="A93" s="321" t="s">
        <v>2699</v>
      </c>
      <c r="B93" s="319" t="str">
        <f>VLOOKUP(A93,TaskValues_ref!E:F,2,FALSE)</f>
        <v>Vector control</v>
      </c>
      <c r="C93" s="64">
        <v>100</v>
      </c>
      <c r="E93" s="320">
        <f t="shared" si="75"/>
        <v>100</v>
      </c>
      <c r="F93" s="321">
        <v>100</v>
      </c>
      <c r="I93" s="320">
        <f t="shared" si="79"/>
        <v>100</v>
      </c>
      <c r="M93" s="319">
        <f>SUMIFS(Cadres_Comprehensive!P:P,Cadres_Comprehensive!A:A,Cadres_Basic!A93)</f>
        <v>100</v>
      </c>
      <c r="O93" s="320">
        <f t="shared" si="80"/>
        <v>100</v>
      </c>
      <c r="R93" s="319">
        <f t="shared" si="67"/>
        <v>100</v>
      </c>
      <c r="T93" s="320">
        <f t="shared" si="68"/>
        <v>100</v>
      </c>
    </row>
    <row r="94" spans="1:20" x14ac:dyDescent="0.25">
      <c r="A94" s="321" t="s">
        <v>2356</v>
      </c>
      <c r="B94" s="319" t="str">
        <f>VLOOKUP(A94,TaskValues_ref!E:F,2,FALSE)</f>
        <v>Uncomplicated malaria in adults</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ref="T94:T96" si="83">SUM(P94:S94)</f>
        <v>100</v>
      </c>
    </row>
    <row r="95" spans="1:20" x14ac:dyDescent="0.25">
      <c r="A95" s="321" t="s">
        <v>2357</v>
      </c>
      <c r="B95" s="319" t="str">
        <f>VLOOKUP(A95,TaskValues_ref!E:F,2,FALSE)</f>
        <v>Uncomplicated malaria in children</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25">
      <c r="A96" s="321" t="s">
        <v>2360</v>
      </c>
      <c r="B96" s="319" t="str">
        <f>VLOOKUP(A96,TaskValues_ref!E:F,2,FALSE)</f>
        <v>Testing non-malaria cases</v>
      </c>
      <c r="C96" s="64">
        <v>100</v>
      </c>
      <c r="E96" s="320">
        <f t="shared" si="75"/>
        <v>100</v>
      </c>
      <c r="F96" s="319">
        <v>100</v>
      </c>
      <c r="I96" s="320">
        <f t="shared" si="79"/>
        <v>100</v>
      </c>
      <c r="J96" s="319">
        <v>50</v>
      </c>
      <c r="K96" s="321">
        <v>50</v>
      </c>
      <c r="L96" s="321"/>
      <c r="M96" s="319">
        <f>SUMIFS(Cadres_Comprehensive!P:P,Cadres_Comprehensive!A:A,Cadres_Basic!A96)</f>
        <v>0</v>
      </c>
      <c r="O96" s="320">
        <f t="shared" si="80"/>
        <v>100</v>
      </c>
      <c r="P96" s="319">
        <v>100</v>
      </c>
      <c r="R96" s="319">
        <f>M96</f>
        <v>0</v>
      </c>
      <c r="T96" s="320">
        <f t="shared" si="83"/>
        <v>100</v>
      </c>
    </row>
    <row r="97" spans="1:20" x14ac:dyDescent="0.25">
      <c r="A97" s="321" t="s">
        <v>2358</v>
      </c>
      <c r="B97" s="319" t="str">
        <f>VLOOKUP(A97,TaskValues_ref!E:F,2,FALSE)</f>
        <v>Severe malaria in adults</v>
      </c>
      <c r="C97" s="64">
        <v>100</v>
      </c>
      <c r="E97" s="320">
        <f t="shared" si="75"/>
        <v>100</v>
      </c>
      <c r="G97" s="319">
        <v>100</v>
      </c>
      <c r="I97" s="320">
        <f t="shared" ref="I97:I98" si="84">SUM(F97:H97)</f>
        <v>100</v>
      </c>
      <c r="L97" s="319">
        <v>100</v>
      </c>
      <c r="M97" s="319">
        <f>SUMIFS(Cadres_Comprehensive!P:P,Cadres_Comprehensive!A:A,Cadres_Basic!A97)</f>
        <v>0</v>
      </c>
      <c r="O97" s="320">
        <f t="shared" ref="O97:O98" si="85">SUM(J97:N97)</f>
        <v>100</v>
      </c>
      <c r="Q97" s="319">
        <v>100</v>
      </c>
      <c r="R97" s="319">
        <f t="shared" ref="R97:R98" si="86">M97</f>
        <v>0</v>
      </c>
      <c r="T97" s="320">
        <f t="shared" ref="T97:T98" si="87">SUM(P97:S97)</f>
        <v>100</v>
      </c>
    </row>
    <row r="98" spans="1:20" x14ac:dyDescent="0.25">
      <c r="A98" s="321" t="s">
        <v>2359</v>
      </c>
      <c r="B98" s="319" t="str">
        <f>VLOOKUP(A98,TaskValues_ref!E:F,2,FALSE)</f>
        <v>Severe malaria in children</v>
      </c>
      <c r="C98" s="64">
        <v>100</v>
      </c>
      <c r="E98" s="320">
        <f t="shared" si="75"/>
        <v>100</v>
      </c>
      <c r="G98" s="319">
        <v>100</v>
      </c>
      <c r="I98" s="320">
        <f t="shared" si="84"/>
        <v>100</v>
      </c>
      <c r="L98" s="319">
        <v>100</v>
      </c>
      <c r="M98" s="319">
        <f>SUMIFS(Cadres_Comprehensive!P:P,Cadres_Comprehensive!A:A,Cadres_Basic!A98)</f>
        <v>0</v>
      </c>
      <c r="O98" s="320">
        <f t="shared" si="85"/>
        <v>100</v>
      </c>
      <c r="Q98" s="319">
        <v>100</v>
      </c>
      <c r="R98" s="319">
        <f t="shared" si="86"/>
        <v>0</v>
      </c>
      <c r="T98" s="320">
        <f t="shared" si="87"/>
        <v>100</v>
      </c>
    </row>
    <row r="99" spans="1:20" x14ac:dyDescent="0.25">
      <c r="A99" s="321" t="s">
        <v>2700</v>
      </c>
      <c r="B99" s="319" t="str">
        <f>VLOOKUP(A99,TaskValues_ref!E:F,2,FALSE)</f>
        <v>Malaria surveillance</v>
      </c>
      <c r="C99" s="64">
        <v>100</v>
      </c>
      <c r="E99" s="320">
        <f t="shared" si="75"/>
        <v>100</v>
      </c>
      <c r="F99" s="319">
        <v>100</v>
      </c>
      <c r="I99" s="320">
        <f t="shared" si="79"/>
        <v>100</v>
      </c>
      <c r="J99" s="319">
        <v>50</v>
      </c>
      <c r="K99" s="321">
        <v>50</v>
      </c>
      <c r="L99" s="321"/>
      <c r="M99" s="319">
        <f>SUMIFS(Cadres_Comprehensive!P:P,Cadres_Comprehensive!A:A,Cadres_Basic!A99)</f>
        <v>0</v>
      </c>
      <c r="O99" s="320">
        <f t="shared" si="80"/>
        <v>100</v>
      </c>
      <c r="P99" s="319">
        <v>100</v>
      </c>
      <c r="R99" s="319">
        <f>M99</f>
        <v>0</v>
      </c>
      <c r="T99" s="320">
        <f t="shared" ref="T99" si="88">SUM(P99:S99)</f>
        <v>100</v>
      </c>
    </row>
    <row r="100" spans="1:20" x14ac:dyDescent="0.25">
      <c r="A100" s="321" t="s">
        <v>2701</v>
      </c>
      <c r="B100" s="319" t="str">
        <f>VLOOKUP(A100,TaskValues_ref!E:F,2,FALSE)</f>
        <v>Risk reduction</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ref="T100:T129" si="89">SUM(P100:S100)</f>
        <v>100</v>
      </c>
    </row>
    <row r="101" spans="1:20" x14ac:dyDescent="0.25">
      <c r="A101" s="321" t="s">
        <v>2702</v>
      </c>
      <c r="B101" s="319" t="str">
        <f>VLOOKUP(A101,TaskValues_ref!E:F,2,FALSE)</f>
        <v>Outbreak detection &amp; response</v>
      </c>
      <c r="C101" s="64">
        <v>100</v>
      </c>
      <c r="E101" s="320">
        <f t="shared" si="75"/>
        <v>100</v>
      </c>
      <c r="F101" s="321">
        <v>100</v>
      </c>
      <c r="I101" s="320">
        <f t="shared" si="79"/>
        <v>100</v>
      </c>
      <c r="M101" s="319">
        <f>SUMIFS(Cadres_Comprehensive!P:P,Cadres_Comprehensive!A:A,Cadres_Basic!A101)</f>
        <v>100</v>
      </c>
      <c r="O101" s="320">
        <f t="shared" si="80"/>
        <v>100</v>
      </c>
      <c r="R101" s="319">
        <f t="shared" si="67"/>
        <v>100</v>
      </c>
      <c r="T101" s="320">
        <f t="shared" si="89"/>
        <v>100</v>
      </c>
    </row>
    <row r="102" spans="1:20" x14ac:dyDescent="0.25">
      <c r="A102" s="321" t="s">
        <v>2375</v>
      </c>
      <c r="B102" s="319" t="str">
        <f>VLOOKUP(A102,TaskValues_ref!E:F,2,FALSE)</f>
        <v>Testing</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25">
      <c r="A103" s="321" t="s">
        <v>2376</v>
      </c>
      <c r="B103" s="319" t="str">
        <f>VLOOKUP(A103,TaskValues_ref!E:F,2,FALSE)</f>
        <v>Follow-up and linkage for positives</v>
      </c>
      <c r="C103" s="64">
        <v>100</v>
      </c>
      <c r="E103" s="320">
        <f t="shared" si="75"/>
        <v>100</v>
      </c>
      <c r="G103" s="319">
        <v>100</v>
      </c>
      <c r="I103" s="320">
        <f t="shared" si="79"/>
        <v>100</v>
      </c>
      <c r="L103" s="319">
        <v>100</v>
      </c>
      <c r="M103" s="319">
        <f>SUMIFS(Cadres_Comprehensive!P:P,Cadres_Comprehensive!A:A,Cadres_Basic!A103)</f>
        <v>0</v>
      </c>
      <c r="O103" s="320">
        <f t="shared" si="80"/>
        <v>100</v>
      </c>
      <c r="Q103" s="319">
        <v>100</v>
      </c>
      <c r="R103" s="319">
        <f t="shared" si="67"/>
        <v>0</v>
      </c>
      <c r="T103" s="320">
        <f t="shared" si="89"/>
        <v>100</v>
      </c>
    </row>
    <row r="104" spans="1:20" x14ac:dyDescent="0.25">
      <c r="A104" s="321" t="s">
        <v>2703</v>
      </c>
      <c r="B104" s="319" t="str">
        <f>VLOOKUP(A104,TaskValues_ref!E:F,2,FALSE)</f>
        <v>Treatment (DOT)</v>
      </c>
      <c r="C104" s="64">
        <v>100</v>
      </c>
      <c r="E104" s="320">
        <f t="shared" ref="E104" si="90">SUM(C104:D104)</f>
        <v>100</v>
      </c>
      <c r="F104" s="319">
        <v>100</v>
      </c>
      <c r="I104" s="320">
        <f t="shared" ref="I104" si="91">SUM(F104:H104)</f>
        <v>100</v>
      </c>
      <c r="J104" s="319">
        <v>50</v>
      </c>
      <c r="K104" s="321">
        <v>50</v>
      </c>
      <c r="L104" s="321"/>
      <c r="M104" s="319">
        <f>SUMIFS(Cadres_Comprehensive!P:P,Cadres_Comprehensive!A:A,Cadres_Basic!A104)</f>
        <v>0</v>
      </c>
      <c r="O104" s="320">
        <f t="shared" ref="O104" si="92">SUM(J104:N104)</f>
        <v>100</v>
      </c>
      <c r="P104" s="319">
        <v>100</v>
      </c>
      <c r="R104" s="319">
        <f>M104</f>
        <v>0</v>
      </c>
      <c r="T104" s="320">
        <f t="shared" ref="T104" si="93">SUM(P104:S104)</f>
        <v>100</v>
      </c>
    </row>
    <row r="105" spans="1:20" x14ac:dyDescent="0.25">
      <c r="A105" s="321" t="s">
        <v>2704</v>
      </c>
      <c r="B105" s="319" t="str">
        <f>VLOOKUP(A105,TaskValues_ref!E:F,2,FALSE)</f>
        <v>HIV prevention for TB patients</v>
      </c>
      <c r="C105" s="64">
        <v>100</v>
      </c>
      <c r="E105" s="320">
        <f t="shared" si="75"/>
        <v>100</v>
      </c>
      <c r="G105" s="319">
        <v>100</v>
      </c>
      <c r="I105" s="320">
        <f t="shared" si="79"/>
        <v>100</v>
      </c>
      <c r="L105" s="319">
        <v>100</v>
      </c>
      <c r="M105" s="319">
        <f>SUMIFS(Cadres_Comprehensive!P:P,Cadres_Comprehensive!A:A,Cadres_Basic!A105)</f>
        <v>0</v>
      </c>
      <c r="O105" s="320">
        <f t="shared" si="80"/>
        <v>100</v>
      </c>
      <c r="Q105" s="319">
        <v>100</v>
      </c>
      <c r="R105" s="319">
        <f t="shared" si="67"/>
        <v>0</v>
      </c>
      <c r="T105" s="320">
        <f t="shared" si="89"/>
        <v>100</v>
      </c>
    </row>
    <row r="106" spans="1:20" x14ac:dyDescent="0.25">
      <c r="A106" s="321" t="s">
        <v>2385</v>
      </c>
      <c r="B106" s="319" t="str">
        <f>VLOOKUP(A106,TaskValues_ref!E:F,2,FALSE)</f>
        <v>Promote protection from tobacco smoke</v>
      </c>
      <c r="C106" s="64">
        <v>100</v>
      </c>
      <c r="E106" s="320">
        <f t="shared" ref="E106:E110" si="94">SUM(C106:D106)</f>
        <v>100</v>
      </c>
      <c r="F106" s="319">
        <v>100</v>
      </c>
      <c r="I106" s="320">
        <f t="shared" ref="I106:I118" si="95">SUM(F106:H106)</f>
        <v>100</v>
      </c>
      <c r="J106" s="319">
        <v>50</v>
      </c>
      <c r="K106" s="321">
        <v>50</v>
      </c>
      <c r="L106" s="321"/>
      <c r="M106" s="319">
        <f>SUMIFS(Cadres_Comprehensive!P:P,Cadres_Comprehensive!A:A,Cadres_Basic!A106)</f>
        <v>0</v>
      </c>
      <c r="O106" s="320">
        <f t="shared" ref="O106:O118" si="96">SUM(J106:N106)</f>
        <v>100</v>
      </c>
      <c r="P106" s="319">
        <v>100</v>
      </c>
      <c r="R106" s="319">
        <f>M106</f>
        <v>0</v>
      </c>
      <c r="T106" s="320">
        <f t="shared" ref="T106:T110" si="97">SUM(P106:S106)</f>
        <v>100</v>
      </c>
    </row>
    <row r="107" spans="1:20" x14ac:dyDescent="0.25">
      <c r="A107" s="321" t="s">
        <v>2386</v>
      </c>
      <c r="B107" s="319" t="str">
        <f>VLOOKUP(A107,TaskValues_ref!E:F,2,FALSE)</f>
        <v>Campaigns re: alcohol use</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25">
      <c r="A108" s="321" t="s">
        <v>2387</v>
      </c>
      <c r="B108" s="319" t="str">
        <f>VLOOKUP(A108,TaskValues_ref!E:F,2,FALSE)</f>
        <v>Community-level physical activity</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25">
      <c r="A109" s="321" t="s">
        <v>2705</v>
      </c>
      <c r="B109" s="319" t="str">
        <f>VLOOKUP(A109,TaskValues_ref!E:F,2,FALSE)</f>
        <v>Awareness on risk factors</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25">
      <c r="A110" s="321" t="s">
        <v>2707</v>
      </c>
      <c r="B110" s="319" t="str">
        <f>VLOOKUP(A110,TaskValues_ref!E:F,2,FALSE)</f>
        <v>Breast cancer education</v>
      </c>
      <c r="C110" s="64">
        <v>100</v>
      </c>
      <c r="E110" s="320">
        <f t="shared" si="94"/>
        <v>100</v>
      </c>
      <c r="F110" s="319">
        <v>100</v>
      </c>
      <c r="I110" s="320">
        <f t="shared" si="95"/>
        <v>100</v>
      </c>
      <c r="J110" s="319">
        <v>50</v>
      </c>
      <c r="K110" s="321">
        <v>50</v>
      </c>
      <c r="L110" s="321"/>
      <c r="M110" s="319">
        <f>SUMIFS(Cadres_Comprehensive!P:P,Cadres_Comprehensive!A:A,Cadres_Basic!A110)</f>
        <v>0</v>
      </c>
      <c r="O110" s="320">
        <f t="shared" si="96"/>
        <v>100</v>
      </c>
      <c r="P110" s="319">
        <v>100</v>
      </c>
      <c r="R110" s="319">
        <f>M110</f>
        <v>0</v>
      </c>
      <c r="T110" s="320">
        <f t="shared" si="97"/>
        <v>100</v>
      </c>
    </row>
    <row r="111" spans="1:20" x14ac:dyDescent="0.25">
      <c r="A111" s="321" t="s">
        <v>2708</v>
      </c>
      <c r="B111" s="319" t="str">
        <f>VLOOKUP(A111,TaskValues_ref!E:F,2,FALSE)</f>
        <v>Clinical breast exams</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ref="R111:R118" si="98">M111</f>
        <v>0</v>
      </c>
      <c r="T111" s="320">
        <f t="shared" ref="T111:T118" si="99">SUM(P111:S111)</f>
        <v>100</v>
      </c>
    </row>
    <row r="112" spans="1:20" x14ac:dyDescent="0.25">
      <c r="A112" s="321" t="s">
        <v>2709</v>
      </c>
      <c r="B112" s="319" t="str">
        <f>VLOOKUP(A112,TaskValues_ref!E:F,2,FALSE)</f>
        <v>Palliative care for cancer</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25">
      <c r="A113" s="321" t="s">
        <v>2710</v>
      </c>
      <c r="B113" s="319" t="str">
        <f>VLOOKUP(A113,TaskValues_ref!E:F,2,FALSE)</f>
        <v>Lifestyle counseling</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25">
      <c r="A114" s="321" t="s">
        <v>2711</v>
      </c>
      <c r="B114" s="319" t="str">
        <f>VLOOKUP(A114,TaskValues_ref!E:F,2,FALSE)</f>
        <v>Hypertension screening</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25">
      <c r="A115" s="321" t="s">
        <v>2712</v>
      </c>
      <c r="B115" s="319" t="str">
        <f>VLOOKUP(A115,TaskValues_ref!E:F,2,FALSE)</f>
        <v>Hypertension routine care</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25">
      <c r="A116" s="321" t="s">
        <v>2713</v>
      </c>
      <c r="B116" s="319" t="str">
        <f>VLOOKUP(A116,TaskValues_ref!E:F,2,FALSE)</f>
        <v>Lifestyle counseling</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25">
      <c r="A117" s="321" t="s">
        <v>2714</v>
      </c>
      <c r="B117" s="319" t="str">
        <f>VLOOKUP(A117,TaskValues_ref!E:F,2,FALSE)</f>
        <v>Screening for type 2 diabetes</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25">
      <c r="A118" s="321" t="s">
        <v>2715</v>
      </c>
      <c r="B118" s="319" t="str">
        <f>VLOOKUP(A118,TaskValues_ref!E:F,2,FALSE)</f>
        <v>Diabetes routine care</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25">
      <c r="A119" s="321" t="s">
        <v>2716</v>
      </c>
      <c r="B119" s="319" t="str">
        <f>VLOOKUP(A119,TaskValues_ref!E:F,2,FALSE)</f>
        <v>Smoking cessation</v>
      </c>
      <c r="C119" s="64">
        <v>100</v>
      </c>
      <c r="E119" s="320">
        <f t="shared" ref="E119:E124" si="100">SUM(C119:D119)</f>
        <v>100</v>
      </c>
      <c r="F119" s="319">
        <v>100</v>
      </c>
      <c r="I119" s="320">
        <f t="shared" ref="I119:I124" si="101">SUM(F119:H119)</f>
        <v>100</v>
      </c>
      <c r="J119" s="319">
        <v>50</v>
      </c>
      <c r="K119" s="321">
        <v>50</v>
      </c>
      <c r="L119" s="321"/>
      <c r="M119" s="319">
        <f>SUMIFS(Cadres_Comprehensive!P:P,Cadres_Comprehensive!A:A,Cadres_Basic!A119)</f>
        <v>0</v>
      </c>
      <c r="O119" s="320">
        <f t="shared" ref="O119:O124" si="102">SUM(J119:N119)</f>
        <v>100</v>
      </c>
      <c r="P119" s="319">
        <v>100</v>
      </c>
      <c r="R119" s="319">
        <f t="shared" ref="R119:R124" si="103">M119</f>
        <v>0</v>
      </c>
      <c r="T119" s="320">
        <f t="shared" ref="T119:T124" si="104">SUM(P119:S119)</f>
        <v>100</v>
      </c>
    </row>
    <row r="120" spans="1:20" x14ac:dyDescent="0.25">
      <c r="A120" s="321" t="s">
        <v>2717</v>
      </c>
      <c r="B120" s="319" t="str">
        <f>VLOOKUP(A120,TaskValues_ref!E:F,2,FALSE)</f>
        <v>Prevention of risk factors</v>
      </c>
      <c r="C120" s="64">
        <v>100</v>
      </c>
      <c r="E120" s="320">
        <f t="shared" si="100"/>
        <v>100</v>
      </c>
      <c r="F120" s="319">
        <v>100</v>
      </c>
      <c r="I120" s="320">
        <f t="shared" si="101"/>
        <v>100</v>
      </c>
      <c r="J120" s="319">
        <v>50</v>
      </c>
      <c r="K120" s="321">
        <v>50</v>
      </c>
      <c r="L120" s="321"/>
      <c r="M120" s="319">
        <f>SUMIFS(Cadres_Comprehensive!P:P,Cadres_Comprehensive!A:A,Cadres_Basic!A120)</f>
        <v>0</v>
      </c>
      <c r="O120" s="320">
        <f t="shared" si="102"/>
        <v>100</v>
      </c>
      <c r="P120" s="319">
        <v>100</v>
      </c>
      <c r="R120" s="319">
        <f t="shared" si="103"/>
        <v>0</v>
      </c>
      <c r="T120" s="320">
        <f t="shared" si="104"/>
        <v>100</v>
      </c>
    </row>
    <row r="121" spans="1:20" x14ac:dyDescent="0.25">
      <c r="A121" s="321" t="s">
        <v>2444</v>
      </c>
      <c r="B121" s="319" t="str">
        <f>VLOOKUP(A121,TaskValues_ref!E:F,2,FALSE)</f>
        <v>Generate community awareness</v>
      </c>
      <c r="C121" s="64">
        <v>100</v>
      </c>
      <c r="E121" s="320">
        <f t="shared" si="100"/>
        <v>100</v>
      </c>
      <c r="F121" s="319">
        <v>100</v>
      </c>
      <c r="I121" s="320">
        <f t="shared" si="101"/>
        <v>100</v>
      </c>
      <c r="J121" s="319">
        <v>50</v>
      </c>
      <c r="K121" s="321">
        <v>50</v>
      </c>
      <c r="L121" s="321"/>
      <c r="M121" s="319">
        <f>SUMIFS(Cadres_Comprehensive!P:P,Cadres_Comprehensive!A:A,Cadres_Basic!A121)</f>
        <v>0</v>
      </c>
      <c r="O121" s="320">
        <f t="shared" si="102"/>
        <v>100</v>
      </c>
      <c r="P121" s="319">
        <v>100</v>
      </c>
      <c r="R121" s="319">
        <f t="shared" si="103"/>
        <v>0</v>
      </c>
      <c r="T121" s="320">
        <f t="shared" si="104"/>
        <v>100</v>
      </c>
    </row>
    <row r="122" spans="1:20" x14ac:dyDescent="0.25">
      <c r="A122" s="321" t="s">
        <v>2445</v>
      </c>
      <c r="B122" s="319" t="str">
        <f>VLOOKUP(A122,TaskValues_ref!E:F,2,FALSE)</f>
        <v>Identify &amp; link to care</v>
      </c>
      <c r="C122" s="64">
        <v>100</v>
      </c>
      <c r="E122" s="320">
        <f t="shared" si="100"/>
        <v>100</v>
      </c>
      <c r="F122" s="319">
        <v>100</v>
      </c>
      <c r="I122" s="320">
        <f t="shared" si="101"/>
        <v>100</v>
      </c>
      <c r="J122" s="319">
        <v>50</v>
      </c>
      <c r="K122" s="321">
        <v>50</v>
      </c>
      <c r="L122" s="321"/>
      <c r="M122" s="319">
        <f>SUMIFS(Cadres_Comprehensive!P:P,Cadres_Comprehensive!A:A,Cadres_Basic!A122)</f>
        <v>0</v>
      </c>
      <c r="O122" s="320">
        <f t="shared" si="102"/>
        <v>100</v>
      </c>
      <c r="P122" s="319">
        <v>100</v>
      </c>
      <c r="R122" s="319">
        <f t="shared" si="103"/>
        <v>0</v>
      </c>
      <c r="T122" s="320">
        <f t="shared" si="104"/>
        <v>100</v>
      </c>
    </row>
    <row r="123" spans="1:20" x14ac:dyDescent="0.25">
      <c r="A123" s="321" t="s">
        <v>2720</v>
      </c>
      <c r="B123" s="319" t="str">
        <f>VLOOKUP(A123,TaskValues_ref!E:F,2,FALSE)</f>
        <v>Workplace stress reduction</v>
      </c>
      <c r="C123" s="64">
        <v>100</v>
      </c>
      <c r="E123" s="320">
        <f t="shared" si="100"/>
        <v>100</v>
      </c>
      <c r="F123" s="319">
        <v>100</v>
      </c>
      <c r="I123" s="320">
        <f t="shared" si="101"/>
        <v>100</v>
      </c>
      <c r="J123" s="319">
        <v>50</v>
      </c>
      <c r="K123" s="321">
        <v>50</v>
      </c>
      <c r="L123" s="321"/>
      <c r="M123" s="319">
        <f>SUMIFS(Cadres_Comprehensive!P:P,Cadres_Comprehensive!A:A,Cadres_Basic!A123)</f>
        <v>0</v>
      </c>
      <c r="O123" s="320">
        <f t="shared" si="102"/>
        <v>100</v>
      </c>
      <c r="P123" s="319">
        <v>100</v>
      </c>
      <c r="R123" s="319">
        <f t="shared" si="103"/>
        <v>0</v>
      </c>
      <c r="T123" s="320">
        <f t="shared" si="104"/>
        <v>100</v>
      </c>
    </row>
    <row r="124" spans="1:20" x14ac:dyDescent="0.25">
      <c r="A124" s="321" t="s">
        <v>2721</v>
      </c>
      <c r="B124" s="319" t="str">
        <f>VLOOKUP(A124,TaskValues_ref!E:F,2,FALSE)</f>
        <v>School-based mental health programs</v>
      </c>
      <c r="C124" s="64">
        <v>100</v>
      </c>
      <c r="E124" s="320">
        <f t="shared" si="100"/>
        <v>100</v>
      </c>
      <c r="F124" s="319">
        <v>100</v>
      </c>
      <c r="I124" s="320">
        <f t="shared" si="101"/>
        <v>100</v>
      </c>
      <c r="J124" s="319">
        <v>50</v>
      </c>
      <c r="K124" s="321">
        <v>50</v>
      </c>
      <c r="L124" s="321"/>
      <c r="M124" s="319">
        <f>SUMIFS(Cadres_Comprehensive!P:P,Cadres_Comprehensive!A:A,Cadres_Basic!A124)</f>
        <v>0</v>
      </c>
      <c r="O124" s="320">
        <f t="shared" si="102"/>
        <v>100</v>
      </c>
      <c r="P124" s="319">
        <v>100</v>
      </c>
      <c r="R124" s="319">
        <f t="shared" si="103"/>
        <v>0</v>
      </c>
      <c r="T124" s="320">
        <f t="shared" si="104"/>
        <v>100</v>
      </c>
    </row>
    <row r="125" spans="1:20" x14ac:dyDescent="0.25">
      <c r="A125" s="321" t="s">
        <v>2722</v>
      </c>
      <c r="B125" s="319" t="str">
        <f>VLOOKUP(A125,TaskValues_ref!E:F,2,FALSE)</f>
        <v>Identify &amp; assess drug use</v>
      </c>
      <c r="C125" s="64">
        <v>100</v>
      </c>
      <c r="E125" s="320">
        <f t="shared" ref="E125:E152" si="105">SUM(C125:D125)</f>
        <v>100</v>
      </c>
      <c r="F125" s="321">
        <v>50</v>
      </c>
      <c r="G125" s="319">
        <v>50</v>
      </c>
      <c r="I125" s="320">
        <f t="shared" ref="I125:I152" si="106">SUM(F125:H125)</f>
        <v>100</v>
      </c>
      <c r="J125" s="321">
        <v>25</v>
      </c>
      <c r="K125" s="321">
        <v>25</v>
      </c>
      <c r="L125" s="321">
        <v>50</v>
      </c>
      <c r="M125" s="319">
        <f>SUMIFS(Cadres_Comprehensive!P:P,Cadres_Comprehensive!A:A,Cadres_Basic!A125)</f>
        <v>0</v>
      </c>
      <c r="O125" s="320">
        <f t="shared" ref="O125:O152" si="107">SUM(J125:N125)</f>
        <v>100</v>
      </c>
      <c r="P125" s="321">
        <v>50</v>
      </c>
      <c r="Q125" s="319">
        <v>50</v>
      </c>
      <c r="R125" s="319">
        <f t="shared" si="67"/>
        <v>0</v>
      </c>
      <c r="T125" s="320">
        <f t="shared" si="89"/>
        <v>100</v>
      </c>
    </row>
    <row r="126" spans="1:20" x14ac:dyDescent="0.25">
      <c r="A126" s="321" t="s">
        <v>2723</v>
      </c>
      <c r="B126" s="319" t="str">
        <f>VLOOKUP(A126,TaskValues_ref!E:F,2,FALSE)</f>
        <v>Safer storage of pesticides</v>
      </c>
      <c r="C126" s="64">
        <v>100</v>
      </c>
      <c r="E126" s="320">
        <f t="shared" si="105"/>
        <v>100</v>
      </c>
      <c r="F126" s="321">
        <v>100</v>
      </c>
      <c r="I126" s="320">
        <f t="shared" si="106"/>
        <v>100</v>
      </c>
      <c r="M126" s="319">
        <f>SUMIFS(Cadres_Comprehensive!P:P,Cadres_Comprehensive!A:A,Cadres_Basic!A126)</f>
        <v>100</v>
      </c>
      <c r="O126" s="320">
        <f t="shared" si="107"/>
        <v>100</v>
      </c>
      <c r="R126" s="319">
        <f t="shared" si="67"/>
        <v>100</v>
      </c>
      <c r="T126" s="320">
        <f t="shared" si="89"/>
        <v>100</v>
      </c>
    </row>
    <row r="127" spans="1:20" x14ac:dyDescent="0.25">
      <c r="A127" s="321" t="s">
        <v>2724</v>
      </c>
      <c r="B127" s="319" t="str">
        <f>VLOOKUP(A127,TaskValues_ref!E:F,2,FALSE)</f>
        <v>Emergency poisoning response</v>
      </c>
      <c r="C127" s="64">
        <v>100</v>
      </c>
      <c r="E127" s="320">
        <f t="shared" si="105"/>
        <v>100</v>
      </c>
      <c r="F127" s="321">
        <v>50</v>
      </c>
      <c r="G127" s="319">
        <v>50</v>
      </c>
      <c r="I127" s="320">
        <f t="shared" ref="I127" si="108">SUM(F127:H127)</f>
        <v>100</v>
      </c>
      <c r="J127" s="321"/>
      <c r="K127" s="321"/>
      <c r="L127" s="321"/>
      <c r="M127" s="319">
        <f>SUMIFS(Cadres_Comprehensive!P:P,Cadres_Comprehensive!A:A,Cadres_Basic!A127)</f>
        <v>100</v>
      </c>
      <c r="O127" s="320">
        <f t="shared" ref="O127" si="109">SUM(J127:N127)</f>
        <v>100</v>
      </c>
      <c r="P127" s="321"/>
      <c r="R127" s="319">
        <f t="shared" ref="R127" si="110">M127</f>
        <v>100</v>
      </c>
      <c r="T127" s="320">
        <f t="shared" ref="T127" si="111">SUM(P127:S127)</f>
        <v>100</v>
      </c>
    </row>
    <row r="128" spans="1:20" x14ac:dyDescent="0.25">
      <c r="A128" s="321" t="s">
        <v>2725</v>
      </c>
      <c r="B128" s="319" t="str">
        <f>VLOOKUP(A128,TaskValues_ref!E:F,2,FALSE)</f>
        <v>Awareness &amp; screening for cataracts</v>
      </c>
      <c r="C128" s="64">
        <v>100</v>
      </c>
      <c r="E128" s="320">
        <f t="shared" si="105"/>
        <v>100</v>
      </c>
      <c r="F128" s="321">
        <v>50</v>
      </c>
      <c r="G128" s="319">
        <v>50</v>
      </c>
      <c r="I128" s="320">
        <f t="shared" ref="I128" si="112">SUM(F128:H128)</f>
        <v>100</v>
      </c>
      <c r="J128" s="321">
        <v>25</v>
      </c>
      <c r="K128" s="321">
        <v>25</v>
      </c>
      <c r="L128" s="321">
        <v>50</v>
      </c>
      <c r="M128" s="319">
        <f>SUMIFS(Cadres_Comprehensive!P:P,Cadres_Comprehensive!A:A,Cadres_Basic!A128)</f>
        <v>0</v>
      </c>
      <c r="O128" s="320">
        <f t="shared" ref="O128" si="113">SUM(J128:N128)</f>
        <v>100</v>
      </c>
      <c r="P128" s="321">
        <v>50</v>
      </c>
      <c r="Q128" s="319">
        <v>50</v>
      </c>
      <c r="R128" s="319">
        <f t="shared" ref="R128" si="114">M128</f>
        <v>0</v>
      </c>
      <c r="T128" s="320">
        <f t="shared" ref="T128" si="115">SUM(P128:S128)</f>
        <v>100</v>
      </c>
    </row>
    <row r="129" spans="1:20" x14ac:dyDescent="0.25">
      <c r="A129" s="321" t="s">
        <v>2726</v>
      </c>
      <c r="B129" s="319" t="str">
        <f>VLOOKUP(A129,TaskValues_ref!E:F,2,FALSE)</f>
        <v>Awareness of eye glasses</v>
      </c>
      <c r="C129" s="64">
        <v>100</v>
      </c>
      <c r="E129" s="320">
        <f t="shared" si="105"/>
        <v>100</v>
      </c>
      <c r="F129" s="321">
        <v>100</v>
      </c>
      <c r="I129" s="320">
        <f t="shared" si="106"/>
        <v>100</v>
      </c>
      <c r="J129" s="321">
        <v>50</v>
      </c>
      <c r="K129" s="321">
        <v>50</v>
      </c>
      <c r="M129" s="319">
        <f>SUMIFS(Cadres_Comprehensive!P:P,Cadres_Comprehensive!A:A,Cadres_Basic!A129)</f>
        <v>0</v>
      </c>
      <c r="O129" s="320">
        <f t="shared" si="107"/>
        <v>100</v>
      </c>
      <c r="P129" s="321">
        <v>100</v>
      </c>
      <c r="R129" s="319">
        <f t="shared" si="67"/>
        <v>0</v>
      </c>
      <c r="T129" s="320">
        <f t="shared" si="89"/>
        <v>100</v>
      </c>
    </row>
    <row r="130" spans="1:20" x14ac:dyDescent="0.25">
      <c r="A130" s="321" t="s">
        <v>2727</v>
      </c>
      <c r="B130" s="319" t="str">
        <f>VLOOKUP(A130,TaskValues_ref!E:F,2,FALSE)</f>
        <v>School screenings for vision impairment</v>
      </c>
      <c r="C130" s="64">
        <v>100</v>
      </c>
      <c r="E130" s="320">
        <f t="shared" si="105"/>
        <v>100</v>
      </c>
      <c r="F130" s="319">
        <v>100</v>
      </c>
      <c r="I130" s="320">
        <f t="shared" si="106"/>
        <v>100</v>
      </c>
      <c r="J130" s="319">
        <v>50</v>
      </c>
      <c r="K130" s="321">
        <v>50</v>
      </c>
      <c r="L130" s="321"/>
      <c r="M130" s="319">
        <f>SUMIFS(Cadres_Comprehensive!P:P,Cadres_Comprehensive!A:A,Cadres_Basic!A130)</f>
        <v>0</v>
      </c>
      <c r="O130" s="320">
        <f t="shared" si="107"/>
        <v>100</v>
      </c>
      <c r="P130" s="319">
        <v>100</v>
      </c>
      <c r="R130" s="319">
        <f>M130</f>
        <v>0</v>
      </c>
      <c r="T130" s="320">
        <f t="shared" ref="T130" si="116">SUM(P130:S130)</f>
        <v>100</v>
      </c>
    </row>
    <row r="131" spans="1:20" x14ac:dyDescent="0.25">
      <c r="A131" s="321" t="s">
        <v>2728</v>
      </c>
      <c r="B131" s="319" t="str">
        <f>VLOOKUP(A131,TaskValues_ref!E:F,2,FALSE)</f>
        <v>Opportunistic screenings for vision impairment</v>
      </c>
      <c r="C131" s="64">
        <v>100</v>
      </c>
      <c r="E131" s="320">
        <f t="shared" si="105"/>
        <v>100</v>
      </c>
      <c r="G131" s="319">
        <v>100</v>
      </c>
      <c r="I131" s="320">
        <f t="shared" si="106"/>
        <v>100</v>
      </c>
      <c r="J131" s="321">
        <v>50</v>
      </c>
      <c r="K131" s="321">
        <v>50</v>
      </c>
      <c r="M131" s="319">
        <f>SUMIFS(Cadres_Comprehensive!P:P,Cadres_Comprehensive!A:A,Cadres_Basic!A131)</f>
        <v>0</v>
      </c>
      <c r="O131" s="320">
        <f t="shared" si="107"/>
        <v>100</v>
      </c>
      <c r="P131" s="321">
        <v>100</v>
      </c>
      <c r="R131" s="319">
        <f t="shared" ref="R131:R155" si="117">M131</f>
        <v>0</v>
      </c>
      <c r="T131" s="320">
        <f t="shared" ref="T131:T156" si="118">SUM(P131:S131)</f>
        <v>100</v>
      </c>
    </row>
    <row r="132" spans="1:20" x14ac:dyDescent="0.25">
      <c r="A132" s="321" t="s">
        <v>2729</v>
      </c>
      <c r="B132" s="319" t="str">
        <f>VLOOKUP(A132,TaskValues_ref!E:F,2,FALSE)</f>
        <v>Awareness &amp; screening for glaucoma</v>
      </c>
      <c r="C132" s="64">
        <v>100</v>
      </c>
      <c r="E132" s="320">
        <f t="shared" si="105"/>
        <v>100</v>
      </c>
      <c r="F132" s="321">
        <v>25</v>
      </c>
      <c r="G132" s="321">
        <v>75</v>
      </c>
      <c r="I132" s="320">
        <f t="shared" si="106"/>
        <v>100</v>
      </c>
      <c r="J132" s="321">
        <v>25</v>
      </c>
      <c r="K132" s="321">
        <v>25</v>
      </c>
      <c r="L132" s="321">
        <v>50</v>
      </c>
      <c r="M132" s="319">
        <f>SUMIFS(Cadres_Comprehensive!P:P,Cadres_Comprehensive!A:A,Cadres_Basic!A132)</f>
        <v>0</v>
      </c>
      <c r="O132" s="320">
        <f t="shared" ref="O132:O133" si="119">SUM(J132:N132)</f>
        <v>100</v>
      </c>
      <c r="P132" s="321">
        <v>50</v>
      </c>
      <c r="Q132" s="319">
        <v>50</v>
      </c>
      <c r="R132" s="319">
        <f t="shared" ref="R132:R133" si="120">M132</f>
        <v>0</v>
      </c>
      <c r="T132" s="320">
        <f t="shared" ref="T132:T133" si="121">SUM(P132:S132)</f>
        <v>100</v>
      </c>
    </row>
    <row r="133" spans="1:20" x14ac:dyDescent="0.25">
      <c r="A133" s="321" t="s">
        <v>2594</v>
      </c>
      <c r="B133" s="319" t="str">
        <f>VLOOKUP(A133,TaskValues_ref!E:F,2,FALSE)</f>
        <v>Basic first aid</v>
      </c>
      <c r="C133" s="64">
        <v>100</v>
      </c>
      <c r="E133" s="320">
        <f t="shared" si="105"/>
        <v>100</v>
      </c>
      <c r="F133" s="321">
        <v>25</v>
      </c>
      <c r="G133" s="321">
        <v>75</v>
      </c>
      <c r="I133" s="320">
        <f t="shared" si="106"/>
        <v>100</v>
      </c>
      <c r="J133" s="321">
        <v>25</v>
      </c>
      <c r="K133" s="321">
        <v>25</v>
      </c>
      <c r="L133" s="321">
        <v>50</v>
      </c>
      <c r="M133" s="319">
        <f>SUMIFS(Cadres_Comprehensive!P:P,Cadres_Comprehensive!A:A,Cadres_Basic!A133)</f>
        <v>0</v>
      </c>
      <c r="O133" s="320">
        <f t="shared" si="119"/>
        <v>100</v>
      </c>
      <c r="P133" s="321">
        <v>50</v>
      </c>
      <c r="Q133" s="319">
        <v>50</v>
      </c>
      <c r="R133" s="319">
        <f t="shared" si="120"/>
        <v>0</v>
      </c>
      <c r="T133" s="320">
        <f t="shared" si="121"/>
        <v>100</v>
      </c>
    </row>
    <row r="134" spans="1:20" x14ac:dyDescent="0.25">
      <c r="A134" s="321" t="s">
        <v>2453</v>
      </c>
      <c r="B134" s="319" t="str">
        <f>VLOOKUP(A134,TaskValues_ref!E:F,2,FALSE)</f>
        <v>Surveillance for NTDs</v>
      </c>
      <c r="C134" s="64">
        <v>100</v>
      </c>
      <c r="E134" s="320">
        <f t="shared" si="105"/>
        <v>100</v>
      </c>
      <c r="F134" s="321">
        <v>100</v>
      </c>
      <c r="I134" s="320">
        <f t="shared" si="106"/>
        <v>100</v>
      </c>
      <c r="M134" s="319">
        <f>SUMIFS(Cadres_Comprehensive!P:P,Cadres_Comprehensive!A:A,Cadres_Basic!A134)</f>
        <v>100</v>
      </c>
      <c r="O134" s="320">
        <f t="shared" si="107"/>
        <v>100</v>
      </c>
      <c r="R134" s="319">
        <f t="shared" si="117"/>
        <v>100</v>
      </c>
      <c r="T134" s="320">
        <f t="shared" si="118"/>
        <v>100</v>
      </c>
    </row>
    <row r="135" spans="1:20" x14ac:dyDescent="0.25">
      <c r="A135" s="321" t="s">
        <v>2732</v>
      </c>
      <c r="B135" s="319" t="str">
        <f>VLOOKUP(A135,TaskValues_ref!E:F,2,FALSE)</f>
        <v>LF screening &amp; referral</v>
      </c>
      <c r="C135" s="64">
        <v>100</v>
      </c>
      <c r="E135" s="320">
        <f t="shared" si="105"/>
        <v>100</v>
      </c>
      <c r="F135" s="319">
        <v>100</v>
      </c>
      <c r="I135" s="320">
        <f t="shared" si="106"/>
        <v>100</v>
      </c>
      <c r="J135" s="319">
        <v>50</v>
      </c>
      <c r="K135" s="321">
        <v>50</v>
      </c>
      <c r="L135" s="321"/>
      <c r="M135" s="319">
        <f>SUMIFS(Cadres_Comprehensive!P:P,Cadres_Comprehensive!A:A,Cadres_Basic!A135)</f>
        <v>0</v>
      </c>
      <c r="O135" s="320">
        <f t="shared" si="107"/>
        <v>100</v>
      </c>
      <c r="P135" s="319">
        <v>100</v>
      </c>
      <c r="R135" s="319">
        <f>M135</f>
        <v>0</v>
      </c>
      <c r="T135" s="320">
        <f t="shared" ref="T135" si="122">SUM(P135:S135)</f>
        <v>100</v>
      </c>
    </row>
    <row r="136" spans="1:20" x14ac:dyDescent="0.25">
      <c r="A136" s="321" t="s">
        <v>2733</v>
      </c>
      <c r="B136" s="319" t="str">
        <f>VLOOKUP(A136,TaskValues_ref!E:F,2,FALSE)</f>
        <v>LF MDA</v>
      </c>
      <c r="C136" s="64">
        <v>100</v>
      </c>
      <c r="E136" s="320">
        <f t="shared" si="105"/>
        <v>100</v>
      </c>
      <c r="F136" s="319">
        <v>100</v>
      </c>
      <c r="I136" s="320">
        <f t="shared" si="106"/>
        <v>100</v>
      </c>
      <c r="M136" s="319">
        <f>SUMIFS(Cadres_Comprehensive!P:P,Cadres_Comprehensive!A:A,Cadres_Basic!A136)</f>
        <v>100</v>
      </c>
      <c r="O136" s="320">
        <f t="shared" si="107"/>
        <v>100</v>
      </c>
      <c r="R136" s="319">
        <f t="shared" si="117"/>
        <v>100</v>
      </c>
      <c r="T136" s="320">
        <f t="shared" si="118"/>
        <v>100</v>
      </c>
    </row>
    <row r="137" spans="1:20" x14ac:dyDescent="0.25">
      <c r="A137" s="321" t="s">
        <v>2734</v>
      </c>
      <c r="B137" s="319" t="str">
        <f>VLOOKUP(A137,TaskValues_ref!E:F,2,FALSE)</f>
        <v>LLINs and IRS</v>
      </c>
      <c r="C137" s="64">
        <v>100</v>
      </c>
      <c r="E137" s="320">
        <f t="shared" si="105"/>
        <v>100</v>
      </c>
      <c r="F137" s="319">
        <v>100</v>
      </c>
      <c r="I137" s="320">
        <f t="shared" si="106"/>
        <v>100</v>
      </c>
      <c r="M137" s="319">
        <f>SUMIFS(Cadres_Comprehensive!P:P,Cadres_Comprehensive!A:A,Cadres_Basic!A137)</f>
        <v>100</v>
      </c>
      <c r="O137" s="320">
        <f t="shared" si="107"/>
        <v>100</v>
      </c>
      <c r="R137" s="319">
        <f t="shared" si="117"/>
        <v>100</v>
      </c>
      <c r="T137" s="320">
        <f t="shared" si="118"/>
        <v>100</v>
      </c>
    </row>
    <row r="138" spans="1:20" x14ac:dyDescent="0.25">
      <c r="A138" s="321" t="s">
        <v>2735</v>
      </c>
      <c r="B138" s="319" t="str">
        <f>VLOOKUP(A138,TaskValues_ref!E:F,2,FALSE)</f>
        <v>LF behavior change</v>
      </c>
      <c r="C138" s="64">
        <v>100</v>
      </c>
      <c r="E138" s="320">
        <f t="shared" si="105"/>
        <v>100</v>
      </c>
      <c r="F138" s="319">
        <v>100</v>
      </c>
      <c r="I138" s="320">
        <f t="shared" si="106"/>
        <v>100</v>
      </c>
      <c r="M138" s="319">
        <v>100</v>
      </c>
      <c r="O138" s="320">
        <f t="shared" si="107"/>
        <v>100</v>
      </c>
      <c r="R138" s="319">
        <v>100</v>
      </c>
      <c r="T138" s="320">
        <f t="shared" si="118"/>
        <v>100</v>
      </c>
    </row>
    <row r="139" spans="1:20" x14ac:dyDescent="0.25">
      <c r="A139" s="321" t="s">
        <v>2736</v>
      </c>
      <c r="B139" s="319" t="str">
        <f>VLOOKUP(A139,TaskValues_ref!E:F,2,FALSE)</f>
        <v>Oncho MDA</v>
      </c>
      <c r="C139" s="64">
        <v>100</v>
      </c>
      <c r="E139" s="320">
        <f t="shared" si="105"/>
        <v>100</v>
      </c>
      <c r="F139" s="319">
        <v>100</v>
      </c>
      <c r="I139" s="320">
        <f t="shared" si="106"/>
        <v>100</v>
      </c>
      <c r="M139" s="319">
        <f>SUMIFS(Cadres_Comprehensive!P:P,Cadres_Comprehensive!A:A,Cadres_Basic!A139)</f>
        <v>100</v>
      </c>
      <c r="O139" s="320">
        <f t="shared" si="107"/>
        <v>100</v>
      </c>
      <c r="R139" s="319">
        <f t="shared" si="117"/>
        <v>100</v>
      </c>
      <c r="T139" s="320">
        <f t="shared" si="118"/>
        <v>100</v>
      </c>
    </row>
    <row r="140" spans="1:20" x14ac:dyDescent="0.25">
      <c r="A140" s="321" t="s">
        <v>2737</v>
      </c>
      <c r="B140" s="319" t="str">
        <f>VLOOKUP(A140,TaskValues_ref!E:F,2,FALSE)</f>
        <v>Oncho behavior change</v>
      </c>
      <c r="C140" s="64">
        <v>100</v>
      </c>
      <c r="E140" s="320">
        <f t="shared" si="105"/>
        <v>100</v>
      </c>
      <c r="F140" s="319">
        <v>100</v>
      </c>
      <c r="I140" s="320">
        <f t="shared" si="106"/>
        <v>100</v>
      </c>
      <c r="M140" s="319">
        <v>100</v>
      </c>
      <c r="O140" s="320">
        <f t="shared" si="107"/>
        <v>100</v>
      </c>
      <c r="R140" s="319">
        <f t="shared" si="117"/>
        <v>100</v>
      </c>
      <c r="T140" s="320">
        <f t="shared" si="118"/>
        <v>100</v>
      </c>
    </row>
    <row r="141" spans="1:20" x14ac:dyDescent="0.25">
      <c r="A141" s="321" t="s">
        <v>2738</v>
      </c>
      <c r="B141" s="319" t="str">
        <f>VLOOKUP(A141,TaskValues_ref!E:F,2,FALSE)</f>
        <v>Trachoma behavior change</v>
      </c>
      <c r="C141" s="64">
        <v>100</v>
      </c>
      <c r="E141" s="320">
        <f t="shared" si="105"/>
        <v>100</v>
      </c>
      <c r="F141" s="319">
        <v>100</v>
      </c>
      <c r="I141" s="320">
        <f t="shared" si="106"/>
        <v>100</v>
      </c>
      <c r="M141" s="319">
        <v>100</v>
      </c>
      <c r="O141" s="320">
        <f t="shared" si="107"/>
        <v>100</v>
      </c>
      <c r="R141" s="319">
        <f t="shared" si="117"/>
        <v>100</v>
      </c>
      <c r="T141" s="320">
        <f t="shared" si="118"/>
        <v>100</v>
      </c>
    </row>
    <row r="142" spans="1:20" x14ac:dyDescent="0.25">
      <c r="A142" s="321" t="s">
        <v>2739</v>
      </c>
      <c r="B142" s="319" t="str">
        <f>VLOOKUP(A142,TaskValues_ref!E:F,2,FALSE)</f>
        <v>Promote water and sanitation</v>
      </c>
      <c r="C142" s="64">
        <v>100</v>
      </c>
      <c r="E142" s="320">
        <f t="shared" si="105"/>
        <v>100</v>
      </c>
      <c r="F142" s="319">
        <v>100</v>
      </c>
      <c r="I142" s="320">
        <f t="shared" si="106"/>
        <v>100</v>
      </c>
      <c r="M142" s="319">
        <v>100</v>
      </c>
      <c r="O142" s="320">
        <f t="shared" si="107"/>
        <v>100</v>
      </c>
      <c r="R142" s="319">
        <f t="shared" si="117"/>
        <v>100</v>
      </c>
      <c r="T142" s="320">
        <f t="shared" si="118"/>
        <v>100</v>
      </c>
    </row>
    <row r="143" spans="1:20" x14ac:dyDescent="0.25">
      <c r="A143" s="321" t="s">
        <v>2740</v>
      </c>
      <c r="B143" s="319" t="str">
        <f>VLOOKUP(A143,TaskValues_ref!E:F,2,FALSE)</f>
        <v>Dx &amp; treat trachoma</v>
      </c>
      <c r="C143" s="64">
        <v>100</v>
      </c>
      <c r="E143" s="320">
        <f t="shared" si="105"/>
        <v>100</v>
      </c>
      <c r="F143" s="319">
        <v>100</v>
      </c>
      <c r="I143" s="320">
        <f t="shared" si="106"/>
        <v>100</v>
      </c>
      <c r="J143" s="319">
        <v>50</v>
      </c>
      <c r="K143" s="321">
        <v>50</v>
      </c>
      <c r="L143" s="321"/>
      <c r="M143" s="319">
        <f>SUMIFS(Cadres_Comprehensive!P:P,Cadres_Comprehensive!A:A,Cadres_Basic!A143)</f>
        <v>0</v>
      </c>
      <c r="O143" s="320">
        <f t="shared" si="107"/>
        <v>100</v>
      </c>
      <c r="P143" s="319">
        <v>100</v>
      </c>
      <c r="R143" s="319">
        <f>M143</f>
        <v>0</v>
      </c>
      <c r="T143" s="320">
        <f t="shared" ref="T143" si="123">SUM(P143:S143)</f>
        <v>100</v>
      </c>
    </row>
    <row r="144" spans="1:20" x14ac:dyDescent="0.25">
      <c r="A144" s="321" t="s">
        <v>2741</v>
      </c>
      <c r="B144" s="319" t="str">
        <f>VLOOKUP(A144,TaskValues_ref!E:F,2,FALSE)</f>
        <v>Trochomatous trichiasis surgery</v>
      </c>
      <c r="C144" s="64">
        <v>100</v>
      </c>
      <c r="E144" s="320">
        <f t="shared" si="105"/>
        <v>100</v>
      </c>
      <c r="G144" s="319">
        <v>100</v>
      </c>
      <c r="I144" s="320">
        <f t="shared" si="106"/>
        <v>100</v>
      </c>
      <c r="L144" s="319">
        <v>100</v>
      </c>
      <c r="M144" s="319">
        <f>SUMIFS(Cadres_Comprehensive!P:P,Cadres_Comprehensive!A:A,Cadres_Basic!A144)</f>
        <v>0</v>
      </c>
      <c r="O144" s="320">
        <f t="shared" si="107"/>
        <v>100</v>
      </c>
      <c r="Q144" s="319">
        <v>100</v>
      </c>
      <c r="R144" s="319">
        <f t="shared" si="117"/>
        <v>0</v>
      </c>
      <c r="T144" s="320">
        <f t="shared" si="118"/>
        <v>100</v>
      </c>
    </row>
    <row r="145" spans="1:20" x14ac:dyDescent="0.25">
      <c r="A145" s="321" t="s">
        <v>2742</v>
      </c>
      <c r="B145" s="319" t="str">
        <f>VLOOKUP(A145,TaskValues_ref!E:F,2,FALSE)</f>
        <v>Trachoma MDA</v>
      </c>
      <c r="C145" s="64">
        <v>100</v>
      </c>
      <c r="E145" s="320">
        <f t="shared" si="105"/>
        <v>100</v>
      </c>
      <c r="F145" s="319">
        <v>100</v>
      </c>
      <c r="I145" s="320">
        <f t="shared" si="106"/>
        <v>100</v>
      </c>
      <c r="M145" s="319">
        <f>SUMIFS(Cadres_Comprehensive!P:P,Cadres_Comprehensive!A:A,Cadres_Basic!A145)</f>
        <v>100</v>
      </c>
      <c r="O145" s="320">
        <f t="shared" si="107"/>
        <v>100</v>
      </c>
      <c r="R145" s="319">
        <f t="shared" si="117"/>
        <v>100</v>
      </c>
      <c r="T145" s="320">
        <f t="shared" si="118"/>
        <v>100</v>
      </c>
    </row>
    <row r="146" spans="1:20" x14ac:dyDescent="0.25">
      <c r="A146" s="321" t="s">
        <v>2743</v>
      </c>
      <c r="B146" s="319" t="str">
        <f>VLOOKUP(A146,TaskValues_ref!E:F,2,FALSE)</f>
        <v>Promote face washing</v>
      </c>
      <c r="C146" s="64">
        <v>100</v>
      </c>
      <c r="E146" s="320">
        <f t="shared" si="105"/>
        <v>100</v>
      </c>
      <c r="F146" s="319">
        <v>100</v>
      </c>
      <c r="I146" s="320">
        <f t="shared" si="106"/>
        <v>100</v>
      </c>
      <c r="M146" s="319">
        <v>100</v>
      </c>
      <c r="O146" s="320">
        <f t="shared" si="107"/>
        <v>100</v>
      </c>
      <c r="R146" s="319">
        <f t="shared" si="117"/>
        <v>100</v>
      </c>
      <c r="T146" s="320">
        <f t="shared" si="118"/>
        <v>100</v>
      </c>
    </row>
    <row r="147" spans="1:20" x14ac:dyDescent="0.25">
      <c r="A147" s="321" t="s">
        <v>2744</v>
      </c>
      <c r="B147" s="319" t="str">
        <f>VLOOKUP(A147,TaskValues_ref!E:F,2,FALSE)</f>
        <v>Schisto behavior change</v>
      </c>
      <c r="C147" s="64">
        <v>100</v>
      </c>
      <c r="E147" s="320">
        <f t="shared" si="105"/>
        <v>100</v>
      </c>
      <c r="F147" s="319">
        <v>100</v>
      </c>
      <c r="I147" s="320">
        <f t="shared" si="106"/>
        <v>100</v>
      </c>
      <c r="M147" s="319">
        <v>100</v>
      </c>
      <c r="O147" s="320">
        <f t="shared" si="107"/>
        <v>100</v>
      </c>
      <c r="R147" s="319">
        <f t="shared" si="117"/>
        <v>100</v>
      </c>
      <c r="T147" s="320">
        <f t="shared" si="118"/>
        <v>100</v>
      </c>
    </row>
    <row r="148" spans="1:20" x14ac:dyDescent="0.25">
      <c r="A148" s="321" t="s">
        <v>2745</v>
      </c>
      <c r="B148" s="319" t="str">
        <f>VLOOKUP(A148,TaskValues_ref!E:F,2,FALSE)</f>
        <v>Snail control</v>
      </c>
      <c r="C148" s="64">
        <v>100</v>
      </c>
      <c r="E148" s="320">
        <f t="shared" si="105"/>
        <v>100</v>
      </c>
      <c r="F148" s="319">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25">
      <c r="A149" s="321" t="s">
        <v>2746</v>
      </c>
      <c r="B149" s="319" t="str">
        <f>VLOOKUP(A149,TaskValues_ref!E:F,2,FALSE)</f>
        <v>Schisto MDA</v>
      </c>
      <c r="C149" s="64">
        <v>100</v>
      </c>
      <c r="E149" s="320">
        <f t="shared" si="105"/>
        <v>100</v>
      </c>
      <c r="F149" s="319">
        <v>100</v>
      </c>
      <c r="I149" s="320">
        <f t="shared" si="106"/>
        <v>100</v>
      </c>
      <c r="M149" s="319">
        <f>SUMIFS(Cadres_Comprehensive!P:P,Cadres_Comprehensive!A:A,Cadres_Basic!A149)</f>
        <v>100</v>
      </c>
      <c r="O149" s="320">
        <f t="shared" si="107"/>
        <v>100</v>
      </c>
      <c r="R149" s="319">
        <f t="shared" si="117"/>
        <v>100</v>
      </c>
      <c r="T149" s="320">
        <f t="shared" si="118"/>
        <v>100</v>
      </c>
    </row>
    <row r="150" spans="1:20" x14ac:dyDescent="0.25">
      <c r="A150" s="321" t="s">
        <v>2747</v>
      </c>
      <c r="B150" s="319" t="str">
        <f>VLOOKUP(A150,TaskValues_ref!E:F,2,FALSE)</f>
        <v>STH behavior change</v>
      </c>
      <c r="C150" s="64">
        <v>100</v>
      </c>
      <c r="E150" s="320">
        <f t="shared" si="105"/>
        <v>100</v>
      </c>
      <c r="F150" s="319">
        <v>100</v>
      </c>
      <c r="I150" s="320">
        <f t="shared" si="106"/>
        <v>100</v>
      </c>
      <c r="M150" s="319">
        <v>100</v>
      </c>
      <c r="O150" s="320">
        <f t="shared" si="107"/>
        <v>100</v>
      </c>
      <c r="R150" s="319">
        <f t="shared" si="117"/>
        <v>100</v>
      </c>
      <c r="T150" s="320">
        <f t="shared" si="118"/>
        <v>100</v>
      </c>
    </row>
    <row r="151" spans="1:20" x14ac:dyDescent="0.25">
      <c r="A151" s="321" t="s">
        <v>2748</v>
      </c>
      <c r="B151" s="319" t="str">
        <f>VLOOKUP(A151,TaskValues_ref!E:F,2,FALSE)</f>
        <v>STH MDA</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25">
      <c r="A152" s="321" t="s">
        <v>2749</v>
      </c>
      <c r="B152" s="319" t="str">
        <f>VLOOKUP(A152,TaskValues_ref!E:F,2,FALSE)</f>
        <v>STH dx &amp; treat in pregnancy</v>
      </c>
      <c r="C152" s="64">
        <v>100</v>
      </c>
      <c r="E152" s="320">
        <f t="shared" si="105"/>
        <v>100</v>
      </c>
      <c r="F152" s="319">
        <v>100</v>
      </c>
      <c r="I152" s="320">
        <f t="shared" si="106"/>
        <v>100</v>
      </c>
      <c r="J152" s="319">
        <v>50</v>
      </c>
      <c r="K152" s="321">
        <v>50</v>
      </c>
      <c r="L152" s="321"/>
      <c r="M152" s="319">
        <f>SUMIFS(Cadres_Comprehensive!P:P,Cadres_Comprehensive!A:A,Cadres_Basic!A152)</f>
        <v>0</v>
      </c>
      <c r="O152" s="320">
        <f t="shared" si="107"/>
        <v>100</v>
      </c>
      <c r="P152" s="319">
        <v>100</v>
      </c>
      <c r="R152" s="319">
        <f>M152</f>
        <v>0</v>
      </c>
      <c r="T152" s="320">
        <f t="shared" ref="T152" si="124">SUM(P152:S152)</f>
        <v>100</v>
      </c>
    </row>
    <row r="153" spans="1:20" x14ac:dyDescent="0.25">
      <c r="A153" s="321" t="s">
        <v>2750</v>
      </c>
      <c r="B153" s="319" t="str">
        <f>VLOOKUP(A153,TaskValues_ref!E:F,2,FALSE)</f>
        <v>Scabies behavior change</v>
      </c>
      <c r="C153" s="64">
        <v>100</v>
      </c>
      <c r="E153" s="320">
        <f t="shared" ref="E153:E156" si="125">SUM(C153:D153)</f>
        <v>100</v>
      </c>
      <c r="F153" s="319">
        <v>100</v>
      </c>
      <c r="I153" s="320">
        <f t="shared" ref="I153:I156" si="126">SUM(F153:H153)</f>
        <v>100</v>
      </c>
      <c r="M153" s="319">
        <v>100</v>
      </c>
      <c r="O153" s="320">
        <f t="shared" ref="O153:O156" si="127">SUM(J153:N153)</f>
        <v>100</v>
      </c>
      <c r="R153" s="319">
        <f t="shared" si="117"/>
        <v>100</v>
      </c>
      <c r="T153" s="320">
        <f t="shared" si="118"/>
        <v>100</v>
      </c>
    </row>
    <row r="154" spans="1:20" x14ac:dyDescent="0.25">
      <c r="A154" s="321" t="s">
        <v>2627</v>
      </c>
      <c r="B154" s="319" t="str">
        <f>VLOOKUP(A154,TaskValues_ref!E:F,2,FALSE)</f>
        <v>Model household program</v>
      </c>
      <c r="C154" s="64">
        <v>100</v>
      </c>
      <c r="E154" s="320">
        <f t="shared" si="125"/>
        <v>100</v>
      </c>
      <c r="F154" s="319">
        <v>100</v>
      </c>
      <c r="I154" s="320">
        <f t="shared" si="126"/>
        <v>100</v>
      </c>
      <c r="M154" s="319">
        <f>SUMIFS(Cadres_Comprehensive!P:P,Cadres_Comprehensive!A:A,Cadres_Basic!A154)</f>
        <v>100</v>
      </c>
      <c r="O154" s="320">
        <f t="shared" si="127"/>
        <v>100</v>
      </c>
      <c r="R154" s="319">
        <f t="shared" si="117"/>
        <v>100</v>
      </c>
      <c r="T154" s="320">
        <f t="shared" si="118"/>
        <v>100</v>
      </c>
    </row>
    <row r="155" spans="1:20" x14ac:dyDescent="0.25">
      <c r="A155" s="321" t="s">
        <v>2628</v>
      </c>
      <c r="B155" s="319" t="str">
        <f>VLOOKUP(A155,TaskValues_ref!E:F,2,FALSE)</f>
        <v>Model household program</v>
      </c>
      <c r="C155" s="64">
        <v>100</v>
      </c>
      <c r="E155" s="320">
        <f t="shared" si="125"/>
        <v>100</v>
      </c>
      <c r="F155" s="319">
        <v>100</v>
      </c>
      <c r="I155" s="320">
        <f t="shared" si="126"/>
        <v>100</v>
      </c>
      <c r="J155" s="319">
        <v>50</v>
      </c>
      <c r="K155" s="319">
        <v>50</v>
      </c>
      <c r="M155" s="319">
        <f>SUMIFS(Cadres_Comprehensive!P:P,Cadres_Comprehensive!A:A,Cadres_Basic!A155)</f>
        <v>0</v>
      </c>
      <c r="O155" s="320">
        <f t="shared" si="127"/>
        <v>100</v>
      </c>
      <c r="P155" s="319">
        <v>100</v>
      </c>
      <c r="R155" s="319">
        <f t="shared" si="117"/>
        <v>0</v>
      </c>
      <c r="T155" s="320">
        <f t="shared" si="118"/>
        <v>100</v>
      </c>
    </row>
    <row r="156" spans="1:20" x14ac:dyDescent="0.25">
      <c r="A156" s="321" t="s">
        <v>1953</v>
      </c>
      <c r="B156" s="319" t="str">
        <f>VLOOKUP(A156,TaskValues_ref!E:F,2,FALSE)</f>
        <v>Record keeping</v>
      </c>
      <c r="C156" s="64">
        <v>100</v>
      </c>
      <c r="E156" s="320">
        <f t="shared" si="125"/>
        <v>100</v>
      </c>
      <c r="F156" s="321">
        <f>2/3*100</f>
        <v>66.666666666666657</v>
      </c>
      <c r="G156" s="319">
        <f>1/3*100</f>
        <v>33.333333333333329</v>
      </c>
      <c r="I156" s="320">
        <f t="shared" si="126"/>
        <v>99.999999999999986</v>
      </c>
      <c r="J156" s="319">
        <v>25</v>
      </c>
      <c r="K156" s="319">
        <v>25</v>
      </c>
      <c r="L156" s="319">
        <v>25</v>
      </c>
      <c r="M156" s="319">
        <v>25</v>
      </c>
      <c r="O156" s="320">
        <f t="shared" si="127"/>
        <v>100</v>
      </c>
      <c r="P156" s="319">
        <v>50</v>
      </c>
      <c r="Q156" s="319">
        <v>25</v>
      </c>
      <c r="R156" s="319">
        <v>25</v>
      </c>
      <c r="T156" s="320">
        <f t="shared" si="118"/>
        <v>100</v>
      </c>
    </row>
    <row r="157" spans="1:20" x14ac:dyDescent="0.25">
      <c r="A157" s="319" t="s">
        <v>2795</v>
      </c>
      <c r="B157" s="319" t="s">
        <v>2797</v>
      </c>
      <c r="C157" s="64">
        <v>100</v>
      </c>
      <c r="E157" s="320">
        <f t="shared" ref="E157:E160" si="128">SUM(C157:D157)</f>
        <v>100</v>
      </c>
      <c r="F157" s="321">
        <v>100</v>
      </c>
      <c r="I157" s="320">
        <f t="shared" ref="I157:I161" si="129">SUM(F157:H157)</f>
        <v>100</v>
      </c>
      <c r="M157" s="319">
        <f>SUMIFS(Cadres_Comprehensive!P:P,Cadres_Comprehensive!A:A,Cadres_Basic!A157)</f>
        <v>100</v>
      </c>
      <c r="O157" s="320">
        <f t="shared" ref="O157:O162" si="130">SUM(J157:N157)</f>
        <v>100</v>
      </c>
      <c r="R157" s="319">
        <f t="shared" ref="R157" si="131">M157</f>
        <v>100</v>
      </c>
      <c r="T157" s="320">
        <f t="shared" ref="T157:T162" si="132">SUM(P157:S157)</f>
        <v>100</v>
      </c>
    </row>
    <row r="158" spans="1:20" x14ac:dyDescent="0.25">
      <c r="A158" s="319" t="s">
        <v>2796</v>
      </c>
      <c r="B158" s="319" t="s">
        <v>2798</v>
      </c>
      <c r="C158" s="64">
        <v>100</v>
      </c>
      <c r="E158" s="320">
        <f t="shared" si="128"/>
        <v>100</v>
      </c>
      <c r="F158" s="321">
        <v>100</v>
      </c>
      <c r="I158" s="320">
        <f t="shared" si="129"/>
        <v>100</v>
      </c>
      <c r="J158" s="319">
        <v>50</v>
      </c>
      <c r="K158" s="319">
        <v>50</v>
      </c>
      <c r="M158" s="319">
        <f>SUMIFS(Cadres_Comprehensive!P:P,Cadres_Comprehensive!A:A,Cadres_Basic!A158)</f>
        <v>0</v>
      </c>
      <c r="O158" s="320">
        <f t="shared" si="130"/>
        <v>100</v>
      </c>
      <c r="P158" s="319">
        <v>100</v>
      </c>
      <c r="T158" s="320">
        <f t="shared" si="132"/>
        <v>100</v>
      </c>
    </row>
    <row r="159" spans="1:20" x14ac:dyDescent="0.25">
      <c r="A159" s="64" t="s">
        <v>2813</v>
      </c>
      <c r="B159" s="321" t="s">
        <v>2819</v>
      </c>
      <c r="C159" s="64">
        <v>100</v>
      </c>
      <c r="E159" s="320">
        <f t="shared" si="128"/>
        <v>100</v>
      </c>
      <c r="F159" s="321">
        <v>100</v>
      </c>
      <c r="I159" s="320">
        <f t="shared" si="129"/>
        <v>100</v>
      </c>
      <c r="J159" s="319">
        <v>100</v>
      </c>
      <c r="O159" s="320">
        <f t="shared" si="130"/>
        <v>100</v>
      </c>
      <c r="P159" s="319">
        <v>100</v>
      </c>
      <c r="T159" s="320">
        <f t="shared" si="132"/>
        <v>100</v>
      </c>
    </row>
    <row r="160" spans="1:20" x14ac:dyDescent="0.25">
      <c r="A160" s="64" t="s">
        <v>2814</v>
      </c>
      <c r="B160" s="321" t="s">
        <v>2820</v>
      </c>
      <c r="C160" s="64">
        <v>100</v>
      </c>
      <c r="E160" s="320">
        <f t="shared" si="128"/>
        <v>100</v>
      </c>
      <c r="F160" s="321">
        <v>100</v>
      </c>
      <c r="I160" s="320">
        <f t="shared" si="129"/>
        <v>100</v>
      </c>
      <c r="K160" s="319">
        <v>100</v>
      </c>
      <c r="O160" s="320">
        <f t="shared" si="130"/>
        <v>100</v>
      </c>
      <c r="P160" s="321">
        <v>100</v>
      </c>
      <c r="T160" s="320">
        <f t="shared" si="132"/>
        <v>100</v>
      </c>
    </row>
    <row r="161" spans="1:20" x14ac:dyDescent="0.25">
      <c r="A161" s="64" t="s">
        <v>2815</v>
      </c>
      <c r="B161" s="321" t="s">
        <v>2821</v>
      </c>
      <c r="G161" s="319">
        <v>100</v>
      </c>
      <c r="I161" s="320">
        <f t="shared" si="129"/>
        <v>100</v>
      </c>
      <c r="L161" s="319">
        <v>100</v>
      </c>
      <c r="O161" s="320">
        <f t="shared" si="130"/>
        <v>100</v>
      </c>
      <c r="Q161" s="319">
        <v>100</v>
      </c>
      <c r="T161" s="320">
        <f t="shared" si="132"/>
        <v>100</v>
      </c>
    </row>
    <row r="162" spans="1:20" x14ac:dyDescent="0.25">
      <c r="A162" s="64" t="s">
        <v>2816</v>
      </c>
      <c r="B162" s="321" t="s">
        <v>2822</v>
      </c>
      <c r="M162" s="319">
        <v>100</v>
      </c>
      <c r="O162" s="320">
        <f t="shared" si="130"/>
        <v>100</v>
      </c>
      <c r="R162" s="319">
        <v>100</v>
      </c>
      <c r="T162" s="320">
        <f t="shared" si="132"/>
        <v>100</v>
      </c>
    </row>
    <row r="163" spans="1:20" s="127" customFormat="1" x14ac:dyDescent="0.25">
      <c r="A163" s="375" t="s">
        <v>2817</v>
      </c>
      <c r="B163" s="375" t="s">
        <v>2823</v>
      </c>
      <c r="C163" s="381"/>
      <c r="D163" s="374"/>
      <c r="E163" s="376"/>
      <c r="F163" s="374"/>
      <c r="G163" s="374"/>
      <c r="H163" s="374"/>
      <c r="I163" s="376"/>
      <c r="J163" s="374"/>
      <c r="K163" s="374"/>
      <c r="L163" s="374"/>
      <c r="M163" s="374"/>
      <c r="N163" s="374"/>
      <c r="O163" s="376"/>
      <c r="P163" s="374"/>
      <c r="Q163" s="374"/>
      <c r="R163" s="374"/>
      <c r="S163" s="374"/>
      <c r="T163" s="376"/>
    </row>
    <row r="164" spans="1:20" s="127" customFormat="1" x14ac:dyDescent="0.25">
      <c r="A164" s="375" t="s">
        <v>2818</v>
      </c>
      <c r="B164" s="375" t="s">
        <v>2824</v>
      </c>
      <c r="C164" s="381"/>
      <c r="D164" s="374"/>
      <c r="E164" s="376"/>
      <c r="F164" s="374"/>
      <c r="G164" s="374"/>
      <c r="H164" s="374"/>
      <c r="I164" s="376"/>
      <c r="J164" s="374"/>
      <c r="K164" s="374"/>
      <c r="L164" s="374"/>
      <c r="M164" s="374"/>
      <c r="N164" s="374"/>
      <c r="O164" s="376"/>
      <c r="P164" s="374"/>
      <c r="Q164" s="374"/>
      <c r="R164" s="374"/>
      <c r="S164" s="374"/>
      <c r="T164" s="376"/>
    </row>
  </sheetData>
  <conditionalFormatting sqref="T2 E2 I2 O2 O5 I5 E5:E16 T5 E18:E19 O21 I21 E21:E22 T21 O36:O41 I36:I41 E36:E41 T36:T41 T43 E43 I43 O43 E45 E49:E50 E53:E57 E60:E61 E66:E69 T73 E73 I73 O73 O78 I78 E77:E78 T78 T80 E80 I80 O80 O91 I91 E89:E93 T91 E97:E98 O100:O103 I100:I103 E100:E103 T100:T103 T105 E105 I105 O105 E111:E118 T125:T126 E125:E129 I125:I126 O125:O126 O131 I131:I134 E131:E134 T131 T136:T142 E136:E142 I136:I142 O136:O142 O144:O151 I144:I151 E144:E151 T144:T151 O129 I129 T129 T134 O134 T93 I93 O93 T7:T13 I7:I13 O7:O13 T153:T156 E153:E156 I153:I156 O153:O156">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19 E119 I119 O119">
    <cfRule type="cellIs" dxfId="56" priority="56" operator="notEqual">
      <formula>100</formula>
    </cfRule>
  </conditionalFormatting>
  <conditionalFormatting sqref="T120 E120 I120 O120">
    <cfRule type="cellIs" dxfId="55" priority="55" operator="notEqual">
      <formula>100</formula>
    </cfRule>
  </conditionalFormatting>
  <conditionalFormatting sqref="T121 E121 I121 O121">
    <cfRule type="cellIs" dxfId="54" priority="54" operator="notEqual">
      <formula>100</formula>
    </cfRule>
  </conditionalFormatting>
  <conditionalFormatting sqref="T122 E122 I122 O122">
    <cfRule type="cellIs" dxfId="53" priority="53" operator="notEqual">
      <formula>100</formula>
    </cfRule>
  </conditionalFormatting>
  <conditionalFormatting sqref="T123 E123 I123 O123">
    <cfRule type="cellIs" dxfId="52" priority="52" operator="notEqual">
      <formula>100</formula>
    </cfRule>
  </conditionalFormatting>
  <conditionalFormatting sqref="T124 E124 I124 O124">
    <cfRule type="cellIs" dxfId="51" priority="51" operator="notEqual">
      <formula>100</formula>
    </cfRule>
  </conditionalFormatting>
  <conditionalFormatting sqref="T130 E130 I130 O130">
    <cfRule type="cellIs" dxfId="50" priority="50" operator="notEqual">
      <formula>100</formula>
    </cfRule>
  </conditionalFormatting>
  <conditionalFormatting sqref="T135 E135 I135 O135">
    <cfRule type="cellIs" dxfId="49" priority="49" operator="notEqual">
      <formula>100</formula>
    </cfRule>
  </conditionalFormatting>
  <conditionalFormatting sqref="T143 E143 I143 O143">
    <cfRule type="cellIs" dxfId="48" priority="48" operator="notEqual">
      <formula>100</formula>
    </cfRule>
  </conditionalFormatting>
  <conditionalFormatting sqref="T152 E152 I152 O152">
    <cfRule type="cellIs" dxfId="47" priority="47" operator="notEqual">
      <formula>100</formula>
    </cfRule>
  </conditionalFormatting>
  <conditionalFormatting sqref="T128 I128 O128">
    <cfRule type="cellIs" dxfId="46" priority="45" operator="notEqual">
      <formula>100</formula>
    </cfRule>
  </conditionalFormatting>
  <conditionalFormatting sqref="T127 I127 O127">
    <cfRule type="cellIs" dxfId="45" priority="44" operator="notEqual">
      <formula>100</formula>
    </cfRule>
  </conditionalFormatting>
  <conditionalFormatting sqref="O132 T132">
    <cfRule type="cellIs" dxfId="44" priority="43" operator="notEqual">
      <formula>100</formula>
    </cfRule>
  </conditionalFormatting>
  <conditionalFormatting sqref="O133 T133">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T112 I112 O112">
    <cfRule type="cellIs" dxfId="22" priority="20" operator="notEqual">
      <formula>100</formula>
    </cfRule>
  </conditionalFormatting>
  <conditionalFormatting sqref="T113 I113 O113">
    <cfRule type="cellIs" dxfId="21" priority="19" operator="notEqual">
      <formula>100</formula>
    </cfRule>
  </conditionalFormatting>
  <conditionalFormatting sqref="T114 I114 O114">
    <cfRule type="cellIs" dxfId="20" priority="18" operator="notEqual">
      <formula>100</formula>
    </cfRule>
  </conditionalFormatting>
  <conditionalFormatting sqref="T115 I115 O115">
    <cfRule type="cellIs" dxfId="19" priority="17" operator="notEqual">
      <formula>100</formula>
    </cfRule>
  </conditionalFormatting>
  <conditionalFormatting sqref="T116 I116 O116">
    <cfRule type="cellIs" dxfId="18" priority="16" operator="notEqual">
      <formula>100</formula>
    </cfRule>
  </conditionalFormatting>
  <conditionalFormatting sqref="T117 I117 O117">
    <cfRule type="cellIs" dxfId="17" priority="15" operator="notEqual">
      <formula>100</formula>
    </cfRule>
  </conditionalFormatting>
  <conditionalFormatting sqref="T118 I118 O11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57 E157 I157 O157">
    <cfRule type="cellIs" dxfId="4" priority="2" operator="notEqual">
      <formula>100</formula>
    </cfRule>
  </conditionalFormatting>
  <conditionalFormatting sqref="E158:E164 I158:I164 O158:O164 T158:T164">
    <cfRule type="cellIs" dxfId="3" priority="1" operator="notEqual">
      <formula>100</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0"/>
  <sheetViews>
    <sheetView zoomScale="80" zoomScaleNormal="80" workbookViewId="0">
      <pane ySplit="1" topLeftCell="A115" activePane="bottomLeft" state="frozen"/>
      <selection pane="bottomLeft" activeCell="C138" sqref="C138"/>
    </sheetView>
  </sheetViews>
  <sheetFormatPr defaultRowHeight="15" x14ac:dyDescent="0.25"/>
  <cols>
    <col min="1" max="1" width="16" bestFit="1" customWidth="1"/>
    <col min="2" max="2" width="42" style="319" bestFit="1" customWidth="1"/>
    <col min="3" max="3" width="3.85546875" style="64" customWidth="1"/>
    <col min="4" max="4" width="3.85546875" style="319" customWidth="1"/>
    <col min="5" max="5" width="3.85546875" style="320" customWidth="1"/>
    <col min="6" max="7" width="3.85546875" style="319" customWidth="1"/>
    <col min="8" max="8" width="3.85546875" style="320" customWidth="1"/>
    <col min="9" max="11" width="3.85546875" style="319" customWidth="1"/>
    <col min="12" max="12" width="3.85546875" style="320" customWidth="1"/>
    <col min="13" max="14" width="3.85546875" style="319" customWidth="1"/>
    <col min="15" max="15" width="3.85546875" style="320" customWidth="1"/>
  </cols>
  <sheetData>
    <row r="1" spans="1:15" ht="83.25" x14ac:dyDescent="0.25">
      <c r="A1" s="327" t="s">
        <v>135</v>
      </c>
      <c r="B1" s="328" t="s">
        <v>136</v>
      </c>
      <c r="C1" s="363" t="s">
        <v>2629</v>
      </c>
      <c r="D1" s="364" t="s">
        <v>2631</v>
      </c>
      <c r="E1" s="365" t="s">
        <v>2630</v>
      </c>
      <c r="F1" s="364" t="s">
        <v>2753</v>
      </c>
      <c r="G1" s="364" t="s">
        <v>2756</v>
      </c>
      <c r="H1" s="365" t="s">
        <v>2757</v>
      </c>
      <c r="I1" s="364" t="s">
        <v>2759</v>
      </c>
      <c r="J1" s="364" t="s">
        <v>2754</v>
      </c>
      <c r="K1" s="364" t="s">
        <v>2762</v>
      </c>
      <c r="L1" s="365" t="s">
        <v>2763</v>
      </c>
      <c r="M1" s="364" t="s">
        <v>2765</v>
      </c>
      <c r="N1" s="364" t="s">
        <v>2768</v>
      </c>
      <c r="O1" s="365" t="s">
        <v>2769</v>
      </c>
    </row>
    <row r="2" spans="1:15" x14ac:dyDescent="0.25">
      <c r="A2" s="64" t="s">
        <v>2166</v>
      </c>
      <c r="B2" s="319" t="str">
        <f>VLOOKUP(A2,TV_Merged!E:F,2,FALSE)</f>
        <v>ANC visits</v>
      </c>
      <c r="C2" s="319">
        <v>100</v>
      </c>
      <c r="E2" s="320">
        <f t="shared" ref="E2:E19" si="0">SUM(C2:C2)</f>
        <v>100</v>
      </c>
      <c r="F2" s="319">
        <v>100</v>
      </c>
      <c r="H2" s="320">
        <f t="shared" ref="H2:H19" si="1">SUM(F2:F2)</f>
        <v>100</v>
      </c>
      <c r="I2" s="319">
        <v>50</v>
      </c>
      <c r="J2" s="321">
        <v>50</v>
      </c>
      <c r="L2" s="320">
        <f t="shared" ref="L2:L33" si="2">SUM(I2:K2)</f>
        <v>100</v>
      </c>
      <c r="M2" s="319">
        <v>100</v>
      </c>
      <c r="O2" s="320">
        <f t="shared" ref="O2:O33" si="3">SUM(M2:N2)</f>
        <v>100</v>
      </c>
    </row>
    <row r="3" spans="1:15" x14ac:dyDescent="0.25">
      <c r="A3" s="64" t="s">
        <v>2192</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25">
      <c r="A4" s="64" t="s">
        <v>2208</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25">
      <c r="A5" s="64" t="s">
        <v>2770</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25">
      <c r="A6" s="64" t="s">
        <v>2771</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25">
      <c r="A7" s="64" t="s">
        <v>2632</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25">
      <c r="A8" s="64" t="s">
        <v>2634</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25">
      <c r="A9" s="64" t="s">
        <v>2635</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25">
      <c r="A10" s="64" t="s">
        <v>2226</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x14ac:dyDescent="0.25">
      <c r="A11" s="64" t="s">
        <v>2228</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25">
      <c r="A12" s="64" t="s">
        <v>2229</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25">
      <c r="A13" s="64" t="s">
        <v>2639</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25">
      <c r="A14" s="64" t="s">
        <v>2640</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25">
      <c r="A15" s="64" t="s">
        <v>2643</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25">
      <c r="A16" s="64" t="s">
        <v>2644</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25">
      <c r="A17" s="64" t="s">
        <v>2254</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25">
      <c r="A18" s="64" t="s">
        <v>2260</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25">
      <c r="A19" s="64" t="s">
        <v>2261</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25">
      <c r="A20" s="64" t="s">
        <v>2262</v>
      </c>
      <c r="B20" s="319" t="str">
        <f>VLOOKUP(A20,TV_Merged!E:F,2,FALSE)</f>
        <v>RI 2nd year</v>
      </c>
      <c r="C20" s="319">
        <v>100</v>
      </c>
      <c r="E20" s="320">
        <f t="shared" ref="E20:E79" si="4">SUM(C20:D20)</f>
        <v>100</v>
      </c>
      <c r="F20" s="319">
        <v>100</v>
      </c>
      <c r="H20" s="320">
        <f t="shared" ref="H20:H33" si="5">SUM(F20:G20)</f>
        <v>100</v>
      </c>
      <c r="I20" s="319">
        <v>50</v>
      </c>
      <c r="J20" s="321">
        <v>50</v>
      </c>
      <c r="L20" s="320">
        <f t="shared" si="2"/>
        <v>100</v>
      </c>
      <c r="M20" s="319">
        <v>100</v>
      </c>
      <c r="O20" s="320">
        <f t="shared" si="3"/>
        <v>100</v>
      </c>
    </row>
    <row r="21" spans="1:15" x14ac:dyDescent="0.25">
      <c r="A21" s="64" t="s">
        <v>2263</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25">
      <c r="A22" s="64" t="s">
        <v>2255</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25">
      <c r="A23" s="64" t="s">
        <v>2256</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25">
      <c r="A24" s="64" t="s">
        <v>2257</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25">
      <c r="A25" s="64" t="s">
        <v>2258</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25">
      <c r="A26" s="64" t="s">
        <v>2259</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25">
      <c r="A27" s="64" t="s">
        <v>2294</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25">
      <c r="A28" s="64" t="s">
        <v>2295</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25">
      <c r="A29" s="64" t="s">
        <v>2296</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25">
      <c r="A30" s="64" t="s">
        <v>2297</v>
      </c>
      <c r="B30" s="319" t="e">
        <f>VLOOKUP(A30,TV_Merged!E:F,2,FALSE)</f>
        <v>#N/A</v>
      </c>
      <c r="C30" s="319">
        <v>100</v>
      </c>
      <c r="E30" s="320">
        <f t="shared" si="4"/>
        <v>100</v>
      </c>
      <c r="F30" s="319">
        <v>100</v>
      </c>
      <c r="H30" s="320">
        <f t="shared" si="5"/>
        <v>100</v>
      </c>
      <c r="I30" s="319">
        <v>50</v>
      </c>
      <c r="J30" s="321">
        <v>50</v>
      </c>
      <c r="L30" s="320">
        <f t="shared" si="2"/>
        <v>100</v>
      </c>
      <c r="M30" s="319">
        <v>100</v>
      </c>
      <c r="O30" s="320">
        <f t="shared" si="3"/>
        <v>100</v>
      </c>
    </row>
    <row r="31" spans="1:15" x14ac:dyDescent="0.25">
      <c r="A31" s="64" t="s">
        <v>2645</v>
      </c>
      <c r="B31" s="319" t="str">
        <f>VLOOKUP(A31,TV_Merged!E:F,2,FALSE)</f>
        <v>Provision of contraceptives</v>
      </c>
      <c r="C31" s="319">
        <v>100</v>
      </c>
      <c r="E31" s="320">
        <f t="shared" si="4"/>
        <v>100</v>
      </c>
      <c r="F31" s="319">
        <v>100</v>
      </c>
      <c r="H31" s="320">
        <f t="shared" si="5"/>
        <v>100</v>
      </c>
      <c r="I31" s="319">
        <v>50</v>
      </c>
      <c r="J31" s="321">
        <v>50</v>
      </c>
      <c r="L31" s="320">
        <f t="shared" si="2"/>
        <v>100</v>
      </c>
      <c r="M31" s="319">
        <v>100</v>
      </c>
      <c r="O31" s="320">
        <f t="shared" si="3"/>
        <v>100</v>
      </c>
    </row>
    <row r="32" spans="1:15" x14ac:dyDescent="0.25">
      <c r="A32" s="64" t="s">
        <v>2648</v>
      </c>
      <c r="B32" s="319" t="str">
        <f>VLOOKUP(A32,TV_Merged!E:F,2,FALSE)</f>
        <v>Psycho-social counseling</v>
      </c>
      <c r="C32" s="319">
        <v>100</v>
      </c>
      <c r="E32" s="320">
        <f t="shared" si="4"/>
        <v>100</v>
      </c>
      <c r="F32" s="319">
        <v>100</v>
      </c>
      <c r="H32" s="320">
        <f t="shared" si="5"/>
        <v>100</v>
      </c>
      <c r="I32" s="319">
        <v>50</v>
      </c>
      <c r="J32" s="321">
        <v>50</v>
      </c>
      <c r="L32" s="320">
        <f t="shared" si="2"/>
        <v>100</v>
      </c>
      <c r="M32" s="319">
        <v>100</v>
      </c>
      <c r="O32" s="320">
        <f t="shared" si="3"/>
        <v>100</v>
      </c>
    </row>
    <row r="33" spans="1:15" x14ac:dyDescent="0.25">
      <c r="A33" s="64" t="s">
        <v>2650</v>
      </c>
      <c r="B33" s="319" t="str">
        <f>VLOOKUP(A33,TV_Merged!E:F,2,FALSE)</f>
        <v>Post-abortion follow-up</v>
      </c>
      <c r="C33" s="319">
        <v>100</v>
      </c>
      <c r="E33" s="320">
        <f t="shared" si="4"/>
        <v>100</v>
      </c>
      <c r="F33" s="319">
        <v>100</v>
      </c>
      <c r="H33" s="320">
        <f t="shared" si="5"/>
        <v>100</v>
      </c>
      <c r="I33" s="319">
        <v>50</v>
      </c>
      <c r="J33" s="321">
        <v>50</v>
      </c>
      <c r="L33" s="320">
        <f t="shared" si="2"/>
        <v>100</v>
      </c>
      <c r="M33" s="319">
        <v>100</v>
      </c>
      <c r="O33" s="320">
        <f t="shared" si="3"/>
        <v>100</v>
      </c>
    </row>
    <row r="34" spans="1:15" x14ac:dyDescent="0.25">
      <c r="A34" s="64" t="s">
        <v>2651</v>
      </c>
      <c r="B34" s="319" t="str">
        <f>VLOOKUP(A34,TV_Merged!E:F,2,FALSE)</f>
        <v>Education on menstration</v>
      </c>
      <c r="C34" s="319">
        <v>100</v>
      </c>
      <c r="E34" s="320">
        <f t="shared" si="4"/>
        <v>100</v>
      </c>
      <c r="F34" s="319">
        <v>100</v>
      </c>
      <c r="H34" s="320">
        <f t="shared" ref="H34:H65" si="6">SUM(F34:G34)</f>
        <v>100</v>
      </c>
      <c r="I34" s="319">
        <v>50</v>
      </c>
      <c r="J34" s="321">
        <v>50</v>
      </c>
      <c r="L34" s="320">
        <f t="shared" ref="L34:L65" si="7">SUM(I34:K34)</f>
        <v>100</v>
      </c>
      <c r="M34" s="319">
        <v>100</v>
      </c>
      <c r="O34" s="320">
        <f t="shared" ref="O34:O65" si="8">SUM(M34:N34)</f>
        <v>100</v>
      </c>
    </row>
    <row r="35" spans="1:15" x14ac:dyDescent="0.25">
      <c r="A35" s="64" t="s">
        <v>2653</v>
      </c>
      <c r="B35" s="319" t="str">
        <f>VLOOKUP(A35,TV_Merged!E:F,2,FALSE)</f>
        <v>Promote self-breast exam</v>
      </c>
      <c r="C35" s="319">
        <v>100</v>
      </c>
      <c r="E35" s="320">
        <f t="shared" si="4"/>
        <v>100</v>
      </c>
      <c r="F35" s="319">
        <v>100</v>
      </c>
      <c r="H35" s="320">
        <f t="shared" si="6"/>
        <v>100</v>
      </c>
      <c r="I35" s="319">
        <v>50</v>
      </c>
      <c r="J35" s="321">
        <v>50</v>
      </c>
      <c r="L35" s="320">
        <f t="shared" si="7"/>
        <v>100</v>
      </c>
      <c r="M35" s="319">
        <v>100</v>
      </c>
      <c r="O35" s="320">
        <f t="shared" si="8"/>
        <v>100</v>
      </c>
    </row>
    <row r="36" spans="1:15" x14ac:dyDescent="0.25">
      <c r="A36" s="64" t="s">
        <v>2654</v>
      </c>
      <c r="B36" s="319" t="str">
        <f>VLOOKUP(A36,TV_Merged!E:F,2,FALSE)</f>
        <v>HPV vacination</v>
      </c>
      <c r="C36" s="319">
        <v>100</v>
      </c>
      <c r="E36" s="320">
        <f t="shared" si="4"/>
        <v>100</v>
      </c>
      <c r="F36" s="319">
        <v>100</v>
      </c>
      <c r="H36" s="320">
        <f t="shared" si="6"/>
        <v>100</v>
      </c>
      <c r="I36" s="319">
        <v>50</v>
      </c>
      <c r="J36" s="321">
        <v>50</v>
      </c>
      <c r="L36" s="320">
        <f t="shared" si="7"/>
        <v>100</v>
      </c>
      <c r="M36" s="319">
        <v>100</v>
      </c>
      <c r="O36" s="320">
        <f t="shared" si="8"/>
        <v>100</v>
      </c>
    </row>
    <row r="37" spans="1:15" x14ac:dyDescent="0.25">
      <c r="A37" s="64" t="s">
        <v>2655</v>
      </c>
      <c r="B37" s="319" t="str">
        <f>VLOOKUP(A37,TV_Merged!E:F,2,FALSE)</f>
        <v>Education on health &amp; wellbeing</v>
      </c>
      <c r="C37" s="319">
        <v>100</v>
      </c>
      <c r="E37" s="320">
        <f t="shared" si="4"/>
        <v>100</v>
      </c>
      <c r="F37" s="319">
        <v>100</v>
      </c>
      <c r="H37" s="320">
        <f t="shared" si="6"/>
        <v>100</v>
      </c>
      <c r="I37" s="319">
        <v>50</v>
      </c>
      <c r="J37" s="321">
        <v>50</v>
      </c>
      <c r="L37" s="320">
        <f t="shared" si="7"/>
        <v>100</v>
      </c>
      <c r="M37" s="319">
        <v>100</v>
      </c>
      <c r="O37" s="320">
        <f t="shared" si="8"/>
        <v>100</v>
      </c>
    </row>
    <row r="38" spans="1:15" x14ac:dyDescent="0.25">
      <c r="A38" s="64" t="s">
        <v>2656</v>
      </c>
      <c r="B38" s="319" t="str">
        <f>VLOOKUP(A38,TV_Merged!E:F,2,FALSE)</f>
        <v>Adolescent SRH</v>
      </c>
      <c r="C38" s="319">
        <v>100</v>
      </c>
      <c r="E38" s="320">
        <f t="shared" si="4"/>
        <v>100</v>
      </c>
      <c r="F38" s="319">
        <v>100</v>
      </c>
      <c r="H38" s="320">
        <f t="shared" si="6"/>
        <v>100</v>
      </c>
      <c r="I38" s="319">
        <v>50</v>
      </c>
      <c r="J38" s="321">
        <v>50</v>
      </c>
      <c r="L38" s="320">
        <f t="shared" si="7"/>
        <v>100</v>
      </c>
      <c r="M38" s="319">
        <v>100</v>
      </c>
      <c r="O38" s="320">
        <f t="shared" si="8"/>
        <v>100</v>
      </c>
    </row>
    <row r="39" spans="1:15" x14ac:dyDescent="0.25">
      <c r="A39" s="64" t="s">
        <v>2657</v>
      </c>
      <c r="B39" s="319" t="str">
        <f>VLOOKUP(A39,TV_Merged!E:F,2,FALSE)</f>
        <v>Provision of adolescent-friendly contraceptives</v>
      </c>
      <c r="C39" s="319">
        <v>100</v>
      </c>
      <c r="E39" s="320">
        <f t="shared" si="4"/>
        <v>100</v>
      </c>
      <c r="F39" s="319">
        <v>100</v>
      </c>
      <c r="H39" s="320">
        <f t="shared" si="6"/>
        <v>100</v>
      </c>
      <c r="I39" s="319">
        <v>50</v>
      </c>
      <c r="J39" s="321">
        <v>50</v>
      </c>
      <c r="L39" s="320">
        <f t="shared" si="7"/>
        <v>100</v>
      </c>
      <c r="M39" s="319">
        <v>100</v>
      </c>
      <c r="O39" s="320">
        <f t="shared" si="8"/>
        <v>100</v>
      </c>
    </row>
    <row r="40" spans="1:15" x14ac:dyDescent="0.25">
      <c r="A40" s="64" t="s">
        <v>2658</v>
      </c>
      <c r="B40" s="319" t="str">
        <f>VLOOKUP(A40,TV_Merged!E:F,2,FALSE)</f>
        <v>Education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25">
      <c r="A41" s="64" t="s">
        <v>2659</v>
      </c>
      <c r="B41" s="319" t="str">
        <f>VLOOKUP(A41,TV_Merged!E:F,2,FALSE)</f>
        <v>Community dialogue about GBV</v>
      </c>
      <c r="C41" s="319">
        <v>100</v>
      </c>
      <c r="E41" s="320">
        <f t="shared" si="4"/>
        <v>100</v>
      </c>
      <c r="F41" s="319">
        <v>100</v>
      </c>
      <c r="H41" s="320">
        <f t="shared" si="6"/>
        <v>100</v>
      </c>
      <c r="I41" s="319">
        <v>50</v>
      </c>
      <c r="J41" s="321">
        <v>50</v>
      </c>
      <c r="L41" s="320">
        <f t="shared" si="7"/>
        <v>100</v>
      </c>
      <c r="M41" s="319">
        <v>100</v>
      </c>
      <c r="O41" s="320">
        <f t="shared" si="8"/>
        <v>100</v>
      </c>
    </row>
    <row r="42" spans="1:15" x14ac:dyDescent="0.25">
      <c r="A42" s="64" t="s">
        <v>2664</v>
      </c>
      <c r="B42" s="319" t="str">
        <f>VLOOKUP(A42,TV_Merged!E:F,2,FALSE)</f>
        <v>Psycho-social support for GBV</v>
      </c>
      <c r="C42" s="319">
        <v>100</v>
      </c>
      <c r="E42" s="320">
        <f t="shared" si="4"/>
        <v>100</v>
      </c>
      <c r="F42" s="319">
        <v>100</v>
      </c>
      <c r="H42" s="320">
        <f t="shared" si="6"/>
        <v>100</v>
      </c>
      <c r="I42" s="319">
        <v>50</v>
      </c>
      <c r="J42" s="321">
        <v>50</v>
      </c>
      <c r="L42" s="320">
        <f t="shared" si="7"/>
        <v>100</v>
      </c>
      <c r="M42" s="319">
        <v>100</v>
      </c>
      <c r="O42" s="320">
        <f t="shared" si="8"/>
        <v>100</v>
      </c>
    </row>
    <row r="43" spans="1:15" x14ac:dyDescent="0.25">
      <c r="A43" s="64" t="s">
        <v>2665</v>
      </c>
      <c r="B43" s="319" t="str">
        <f>VLOOKUP(A43,TV_Merged!E:F,2,FALSE)</f>
        <v>Adovacy against HTP</v>
      </c>
      <c r="C43" s="319">
        <v>100</v>
      </c>
      <c r="E43" s="320">
        <f t="shared" si="4"/>
        <v>100</v>
      </c>
      <c r="F43" s="319">
        <v>100</v>
      </c>
      <c r="H43" s="320">
        <f t="shared" si="6"/>
        <v>100</v>
      </c>
      <c r="I43" s="319">
        <v>50</v>
      </c>
      <c r="J43" s="321">
        <v>50</v>
      </c>
      <c r="L43" s="320">
        <f t="shared" si="7"/>
        <v>100</v>
      </c>
      <c r="M43" s="319">
        <v>100</v>
      </c>
      <c r="O43" s="320">
        <f t="shared" si="8"/>
        <v>100</v>
      </c>
    </row>
    <row r="44" spans="1:15" x14ac:dyDescent="0.25">
      <c r="A44" s="64" t="s">
        <v>2668</v>
      </c>
      <c r="B44" s="319" t="str">
        <f>VLOOKUP(A44,TV_Merged!E:F,2,FALSE)</f>
        <v>SRH counseling for men</v>
      </c>
      <c r="C44" s="319">
        <v>100</v>
      </c>
      <c r="E44" s="320">
        <f t="shared" si="4"/>
        <v>100</v>
      </c>
      <c r="F44" s="319">
        <v>100</v>
      </c>
      <c r="H44" s="320">
        <f t="shared" si="6"/>
        <v>100</v>
      </c>
      <c r="I44" s="319">
        <v>50</v>
      </c>
      <c r="J44" s="321">
        <v>50</v>
      </c>
      <c r="L44" s="320">
        <f t="shared" si="7"/>
        <v>100</v>
      </c>
      <c r="M44" s="319">
        <v>100</v>
      </c>
      <c r="O44" s="320">
        <f t="shared" si="8"/>
        <v>100</v>
      </c>
    </row>
    <row r="45" spans="1:15" x14ac:dyDescent="0.25">
      <c r="A45" s="64" t="s">
        <v>2669</v>
      </c>
      <c r="B45" s="319" t="str">
        <f>VLOOKUP(A45,TV_Merged!E:F,2,FALSE)</f>
        <v>Promote breast feeding</v>
      </c>
      <c r="C45" s="319">
        <v>100</v>
      </c>
      <c r="E45" s="320">
        <f t="shared" si="4"/>
        <v>100</v>
      </c>
      <c r="F45" s="319">
        <v>100</v>
      </c>
      <c r="H45" s="320">
        <f t="shared" si="6"/>
        <v>100</v>
      </c>
      <c r="I45" s="319">
        <v>50</v>
      </c>
      <c r="J45" s="321">
        <v>50</v>
      </c>
      <c r="L45" s="320">
        <f t="shared" si="7"/>
        <v>100</v>
      </c>
      <c r="M45" s="319">
        <v>100</v>
      </c>
      <c r="O45" s="320">
        <f t="shared" si="8"/>
        <v>100</v>
      </c>
    </row>
    <row r="46" spans="1:15" x14ac:dyDescent="0.25">
      <c r="A46" s="64" t="s">
        <v>2670</v>
      </c>
      <c r="B46" s="319" t="str">
        <f>VLOOKUP(A46,TV_Merged!E:F,2,FALSE)</f>
        <v>Nutritional screening during pregnancy</v>
      </c>
      <c r="C46" s="319">
        <v>100</v>
      </c>
      <c r="E46" s="320">
        <f t="shared" si="4"/>
        <v>100</v>
      </c>
      <c r="F46" s="319">
        <v>100</v>
      </c>
      <c r="H46" s="320">
        <f t="shared" si="6"/>
        <v>100</v>
      </c>
      <c r="I46" s="319">
        <v>50</v>
      </c>
      <c r="J46" s="321">
        <v>50</v>
      </c>
      <c r="L46" s="320">
        <f t="shared" si="7"/>
        <v>100</v>
      </c>
      <c r="M46" s="319">
        <v>100</v>
      </c>
      <c r="O46" s="320">
        <f t="shared" si="8"/>
        <v>100</v>
      </c>
    </row>
    <row r="47" spans="1:15" x14ac:dyDescent="0.25">
      <c r="A47" s="64" t="s">
        <v>2671</v>
      </c>
      <c r="B47" s="319" t="str">
        <f>VLOOKUP(A47,TV_Merged!E:F,2,FALSE)</f>
        <v>Monthly monitoring</v>
      </c>
      <c r="C47" s="319">
        <v>100</v>
      </c>
      <c r="E47" s="320">
        <f t="shared" si="4"/>
        <v>100</v>
      </c>
      <c r="F47" s="319">
        <v>100</v>
      </c>
      <c r="H47" s="320">
        <f t="shared" si="6"/>
        <v>100</v>
      </c>
      <c r="I47" s="319">
        <v>50</v>
      </c>
      <c r="J47" s="321">
        <v>50</v>
      </c>
      <c r="L47" s="320">
        <f t="shared" si="7"/>
        <v>100</v>
      </c>
      <c r="M47" s="319">
        <v>100</v>
      </c>
      <c r="O47" s="320">
        <f t="shared" si="8"/>
        <v>100</v>
      </c>
    </row>
    <row r="48" spans="1:15" x14ac:dyDescent="0.25">
      <c r="A48" s="64" t="s">
        <v>2672</v>
      </c>
      <c r="B48" s="319" t="str">
        <f>VLOOKUP(A48,TV_Merged!E:F,2,FALSE)</f>
        <v>MUAC and oedema screening</v>
      </c>
      <c r="C48" s="319">
        <v>100</v>
      </c>
      <c r="E48" s="320">
        <f t="shared" si="4"/>
        <v>100</v>
      </c>
      <c r="F48" s="319">
        <v>100</v>
      </c>
      <c r="H48" s="320">
        <f t="shared" si="6"/>
        <v>100</v>
      </c>
      <c r="I48" s="319">
        <v>50</v>
      </c>
      <c r="J48" s="321">
        <v>50</v>
      </c>
      <c r="L48" s="320">
        <f t="shared" si="7"/>
        <v>100</v>
      </c>
      <c r="M48" s="319">
        <v>100</v>
      </c>
      <c r="O48" s="320">
        <f t="shared" si="8"/>
        <v>100</v>
      </c>
    </row>
    <row r="49" spans="1:15" x14ac:dyDescent="0.25">
      <c r="A49" s="64" t="s">
        <v>2674</v>
      </c>
      <c r="B49" s="319" t="str">
        <f>VLOOKUP(A49,TV_Merged!E:F,2,FALSE)</f>
        <v>Promote nutrition for MNC</v>
      </c>
      <c r="C49" s="319">
        <v>100</v>
      </c>
      <c r="E49" s="320">
        <f t="shared" si="4"/>
        <v>100</v>
      </c>
      <c r="F49" s="319">
        <v>100</v>
      </c>
      <c r="H49" s="320">
        <f t="shared" si="6"/>
        <v>100</v>
      </c>
      <c r="I49" s="319">
        <v>50</v>
      </c>
      <c r="J49" s="321">
        <v>50</v>
      </c>
      <c r="L49" s="320">
        <f t="shared" si="7"/>
        <v>100</v>
      </c>
      <c r="M49" s="319">
        <v>100</v>
      </c>
      <c r="O49" s="320">
        <f t="shared" si="8"/>
        <v>100</v>
      </c>
    </row>
    <row r="50" spans="1:15" x14ac:dyDescent="0.25">
      <c r="A50" s="64" t="s">
        <v>2675</v>
      </c>
      <c r="B50" s="319" t="str">
        <f>VLOOKUP(A50,TV_Merged!E:F,2,FALSE)</f>
        <v>Education re nutrition</v>
      </c>
      <c r="C50" s="319">
        <v>100</v>
      </c>
      <c r="E50" s="320">
        <f t="shared" si="4"/>
        <v>100</v>
      </c>
      <c r="F50" s="319">
        <v>100</v>
      </c>
      <c r="H50" s="320">
        <f t="shared" si="6"/>
        <v>100</v>
      </c>
      <c r="I50" s="319">
        <v>50</v>
      </c>
      <c r="J50" s="321">
        <v>50</v>
      </c>
      <c r="L50" s="320">
        <f t="shared" si="7"/>
        <v>100</v>
      </c>
      <c r="M50" s="319">
        <v>100</v>
      </c>
      <c r="O50" s="320">
        <f t="shared" si="8"/>
        <v>100</v>
      </c>
    </row>
    <row r="51" spans="1:15" x14ac:dyDescent="0.25">
      <c r="A51" s="64" t="s">
        <v>2678</v>
      </c>
      <c r="B51" s="319" t="str">
        <f>VLOOKUP(A51,TV_Merged!E:F,2,FALSE)</f>
        <v>Promote iodized salt &amp; fortified food</v>
      </c>
      <c r="C51" s="319">
        <v>100</v>
      </c>
      <c r="E51" s="320">
        <f t="shared" si="4"/>
        <v>100</v>
      </c>
      <c r="F51" s="319">
        <v>100</v>
      </c>
      <c r="H51" s="320">
        <f t="shared" si="6"/>
        <v>100</v>
      </c>
      <c r="I51" s="319">
        <v>50</v>
      </c>
      <c r="J51" s="321">
        <v>50</v>
      </c>
      <c r="L51" s="320">
        <f t="shared" si="7"/>
        <v>100</v>
      </c>
      <c r="M51" s="319">
        <v>100</v>
      </c>
      <c r="O51" s="320">
        <f t="shared" si="8"/>
        <v>100</v>
      </c>
    </row>
    <row r="52" spans="1:15" x14ac:dyDescent="0.25">
      <c r="A52" s="64" t="s">
        <v>2679</v>
      </c>
      <c r="B52" s="319" t="str">
        <f>VLOOKUP(A52,TV_Merged!E:F,2,FALSE)</f>
        <v>Nutrition outreach</v>
      </c>
      <c r="C52" s="319">
        <v>100</v>
      </c>
      <c r="E52" s="320">
        <f t="shared" si="4"/>
        <v>100</v>
      </c>
      <c r="F52" s="319">
        <v>100</v>
      </c>
      <c r="H52" s="320">
        <f t="shared" si="6"/>
        <v>100</v>
      </c>
      <c r="I52" s="319">
        <v>50</v>
      </c>
      <c r="J52" s="321">
        <v>50</v>
      </c>
      <c r="L52" s="320">
        <f t="shared" si="7"/>
        <v>100</v>
      </c>
      <c r="M52" s="319">
        <v>100</v>
      </c>
      <c r="O52" s="320">
        <f t="shared" si="8"/>
        <v>100</v>
      </c>
    </row>
    <row r="53" spans="1:15" x14ac:dyDescent="0.25">
      <c r="A53" s="64" t="s">
        <v>2680</v>
      </c>
      <c r="B53" s="319" t="str">
        <f>VLOOKUP(A53,TV_Merged!E:F,2,FALSE)</f>
        <v>Promote gender equity &amp; empowerment</v>
      </c>
      <c r="C53" s="319">
        <v>100</v>
      </c>
      <c r="E53" s="320">
        <f t="shared" si="4"/>
        <v>100</v>
      </c>
      <c r="F53" s="319">
        <v>100</v>
      </c>
      <c r="H53" s="320">
        <f t="shared" si="6"/>
        <v>100</v>
      </c>
      <c r="I53" s="319">
        <v>50</v>
      </c>
      <c r="J53" s="321">
        <v>50</v>
      </c>
      <c r="L53" s="320">
        <f t="shared" si="7"/>
        <v>100</v>
      </c>
      <c r="M53" s="319">
        <v>100</v>
      </c>
      <c r="O53" s="320">
        <f t="shared" si="8"/>
        <v>100</v>
      </c>
    </row>
    <row r="54" spans="1:15" x14ac:dyDescent="0.25">
      <c r="A54" s="64" t="s">
        <v>2681</v>
      </c>
      <c r="B54" s="319" t="str">
        <f>VLOOKUP(A54,TV_Merged!E:F,2,FALSE)</f>
        <v>Nutritional disaster response</v>
      </c>
      <c r="C54" s="319">
        <v>100</v>
      </c>
      <c r="E54" s="320">
        <f t="shared" si="4"/>
        <v>100</v>
      </c>
      <c r="F54" s="319">
        <v>100</v>
      </c>
      <c r="H54" s="320">
        <f t="shared" si="6"/>
        <v>100</v>
      </c>
      <c r="I54" s="319">
        <v>50</v>
      </c>
      <c r="J54" s="321">
        <v>50</v>
      </c>
      <c r="L54" s="320">
        <f t="shared" si="7"/>
        <v>100</v>
      </c>
      <c r="M54" s="319">
        <v>100</v>
      </c>
      <c r="O54" s="320">
        <f t="shared" si="8"/>
        <v>100</v>
      </c>
    </row>
    <row r="55" spans="1:15" x14ac:dyDescent="0.25">
      <c r="A55" s="64" t="s">
        <v>2682</v>
      </c>
      <c r="B55" s="319" t="str">
        <f>VLOOKUP(A55,TV_Merged!E:F,2,FALSE)</f>
        <v>Multisectoral nutrition intervention</v>
      </c>
      <c r="C55" s="319">
        <v>100</v>
      </c>
      <c r="E55" s="320">
        <f t="shared" si="4"/>
        <v>100</v>
      </c>
      <c r="F55" s="319">
        <v>100</v>
      </c>
      <c r="H55" s="320">
        <f t="shared" si="6"/>
        <v>100</v>
      </c>
      <c r="I55" s="319">
        <v>50</v>
      </c>
      <c r="J55" s="321">
        <v>50</v>
      </c>
      <c r="L55" s="320">
        <f t="shared" si="7"/>
        <v>100</v>
      </c>
      <c r="M55" s="319">
        <v>100</v>
      </c>
      <c r="O55" s="320">
        <f t="shared" si="8"/>
        <v>100</v>
      </c>
    </row>
    <row r="56" spans="1:15" x14ac:dyDescent="0.25">
      <c r="A56" s="64" t="s">
        <v>2683</v>
      </c>
      <c r="B56" s="319" t="str">
        <f>VLOOKUP(A56,TV_Merged!E:F,2,FALSE)</f>
        <v>Breast feeding technique</v>
      </c>
      <c r="C56" s="319">
        <v>100</v>
      </c>
      <c r="E56" s="320">
        <f t="shared" si="4"/>
        <v>100</v>
      </c>
      <c r="F56" s="319">
        <v>100</v>
      </c>
      <c r="H56" s="320">
        <f t="shared" si="6"/>
        <v>100</v>
      </c>
      <c r="I56" s="319">
        <v>50</v>
      </c>
      <c r="J56" s="321">
        <v>50</v>
      </c>
      <c r="L56" s="320">
        <f t="shared" si="7"/>
        <v>100</v>
      </c>
      <c r="M56" s="319">
        <v>100</v>
      </c>
      <c r="O56" s="320">
        <f t="shared" si="8"/>
        <v>100</v>
      </c>
    </row>
    <row r="57" spans="1:15" x14ac:dyDescent="0.25">
      <c r="A57" s="64" t="s">
        <v>2684</v>
      </c>
      <c r="B57" s="319" t="str">
        <f>VLOOKUP(A57,TV_Merged!E:F,2,FALSE)</f>
        <v>Acute malnutrition</v>
      </c>
      <c r="C57" s="319">
        <v>100</v>
      </c>
      <c r="E57" s="320">
        <f t="shared" si="4"/>
        <v>100</v>
      </c>
      <c r="F57" s="319">
        <v>100</v>
      </c>
      <c r="H57" s="320">
        <f t="shared" si="6"/>
        <v>100</v>
      </c>
      <c r="I57" s="319">
        <v>50</v>
      </c>
      <c r="J57" s="321">
        <v>50</v>
      </c>
      <c r="L57" s="320">
        <f t="shared" si="7"/>
        <v>100</v>
      </c>
      <c r="M57" s="319">
        <v>100</v>
      </c>
      <c r="O57" s="320">
        <f t="shared" si="8"/>
        <v>100</v>
      </c>
    </row>
    <row r="58" spans="1:15" x14ac:dyDescent="0.25">
      <c r="A58" s="64" t="s">
        <v>2685</v>
      </c>
      <c r="B58" s="319" t="str">
        <f>VLOOKUP(A58,TV_Merged!E:F,2,FALSE)</f>
        <v>Counsel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25">
      <c r="A59" s="64" t="s">
        <v>2686</v>
      </c>
      <c r="B59" s="319" t="str">
        <f>VLOOKUP(A59,TV_Merged!E:F,2,FALSE)</f>
        <v>Timely complementary feeding</v>
      </c>
      <c r="C59" s="319">
        <v>100</v>
      </c>
      <c r="E59" s="320">
        <f t="shared" si="4"/>
        <v>100</v>
      </c>
      <c r="F59" s="319">
        <v>100</v>
      </c>
      <c r="H59" s="320">
        <f t="shared" si="6"/>
        <v>100</v>
      </c>
      <c r="I59" s="319">
        <v>50</v>
      </c>
      <c r="J59" s="321">
        <v>50</v>
      </c>
      <c r="L59" s="320">
        <f t="shared" si="7"/>
        <v>100</v>
      </c>
      <c r="M59" s="319">
        <v>100</v>
      </c>
      <c r="O59" s="320">
        <f t="shared" si="8"/>
        <v>100</v>
      </c>
    </row>
    <row r="60" spans="1:15" x14ac:dyDescent="0.25">
      <c r="A60" s="64" t="s">
        <v>2687</v>
      </c>
      <c r="B60" s="319" t="str">
        <f>VLOOKUP(A60,TV_Merged!E:F,2,FALSE)</f>
        <v>Promote BF until 24 months</v>
      </c>
      <c r="C60" s="319">
        <v>100</v>
      </c>
      <c r="E60" s="320">
        <f t="shared" si="4"/>
        <v>100</v>
      </c>
      <c r="F60" s="319">
        <v>100</v>
      </c>
      <c r="H60" s="320">
        <f t="shared" si="6"/>
        <v>100</v>
      </c>
      <c r="I60" s="319">
        <v>50</v>
      </c>
      <c r="J60" s="321">
        <v>50</v>
      </c>
      <c r="L60" s="320">
        <f t="shared" si="7"/>
        <v>100</v>
      </c>
      <c r="M60" s="319">
        <v>100</v>
      </c>
      <c r="O60" s="320">
        <f t="shared" si="8"/>
        <v>100</v>
      </c>
    </row>
    <row r="61" spans="1:15" x14ac:dyDescent="0.25">
      <c r="A61" s="64" t="s">
        <v>2688</v>
      </c>
      <c r="B61" s="319" t="str">
        <f>VLOOKUP(A61,TV_Merged!E:F,2,FALSE)</f>
        <v>Promote BF during child illness</v>
      </c>
      <c r="C61" s="319">
        <v>100</v>
      </c>
      <c r="E61" s="320">
        <f t="shared" si="4"/>
        <v>100</v>
      </c>
      <c r="F61" s="319">
        <v>100</v>
      </c>
      <c r="H61" s="320">
        <f t="shared" si="6"/>
        <v>100</v>
      </c>
      <c r="I61" s="319">
        <v>50</v>
      </c>
      <c r="J61" s="321">
        <v>50</v>
      </c>
      <c r="L61" s="320">
        <f t="shared" si="7"/>
        <v>100</v>
      </c>
      <c r="M61" s="319">
        <v>100</v>
      </c>
      <c r="O61" s="320">
        <f t="shared" si="8"/>
        <v>100</v>
      </c>
    </row>
    <row r="62" spans="1:15" x14ac:dyDescent="0.25">
      <c r="A62" s="64" t="s">
        <v>2689</v>
      </c>
      <c r="B62" s="319" t="str">
        <f>VLOOKUP(A62,TV_Merged!E:F,2,FALSE)</f>
        <v>Educate on complementary foods</v>
      </c>
      <c r="C62" s="319">
        <v>100</v>
      </c>
      <c r="E62" s="320">
        <f t="shared" si="4"/>
        <v>100</v>
      </c>
      <c r="F62" s="319">
        <v>100</v>
      </c>
      <c r="H62" s="320">
        <f t="shared" si="6"/>
        <v>100</v>
      </c>
      <c r="I62" s="319">
        <v>50</v>
      </c>
      <c r="J62" s="321">
        <v>50</v>
      </c>
      <c r="L62" s="320">
        <f t="shared" si="7"/>
        <v>100</v>
      </c>
      <c r="M62" s="319">
        <v>100</v>
      </c>
      <c r="O62" s="320">
        <f t="shared" si="8"/>
        <v>100</v>
      </c>
    </row>
    <row r="63" spans="1:15" x14ac:dyDescent="0.25">
      <c r="A63" s="64" t="s">
        <v>2690</v>
      </c>
      <c r="B63" s="319" t="str">
        <f>VLOOKUP(A63,TV_Merged!E:F,2,FALSE)</f>
        <v>Nutrition education for children</v>
      </c>
      <c r="C63" s="319">
        <v>100</v>
      </c>
      <c r="E63" s="320">
        <f t="shared" si="4"/>
        <v>100</v>
      </c>
      <c r="F63" s="319">
        <v>100</v>
      </c>
      <c r="H63" s="320">
        <f t="shared" si="6"/>
        <v>100</v>
      </c>
      <c r="I63" s="319">
        <v>50</v>
      </c>
      <c r="J63" s="321">
        <v>50</v>
      </c>
      <c r="L63" s="320">
        <f t="shared" si="7"/>
        <v>100</v>
      </c>
      <c r="M63" s="319">
        <v>100</v>
      </c>
      <c r="O63" s="320">
        <f t="shared" si="8"/>
        <v>100</v>
      </c>
    </row>
    <row r="64" spans="1:15" x14ac:dyDescent="0.25">
      <c r="A64" s="64" t="s">
        <v>2692</v>
      </c>
      <c r="B64" s="319" t="str">
        <f>VLOOKUP(A64,TV_Merged!E:F,2,FALSE)</f>
        <v>Risk reduction</v>
      </c>
      <c r="C64" s="319">
        <v>100</v>
      </c>
      <c r="E64" s="320">
        <f t="shared" si="4"/>
        <v>100</v>
      </c>
      <c r="F64" s="319">
        <v>100</v>
      </c>
      <c r="H64" s="320">
        <f t="shared" si="6"/>
        <v>100</v>
      </c>
      <c r="I64" s="319">
        <v>50</v>
      </c>
      <c r="J64" s="321">
        <v>50</v>
      </c>
      <c r="L64" s="320">
        <f t="shared" si="7"/>
        <v>100</v>
      </c>
      <c r="M64" s="319">
        <v>100</v>
      </c>
      <c r="O64" s="320">
        <f t="shared" si="8"/>
        <v>100</v>
      </c>
    </row>
    <row r="65" spans="1:15" x14ac:dyDescent="0.25">
      <c r="A65" s="64" t="s">
        <v>2696</v>
      </c>
      <c r="B65" s="319" t="str">
        <f>VLOOKUP(A65,TV_Merged!E:F,2,FALSE)</f>
        <v>HIV linkages</v>
      </c>
      <c r="C65" s="319">
        <v>100</v>
      </c>
      <c r="E65" s="320">
        <f t="shared" si="4"/>
        <v>100</v>
      </c>
      <c r="F65" s="319">
        <v>100</v>
      </c>
      <c r="H65" s="320">
        <f t="shared" si="6"/>
        <v>100</v>
      </c>
      <c r="I65" s="319">
        <v>50</v>
      </c>
      <c r="J65" s="321">
        <v>50</v>
      </c>
      <c r="L65" s="320">
        <f t="shared" si="7"/>
        <v>100</v>
      </c>
      <c r="M65" s="319">
        <v>100</v>
      </c>
      <c r="O65" s="320">
        <f t="shared" si="8"/>
        <v>100</v>
      </c>
    </row>
    <row r="66" spans="1:15" x14ac:dyDescent="0.25">
      <c r="A66" s="64" t="s">
        <v>2699</v>
      </c>
      <c r="B66" s="319" t="str">
        <f>VLOOKUP(A66,TV_Merged!E:F,2,FALSE)</f>
        <v>Vector control</v>
      </c>
      <c r="C66" s="319">
        <v>100</v>
      </c>
      <c r="E66" s="320">
        <f t="shared" si="4"/>
        <v>100</v>
      </c>
      <c r="F66" s="319">
        <v>100</v>
      </c>
      <c r="H66" s="320">
        <f t="shared" ref="H66:H97" si="9">SUM(F66:G66)</f>
        <v>100</v>
      </c>
      <c r="I66" s="319">
        <v>50</v>
      </c>
      <c r="J66" s="321">
        <v>50</v>
      </c>
      <c r="L66" s="320">
        <f t="shared" ref="L66:L97" si="10">SUM(I66:K66)</f>
        <v>100</v>
      </c>
      <c r="M66" s="319">
        <v>100</v>
      </c>
      <c r="O66" s="320">
        <f t="shared" ref="O66:O97" si="11">SUM(M66:N66)</f>
        <v>100</v>
      </c>
    </row>
    <row r="67" spans="1:15" x14ac:dyDescent="0.25">
      <c r="A67" s="64" t="s">
        <v>2700</v>
      </c>
      <c r="B67" s="319" t="str">
        <f>VLOOKUP(A67,TV_Merged!E:F,2,FALSE)</f>
        <v>Malaria surveillance</v>
      </c>
      <c r="C67" s="319">
        <v>100</v>
      </c>
      <c r="E67" s="320">
        <f t="shared" si="4"/>
        <v>100</v>
      </c>
      <c r="F67" s="319">
        <v>100</v>
      </c>
      <c r="H67" s="320">
        <f t="shared" si="9"/>
        <v>100</v>
      </c>
      <c r="I67" s="319">
        <v>50</v>
      </c>
      <c r="J67" s="321">
        <v>50</v>
      </c>
      <c r="L67" s="320">
        <f t="shared" si="10"/>
        <v>100</v>
      </c>
      <c r="M67" s="319">
        <v>100</v>
      </c>
      <c r="O67" s="320">
        <f t="shared" si="11"/>
        <v>100</v>
      </c>
    </row>
    <row r="68" spans="1:15" x14ac:dyDescent="0.25">
      <c r="A68" s="64" t="s">
        <v>2701</v>
      </c>
      <c r="B68" s="319" t="str">
        <f>VLOOKUP(A68,TV_Merged!E:F,2,FALSE)</f>
        <v>Risk reduction</v>
      </c>
      <c r="C68" s="319">
        <v>100</v>
      </c>
      <c r="E68" s="320">
        <f t="shared" si="4"/>
        <v>100</v>
      </c>
      <c r="F68" s="319">
        <v>100</v>
      </c>
      <c r="H68" s="320">
        <f t="shared" si="9"/>
        <v>100</v>
      </c>
      <c r="I68" s="319">
        <v>50</v>
      </c>
      <c r="J68" s="321">
        <v>50</v>
      </c>
      <c r="L68" s="320">
        <f t="shared" si="10"/>
        <v>100</v>
      </c>
      <c r="M68" s="319">
        <v>100</v>
      </c>
      <c r="O68" s="320">
        <f t="shared" si="11"/>
        <v>100</v>
      </c>
    </row>
    <row r="69" spans="1:15" x14ac:dyDescent="0.25">
      <c r="A69" s="64" t="s">
        <v>2702</v>
      </c>
      <c r="B69" s="319" t="str">
        <f>VLOOKUP(A69,TV_Merged!E:F,2,FALSE)</f>
        <v>Outbreak detection &amp; response</v>
      </c>
      <c r="C69" s="319">
        <v>100</v>
      </c>
      <c r="E69" s="320">
        <f t="shared" si="4"/>
        <v>100</v>
      </c>
      <c r="F69" s="319">
        <v>100</v>
      </c>
      <c r="H69" s="320">
        <f t="shared" si="9"/>
        <v>100</v>
      </c>
      <c r="I69" s="319">
        <v>50</v>
      </c>
      <c r="J69" s="321">
        <v>50</v>
      </c>
      <c r="L69" s="320">
        <f t="shared" si="10"/>
        <v>100</v>
      </c>
      <c r="M69" s="319">
        <v>100</v>
      </c>
      <c r="O69" s="320">
        <f t="shared" si="11"/>
        <v>100</v>
      </c>
    </row>
    <row r="70" spans="1:15" x14ac:dyDescent="0.25">
      <c r="A70" s="64" t="s">
        <v>2375</v>
      </c>
      <c r="B70" s="319" t="str">
        <f>VLOOKUP(A70,TV_Merged!E:F,2,FALSE)</f>
        <v>Testing</v>
      </c>
      <c r="C70" s="319">
        <v>100</v>
      </c>
      <c r="E70" s="320">
        <f t="shared" si="4"/>
        <v>100</v>
      </c>
      <c r="F70" s="319">
        <v>100</v>
      </c>
      <c r="H70" s="320">
        <f t="shared" si="9"/>
        <v>100</v>
      </c>
      <c r="I70" s="319">
        <v>50</v>
      </c>
      <c r="J70" s="321">
        <v>50</v>
      </c>
      <c r="L70" s="320">
        <f t="shared" si="10"/>
        <v>100</v>
      </c>
      <c r="M70" s="319">
        <v>100</v>
      </c>
      <c r="O70" s="320">
        <f t="shared" si="11"/>
        <v>100</v>
      </c>
    </row>
    <row r="71" spans="1:15" x14ac:dyDescent="0.25">
      <c r="A71" s="64" t="s">
        <v>2376</v>
      </c>
      <c r="B71" s="319" t="str">
        <f>VLOOKUP(A71,TV_Merged!E:F,2,FALSE)</f>
        <v>Follow-up and linkage for positives</v>
      </c>
      <c r="C71" s="319">
        <v>100</v>
      </c>
      <c r="E71" s="320">
        <f t="shared" si="4"/>
        <v>100</v>
      </c>
      <c r="F71" s="319">
        <v>100</v>
      </c>
      <c r="H71" s="320">
        <f t="shared" si="9"/>
        <v>100</v>
      </c>
      <c r="I71" s="319">
        <v>50</v>
      </c>
      <c r="J71" s="321">
        <v>50</v>
      </c>
      <c r="L71" s="320">
        <f t="shared" si="10"/>
        <v>100</v>
      </c>
      <c r="M71" s="319">
        <v>100</v>
      </c>
      <c r="O71" s="320">
        <f t="shared" si="11"/>
        <v>100</v>
      </c>
    </row>
    <row r="72" spans="1:15" x14ac:dyDescent="0.25">
      <c r="A72" s="64" t="s">
        <v>2704</v>
      </c>
      <c r="B72" s="319" t="str">
        <f>VLOOKUP(A72,TV_Merged!E:F,2,FALSE)</f>
        <v>HIV prevention for TB patients</v>
      </c>
      <c r="C72" s="319">
        <v>100</v>
      </c>
      <c r="E72" s="320">
        <f t="shared" si="4"/>
        <v>100</v>
      </c>
      <c r="F72" s="319">
        <v>100</v>
      </c>
      <c r="H72" s="320">
        <f t="shared" si="9"/>
        <v>100</v>
      </c>
      <c r="I72" s="319">
        <v>50</v>
      </c>
      <c r="J72" s="321">
        <v>50</v>
      </c>
      <c r="L72" s="320">
        <f t="shared" si="10"/>
        <v>100</v>
      </c>
      <c r="M72" s="319">
        <v>100</v>
      </c>
      <c r="O72" s="320">
        <f t="shared" si="11"/>
        <v>100</v>
      </c>
    </row>
    <row r="73" spans="1:15" x14ac:dyDescent="0.25">
      <c r="A73" s="64" t="s">
        <v>2385</v>
      </c>
      <c r="B73" s="319" t="str">
        <f>VLOOKUP(A73,TV_Merged!E:F,2,FALSE)</f>
        <v>Promote protection from tobacco smoke</v>
      </c>
      <c r="C73" s="319">
        <v>100</v>
      </c>
      <c r="E73" s="320">
        <f t="shared" si="4"/>
        <v>100</v>
      </c>
      <c r="F73" s="319">
        <v>100</v>
      </c>
      <c r="H73" s="320">
        <f t="shared" si="9"/>
        <v>100</v>
      </c>
      <c r="I73" s="319">
        <v>50</v>
      </c>
      <c r="J73" s="321">
        <v>50</v>
      </c>
      <c r="L73" s="320">
        <f t="shared" si="10"/>
        <v>100</v>
      </c>
      <c r="M73" s="319">
        <v>100</v>
      </c>
      <c r="O73" s="320">
        <f t="shared" si="11"/>
        <v>100</v>
      </c>
    </row>
    <row r="74" spans="1:15" x14ac:dyDescent="0.25">
      <c r="A74" s="64" t="s">
        <v>2386</v>
      </c>
      <c r="B74" s="319" t="str">
        <f>VLOOKUP(A74,TV_Merged!E:F,2,FALSE)</f>
        <v>Campaigns re: alcohol use</v>
      </c>
      <c r="C74" s="319">
        <v>100</v>
      </c>
      <c r="E74" s="320">
        <f t="shared" si="4"/>
        <v>100</v>
      </c>
      <c r="F74" s="319">
        <v>100</v>
      </c>
      <c r="H74" s="320">
        <f t="shared" si="9"/>
        <v>100</v>
      </c>
      <c r="I74" s="319">
        <v>50</v>
      </c>
      <c r="J74" s="321">
        <v>50</v>
      </c>
      <c r="L74" s="320">
        <f t="shared" si="10"/>
        <v>100</v>
      </c>
      <c r="M74" s="319">
        <v>100</v>
      </c>
      <c r="O74" s="320">
        <f t="shared" si="11"/>
        <v>100</v>
      </c>
    </row>
    <row r="75" spans="1:15" x14ac:dyDescent="0.25">
      <c r="A75" s="64" t="s">
        <v>2387</v>
      </c>
      <c r="B75" s="319" t="str">
        <f>VLOOKUP(A75,TV_Merged!E:F,2,FALSE)</f>
        <v>Community-level physical activity</v>
      </c>
      <c r="C75" s="319">
        <v>100</v>
      </c>
      <c r="E75" s="320">
        <f t="shared" si="4"/>
        <v>100</v>
      </c>
      <c r="F75" s="319">
        <v>100</v>
      </c>
      <c r="H75" s="320">
        <f t="shared" si="9"/>
        <v>100</v>
      </c>
      <c r="I75" s="319">
        <v>50</v>
      </c>
      <c r="J75" s="321">
        <v>50</v>
      </c>
      <c r="L75" s="320">
        <f t="shared" si="10"/>
        <v>100</v>
      </c>
      <c r="M75" s="319">
        <v>100</v>
      </c>
      <c r="O75" s="320">
        <f t="shared" si="11"/>
        <v>100</v>
      </c>
    </row>
    <row r="76" spans="1:15" x14ac:dyDescent="0.25">
      <c r="A76" s="64" t="s">
        <v>2705</v>
      </c>
      <c r="B76" s="319" t="str">
        <f>VLOOKUP(A76,TV_Merged!E:F,2,FALSE)</f>
        <v>Awareness on risk factors</v>
      </c>
      <c r="C76" s="319">
        <v>100</v>
      </c>
      <c r="E76" s="320">
        <f t="shared" si="4"/>
        <v>100</v>
      </c>
      <c r="F76" s="319">
        <v>100</v>
      </c>
      <c r="H76" s="320">
        <f t="shared" si="9"/>
        <v>100</v>
      </c>
      <c r="I76" s="319">
        <v>50</v>
      </c>
      <c r="J76" s="321">
        <v>50</v>
      </c>
      <c r="L76" s="320">
        <f t="shared" si="10"/>
        <v>100</v>
      </c>
      <c r="M76" s="319">
        <v>100</v>
      </c>
      <c r="O76" s="320">
        <f t="shared" si="11"/>
        <v>100</v>
      </c>
    </row>
    <row r="77" spans="1:15" x14ac:dyDescent="0.25">
      <c r="A77" s="64" t="s">
        <v>2707</v>
      </c>
      <c r="B77" s="319" t="str">
        <f>VLOOKUP(A77,TV_Merged!E:F,2,FALSE)</f>
        <v>Breast cancer education</v>
      </c>
      <c r="C77" s="319">
        <v>100</v>
      </c>
      <c r="E77" s="320">
        <f t="shared" si="4"/>
        <v>100</v>
      </c>
      <c r="F77" s="319">
        <v>100</v>
      </c>
      <c r="H77" s="320">
        <f t="shared" si="9"/>
        <v>100</v>
      </c>
      <c r="I77" s="319">
        <v>50</v>
      </c>
      <c r="J77" s="321">
        <v>50</v>
      </c>
      <c r="L77" s="320">
        <f t="shared" si="10"/>
        <v>100</v>
      </c>
      <c r="M77" s="319">
        <v>100</v>
      </c>
      <c r="O77" s="320">
        <f t="shared" si="11"/>
        <v>100</v>
      </c>
    </row>
    <row r="78" spans="1:15" x14ac:dyDescent="0.25">
      <c r="A78" s="64" t="s">
        <v>2709</v>
      </c>
      <c r="B78" s="319" t="str">
        <f>VLOOKUP(A78,TV_Merged!E:F,2,FALSE)</f>
        <v>Palliative care for cancer</v>
      </c>
      <c r="C78" s="319">
        <v>100</v>
      </c>
      <c r="E78" s="320">
        <f t="shared" si="4"/>
        <v>100</v>
      </c>
      <c r="F78" s="319">
        <v>100</v>
      </c>
      <c r="H78" s="320">
        <f t="shared" si="9"/>
        <v>100</v>
      </c>
      <c r="I78" s="319">
        <v>50</v>
      </c>
      <c r="J78" s="321">
        <v>50</v>
      </c>
      <c r="L78" s="320">
        <f t="shared" si="10"/>
        <v>100</v>
      </c>
      <c r="M78" s="319">
        <v>100</v>
      </c>
      <c r="O78" s="320">
        <f t="shared" si="11"/>
        <v>100</v>
      </c>
    </row>
    <row r="79" spans="1:15" x14ac:dyDescent="0.25">
      <c r="A79" s="64" t="s">
        <v>2710</v>
      </c>
      <c r="B79" s="319" t="str">
        <f>VLOOKUP(A79,TV_Merged!E:F,2,FALSE)</f>
        <v>Lifestyle counseling</v>
      </c>
      <c r="C79" s="319">
        <v>100</v>
      </c>
      <c r="E79" s="320">
        <f t="shared" si="4"/>
        <v>100</v>
      </c>
      <c r="F79" s="319">
        <v>100</v>
      </c>
      <c r="H79" s="320">
        <f t="shared" si="9"/>
        <v>100</v>
      </c>
      <c r="I79" s="319">
        <v>50</v>
      </c>
      <c r="J79" s="321">
        <v>50</v>
      </c>
      <c r="L79" s="320">
        <f t="shared" si="10"/>
        <v>100</v>
      </c>
      <c r="M79" s="319">
        <v>100</v>
      </c>
      <c r="O79" s="320">
        <f t="shared" si="11"/>
        <v>100</v>
      </c>
    </row>
    <row r="80" spans="1:15" x14ac:dyDescent="0.25">
      <c r="A80" s="64" t="s">
        <v>2713</v>
      </c>
      <c r="B80" s="319" t="str">
        <f>VLOOKUP(A80,TV_Merged!E:F,2,FALSE)</f>
        <v>Lifestyle counseling</v>
      </c>
      <c r="C80" s="319">
        <v>100</v>
      </c>
      <c r="E80" s="320">
        <f t="shared" ref="E80:E107" si="12">SUM(C80:D80)</f>
        <v>100</v>
      </c>
      <c r="F80" s="319">
        <v>100</v>
      </c>
      <c r="H80" s="320">
        <f t="shared" si="9"/>
        <v>100</v>
      </c>
      <c r="I80" s="319">
        <v>50</v>
      </c>
      <c r="J80" s="321">
        <v>50</v>
      </c>
      <c r="L80" s="320">
        <f t="shared" si="10"/>
        <v>100</v>
      </c>
      <c r="M80" s="319">
        <v>100</v>
      </c>
      <c r="O80" s="320">
        <f t="shared" si="11"/>
        <v>100</v>
      </c>
    </row>
    <row r="81" spans="1:15" x14ac:dyDescent="0.25">
      <c r="A81" s="64" t="s">
        <v>2716</v>
      </c>
      <c r="B81" s="319" t="str">
        <f>VLOOKUP(A81,TV_Merged!E:F,2,FALSE)</f>
        <v>Smoking cessation</v>
      </c>
      <c r="C81" s="319">
        <v>100</v>
      </c>
      <c r="E81" s="320">
        <f t="shared" si="12"/>
        <v>100</v>
      </c>
      <c r="F81" s="319">
        <v>100</v>
      </c>
      <c r="H81" s="320">
        <f t="shared" si="9"/>
        <v>100</v>
      </c>
      <c r="I81" s="319">
        <v>50</v>
      </c>
      <c r="J81" s="321">
        <v>50</v>
      </c>
      <c r="L81" s="320">
        <f t="shared" si="10"/>
        <v>100</v>
      </c>
      <c r="M81" s="319">
        <v>100</v>
      </c>
      <c r="O81" s="320">
        <f t="shared" si="11"/>
        <v>100</v>
      </c>
    </row>
    <row r="82" spans="1:15" x14ac:dyDescent="0.25">
      <c r="A82" s="64" t="s">
        <v>2717</v>
      </c>
      <c r="B82" s="319" t="str">
        <f>VLOOKUP(A82,TV_Merged!E:F,2,FALSE)</f>
        <v>Prevention of risk factors</v>
      </c>
      <c r="C82" s="319">
        <v>100</v>
      </c>
      <c r="E82" s="320">
        <f t="shared" si="12"/>
        <v>100</v>
      </c>
      <c r="F82" s="319">
        <v>100</v>
      </c>
      <c r="H82" s="320">
        <f t="shared" si="9"/>
        <v>100</v>
      </c>
      <c r="I82" s="319">
        <v>50</v>
      </c>
      <c r="J82" s="321">
        <v>50</v>
      </c>
      <c r="L82" s="320">
        <f t="shared" si="10"/>
        <v>100</v>
      </c>
      <c r="M82" s="319">
        <v>100</v>
      </c>
      <c r="O82" s="320">
        <f t="shared" si="11"/>
        <v>100</v>
      </c>
    </row>
    <row r="83" spans="1:15" x14ac:dyDescent="0.25">
      <c r="A83" s="64" t="s">
        <v>2444</v>
      </c>
      <c r="B83" s="319" t="str">
        <f>VLOOKUP(A83,TV_Merged!E:F,2,FALSE)</f>
        <v>Generate community awareness</v>
      </c>
      <c r="C83" s="319">
        <v>100</v>
      </c>
      <c r="E83" s="320">
        <f t="shared" si="12"/>
        <v>100</v>
      </c>
      <c r="F83" s="319">
        <v>100</v>
      </c>
      <c r="H83" s="320">
        <f t="shared" si="9"/>
        <v>100</v>
      </c>
      <c r="I83" s="319">
        <v>50</v>
      </c>
      <c r="J83" s="321">
        <v>50</v>
      </c>
      <c r="L83" s="320">
        <f t="shared" si="10"/>
        <v>100</v>
      </c>
      <c r="M83" s="319">
        <v>100</v>
      </c>
      <c r="O83" s="320">
        <f t="shared" si="11"/>
        <v>100</v>
      </c>
    </row>
    <row r="84" spans="1:15" x14ac:dyDescent="0.25">
      <c r="A84" s="64" t="s">
        <v>2445</v>
      </c>
      <c r="B84" s="319" t="str">
        <f>VLOOKUP(A84,TV_Merged!E:F,2,FALSE)</f>
        <v>Identify &amp; link to care</v>
      </c>
      <c r="C84" s="319">
        <v>100</v>
      </c>
      <c r="E84" s="320">
        <f t="shared" si="12"/>
        <v>100</v>
      </c>
      <c r="F84" s="319">
        <v>100</v>
      </c>
      <c r="H84" s="320">
        <f t="shared" si="9"/>
        <v>100</v>
      </c>
      <c r="I84" s="319">
        <v>50</v>
      </c>
      <c r="J84" s="321">
        <v>50</v>
      </c>
      <c r="L84" s="320">
        <f t="shared" si="10"/>
        <v>100</v>
      </c>
      <c r="M84" s="319">
        <v>100</v>
      </c>
      <c r="O84" s="320">
        <f t="shared" si="11"/>
        <v>100</v>
      </c>
    </row>
    <row r="85" spans="1:15" x14ac:dyDescent="0.25">
      <c r="A85" s="64" t="s">
        <v>2720</v>
      </c>
      <c r="B85" s="319" t="str">
        <f>VLOOKUP(A85,TV_Merged!E:F,2,FALSE)</f>
        <v>Workplace stress reduction</v>
      </c>
      <c r="C85" s="319">
        <v>100</v>
      </c>
      <c r="E85" s="320">
        <f t="shared" si="12"/>
        <v>100</v>
      </c>
      <c r="F85" s="319">
        <v>100</v>
      </c>
      <c r="H85" s="320">
        <f t="shared" si="9"/>
        <v>100</v>
      </c>
      <c r="I85" s="319">
        <v>50</v>
      </c>
      <c r="J85" s="321">
        <v>50</v>
      </c>
      <c r="L85" s="320">
        <f t="shared" si="10"/>
        <v>100</v>
      </c>
      <c r="M85" s="319">
        <v>100</v>
      </c>
      <c r="O85" s="320">
        <f t="shared" si="11"/>
        <v>100</v>
      </c>
    </row>
    <row r="86" spans="1:15" x14ac:dyDescent="0.25">
      <c r="A86" s="64" t="s">
        <v>2721</v>
      </c>
      <c r="B86" s="319" t="str">
        <f>VLOOKUP(A86,TV_Merged!E:F,2,FALSE)</f>
        <v>School-based mental health programs</v>
      </c>
      <c r="C86" s="319">
        <v>100</v>
      </c>
      <c r="E86" s="320">
        <f t="shared" si="12"/>
        <v>100</v>
      </c>
      <c r="F86" s="319">
        <v>100</v>
      </c>
      <c r="H86" s="320">
        <f t="shared" si="9"/>
        <v>100</v>
      </c>
      <c r="I86" s="319">
        <v>50</v>
      </c>
      <c r="J86" s="321">
        <v>50</v>
      </c>
      <c r="L86" s="320">
        <f t="shared" si="10"/>
        <v>100</v>
      </c>
      <c r="M86" s="319">
        <v>100</v>
      </c>
      <c r="O86" s="320">
        <f t="shared" si="11"/>
        <v>100</v>
      </c>
    </row>
    <row r="87" spans="1:15" x14ac:dyDescent="0.25">
      <c r="A87" s="64" t="s">
        <v>2722</v>
      </c>
      <c r="B87" s="319" t="str">
        <f>VLOOKUP(A87,TV_Merged!E:F,2,FALSE)</f>
        <v>Identify &amp; assess drug use</v>
      </c>
      <c r="C87" s="319">
        <v>100</v>
      </c>
      <c r="E87" s="320">
        <f t="shared" si="12"/>
        <v>100</v>
      </c>
      <c r="F87" s="319">
        <v>100</v>
      </c>
      <c r="H87" s="320">
        <f t="shared" si="9"/>
        <v>100</v>
      </c>
      <c r="I87" s="319">
        <v>50</v>
      </c>
      <c r="J87" s="321">
        <v>50</v>
      </c>
      <c r="L87" s="320">
        <f t="shared" si="10"/>
        <v>100</v>
      </c>
      <c r="M87" s="319">
        <v>100</v>
      </c>
      <c r="O87" s="320">
        <f t="shared" si="11"/>
        <v>100</v>
      </c>
    </row>
    <row r="88" spans="1:15" x14ac:dyDescent="0.25">
      <c r="A88" s="64" t="s">
        <v>2723</v>
      </c>
      <c r="B88" s="319" t="str">
        <f>VLOOKUP(A88,TV_Merged!E:F,2,FALSE)</f>
        <v>Safer storage of pesticides</v>
      </c>
      <c r="C88" s="319">
        <v>100</v>
      </c>
      <c r="E88" s="320">
        <f t="shared" si="12"/>
        <v>100</v>
      </c>
      <c r="F88" s="319">
        <v>100</v>
      </c>
      <c r="H88" s="320">
        <f t="shared" si="9"/>
        <v>100</v>
      </c>
      <c r="I88" s="319">
        <v>50</v>
      </c>
      <c r="J88" s="321">
        <v>50</v>
      </c>
      <c r="L88" s="320">
        <f t="shared" si="10"/>
        <v>100</v>
      </c>
      <c r="M88" s="319">
        <v>100</v>
      </c>
      <c r="O88" s="320">
        <f t="shared" si="11"/>
        <v>100</v>
      </c>
    </row>
    <row r="89" spans="1:15" x14ac:dyDescent="0.25">
      <c r="A89" s="64" t="s">
        <v>2724</v>
      </c>
      <c r="B89" s="319" t="str">
        <f>VLOOKUP(A89,TV_Merged!E:F,2,FALSE)</f>
        <v>Emergency poisoning response</v>
      </c>
      <c r="C89" s="319">
        <v>100</v>
      </c>
      <c r="E89" s="320">
        <f t="shared" si="12"/>
        <v>100</v>
      </c>
      <c r="F89" s="319">
        <v>100</v>
      </c>
      <c r="H89" s="320">
        <f t="shared" si="9"/>
        <v>100</v>
      </c>
      <c r="I89" s="319">
        <v>50</v>
      </c>
      <c r="J89" s="321">
        <v>50</v>
      </c>
      <c r="L89" s="320">
        <f t="shared" si="10"/>
        <v>100</v>
      </c>
      <c r="M89" s="319">
        <v>100</v>
      </c>
      <c r="O89" s="320">
        <f t="shared" si="11"/>
        <v>100</v>
      </c>
    </row>
    <row r="90" spans="1:15" x14ac:dyDescent="0.25">
      <c r="A90" s="64" t="s">
        <v>2725</v>
      </c>
      <c r="B90" s="319" t="str">
        <f>VLOOKUP(A90,TV_Merged!E:F,2,FALSE)</f>
        <v>Awareness &amp; screening for cataracts</v>
      </c>
      <c r="C90" s="319">
        <v>100</v>
      </c>
      <c r="E90" s="320">
        <f t="shared" si="12"/>
        <v>100</v>
      </c>
      <c r="F90" s="319">
        <v>100</v>
      </c>
      <c r="H90" s="320">
        <f t="shared" si="9"/>
        <v>100</v>
      </c>
      <c r="I90" s="319">
        <v>50</v>
      </c>
      <c r="J90" s="321">
        <v>50</v>
      </c>
      <c r="L90" s="320">
        <f t="shared" si="10"/>
        <v>100</v>
      </c>
      <c r="M90" s="319">
        <v>100</v>
      </c>
      <c r="O90" s="320">
        <f t="shared" si="11"/>
        <v>100</v>
      </c>
    </row>
    <row r="91" spans="1:15" x14ac:dyDescent="0.25">
      <c r="A91" s="64" t="s">
        <v>2726</v>
      </c>
      <c r="B91" s="319" t="str">
        <f>VLOOKUP(A91,TV_Merged!E:F,2,FALSE)</f>
        <v>Awareness of eye glasses</v>
      </c>
      <c r="C91" s="319">
        <v>100</v>
      </c>
      <c r="E91" s="320">
        <f t="shared" si="12"/>
        <v>100</v>
      </c>
      <c r="F91" s="319">
        <v>100</v>
      </c>
      <c r="H91" s="320">
        <f t="shared" si="9"/>
        <v>100</v>
      </c>
      <c r="I91" s="319">
        <v>50</v>
      </c>
      <c r="J91" s="321">
        <v>50</v>
      </c>
      <c r="L91" s="320">
        <f t="shared" si="10"/>
        <v>100</v>
      </c>
      <c r="M91" s="319">
        <v>100</v>
      </c>
      <c r="O91" s="320">
        <f t="shared" si="11"/>
        <v>100</v>
      </c>
    </row>
    <row r="92" spans="1:15" x14ac:dyDescent="0.25">
      <c r="A92" s="64" t="s">
        <v>2729</v>
      </c>
      <c r="B92" s="319" t="str">
        <f>VLOOKUP(A92,TV_Merged!E:F,2,FALSE)</f>
        <v>Awareness &amp; screening for glaucoma</v>
      </c>
      <c r="C92" s="319">
        <v>100</v>
      </c>
      <c r="E92" s="320">
        <f t="shared" si="12"/>
        <v>100</v>
      </c>
      <c r="F92" s="319">
        <v>100</v>
      </c>
      <c r="H92" s="320">
        <f t="shared" si="9"/>
        <v>100</v>
      </c>
      <c r="I92" s="319">
        <v>50</v>
      </c>
      <c r="J92" s="321">
        <v>50</v>
      </c>
      <c r="L92" s="320">
        <f t="shared" si="10"/>
        <v>100</v>
      </c>
      <c r="M92" s="319">
        <v>100</v>
      </c>
      <c r="O92" s="320">
        <f t="shared" si="11"/>
        <v>100</v>
      </c>
    </row>
    <row r="93" spans="1:15" x14ac:dyDescent="0.25">
      <c r="A93" s="64" t="s">
        <v>2453</v>
      </c>
      <c r="B93" s="319" t="str">
        <f>VLOOKUP(A93,TV_Merged!E:F,2,FALSE)</f>
        <v>Surveillance for NTDs</v>
      </c>
      <c r="C93" s="319">
        <v>100</v>
      </c>
      <c r="E93" s="320">
        <f t="shared" si="12"/>
        <v>100</v>
      </c>
      <c r="F93" s="319">
        <v>100</v>
      </c>
      <c r="H93" s="320">
        <f t="shared" si="9"/>
        <v>100</v>
      </c>
      <c r="I93" s="319">
        <v>50</v>
      </c>
      <c r="J93" s="321">
        <v>50</v>
      </c>
      <c r="L93" s="320">
        <f t="shared" si="10"/>
        <v>100</v>
      </c>
      <c r="M93" s="319">
        <v>100</v>
      </c>
      <c r="O93" s="320">
        <f t="shared" si="11"/>
        <v>100</v>
      </c>
    </row>
    <row r="94" spans="1:15" x14ac:dyDescent="0.25">
      <c r="A94" s="64" t="s">
        <v>2732</v>
      </c>
      <c r="B94" s="319" t="str">
        <f>VLOOKUP(A94,TV_Merged!E:F,2,FALSE)</f>
        <v>LF screening &amp; referral</v>
      </c>
      <c r="C94" s="319">
        <v>100</v>
      </c>
      <c r="E94" s="320">
        <f t="shared" si="12"/>
        <v>100</v>
      </c>
      <c r="F94" s="319">
        <v>100</v>
      </c>
      <c r="H94" s="320">
        <f t="shared" si="9"/>
        <v>100</v>
      </c>
      <c r="I94" s="319">
        <v>50</v>
      </c>
      <c r="J94" s="321">
        <v>50</v>
      </c>
      <c r="L94" s="320">
        <f t="shared" si="10"/>
        <v>100</v>
      </c>
      <c r="M94" s="319">
        <v>100</v>
      </c>
      <c r="O94" s="320">
        <f t="shared" si="11"/>
        <v>100</v>
      </c>
    </row>
    <row r="95" spans="1:15" x14ac:dyDescent="0.25">
      <c r="A95" s="64" t="s">
        <v>2734</v>
      </c>
      <c r="B95" s="319" t="str">
        <f>VLOOKUP(A95,TV_Merged!E:F,2,FALSE)</f>
        <v>LLINs and IRS</v>
      </c>
      <c r="C95" s="319">
        <v>100</v>
      </c>
      <c r="E95" s="320">
        <f t="shared" si="12"/>
        <v>100</v>
      </c>
      <c r="F95" s="319">
        <v>100</v>
      </c>
      <c r="H95" s="320">
        <f t="shared" si="9"/>
        <v>100</v>
      </c>
      <c r="I95" s="319">
        <v>50</v>
      </c>
      <c r="J95" s="321">
        <v>50</v>
      </c>
      <c r="L95" s="320">
        <f t="shared" si="10"/>
        <v>100</v>
      </c>
      <c r="M95" s="319">
        <v>100</v>
      </c>
      <c r="O95" s="320">
        <f t="shared" si="11"/>
        <v>100</v>
      </c>
    </row>
    <row r="96" spans="1:15" x14ac:dyDescent="0.25">
      <c r="A96" s="64" t="s">
        <v>2735</v>
      </c>
      <c r="B96" s="319" t="str">
        <f>VLOOKUP(A96,TV_Merged!E:F,2,FALSE)</f>
        <v>LF behavior change</v>
      </c>
      <c r="C96" s="319">
        <v>100</v>
      </c>
      <c r="E96" s="320">
        <f t="shared" si="12"/>
        <v>100</v>
      </c>
      <c r="F96" s="319">
        <v>100</v>
      </c>
      <c r="H96" s="320">
        <f t="shared" si="9"/>
        <v>100</v>
      </c>
      <c r="I96" s="319">
        <v>50</v>
      </c>
      <c r="J96" s="321">
        <v>50</v>
      </c>
      <c r="L96" s="320">
        <f t="shared" si="10"/>
        <v>100</v>
      </c>
      <c r="M96" s="319">
        <v>100</v>
      </c>
      <c r="O96" s="320">
        <f t="shared" si="11"/>
        <v>100</v>
      </c>
    </row>
    <row r="97" spans="1:15" x14ac:dyDescent="0.25">
      <c r="A97" s="64" t="s">
        <v>2737</v>
      </c>
      <c r="B97" s="319" t="str">
        <f>VLOOKUP(A97,TV_Merged!E:F,2,FALSE)</f>
        <v>Oncho behavior change</v>
      </c>
      <c r="C97" s="319">
        <v>100</v>
      </c>
      <c r="E97" s="320">
        <f t="shared" si="12"/>
        <v>100</v>
      </c>
      <c r="F97" s="319">
        <v>100</v>
      </c>
      <c r="H97" s="320">
        <f t="shared" si="9"/>
        <v>100</v>
      </c>
      <c r="I97" s="319">
        <v>50</v>
      </c>
      <c r="J97" s="321">
        <v>50</v>
      </c>
      <c r="L97" s="320">
        <f t="shared" si="10"/>
        <v>100</v>
      </c>
      <c r="M97" s="319">
        <v>100</v>
      </c>
      <c r="O97" s="320">
        <f t="shared" si="11"/>
        <v>100</v>
      </c>
    </row>
    <row r="98" spans="1:15" x14ac:dyDescent="0.25">
      <c r="A98" s="64" t="s">
        <v>2738</v>
      </c>
      <c r="B98" s="319" t="str">
        <f>VLOOKUP(A98,TV_Merged!E:F,2,FALSE)</f>
        <v>Trachoma behavior change</v>
      </c>
      <c r="C98" s="319">
        <v>100</v>
      </c>
      <c r="E98" s="320">
        <f t="shared" si="12"/>
        <v>100</v>
      </c>
      <c r="F98" s="319">
        <v>100</v>
      </c>
      <c r="H98" s="320">
        <f t="shared" ref="H98:H107" si="13">SUM(F98:G98)</f>
        <v>100</v>
      </c>
      <c r="I98" s="319">
        <v>50</v>
      </c>
      <c r="J98" s="321">
        <v>50</v>
      </c>
      <c r="L98" s="320">
        <f t="shared" ref="L98:L107" si="14">SUM(I98:K98)</f>
        <v>100</v>
      </c>
      <c r="M98" s="319">
        <v>100</v>
      </c>
      <c r="O98" s="320">
        <f t="shared" ref="O98:O107" si="15">SUM(M98:N98)</f>
        <v>100</v>
      </c>
    </row>
    <row r="99" spans="1:15" x14ac:dyDescent="0.25">
      <c r="A99" s="64" t="s">
        <v>2739</v>
      </c>
      <c r="B99" s="319" t="str">
        <f>VLOOKUP(A99,TV_Merged!E:F,2,FALSE)</f>
        <v>Promote water and sanitation</v>
      </c>
      <c r="C99" s="319">
        <v>100</v>
      </c>
      <c r="E99" s="320">
        <f t="shared" si="12"/>
        <v>100</v>
      </c>
      <c r="F99" s="319">
        <v>100</v>
      </c>
      <c r="H99" s="320">
        <f t="shared" si="13"/>
        <v>100</v>
      </c>
      <c r="I99" s="319">
        <v>50</v>
      </c>
      <c r="J99" s="321">
        <v>50</v>
      </c>
      <c r="L99" s="320">
        <f t="shared" si="14"/>
        <v>100</v>
      </c>
      <c r="M99" s="319">
        <v>100</v>
      </c>
      <c r="O99" s="320">
        <f t="shared" si="15"/>
        <v>100</v>
      </c>
    </row>
    <row r="100" spans="1:15" x14ac:dyDescent="0.25">
      <c r="A100" s="64" t="s">
        <v>2743</v>
      </c>
      <c r="B100" s="319" t="str">
        <f>VLOOKUP(A100,TV_Merged!E:F,2,FALSE)</f>
        <v>Promote face washing</v>
      </c>
      <c r="C100" s="319">
        <v>100</v>
      </c>
      <c r="E100" s="320">
        <f t="shared" si="12"/>
        <v>100</v>
      </c>
      <c r="F100" s="319">
        <v>100</v>
      </c>
      <c r="H100" s="320">
        <f t="shared" si="13"/>
        <v>100</v>
      </c>
      <c r="I100" s="319">
        <v>50</v>
      </c>
      <c r="J100" s="321">
        <v>50</v>
      </c>
      <c r="L100" s="320">
        <f t="shared" si="14"/>
        <v>100</v>
      </c>
      <c r="M100" s="319">
        <v>100</v>
      </c>
      <c r="O100" s="320">
        <f t="shared" si="15"/>
        <v>100</v>
      </c>
    </row>
    <row r="101" spans="1:15" x14ac:dyDescent="0.25">
      <c r="A101" s="64" t="s">
        <v>2744</v>
      </c>
      <c r="B101" s="319" t="str">
        <f>VLOOKUP(A101,TV_Merged!E:F,2,FALSE)</f>
        <v>Schisto behavior change</v>
      </c>
      <c r="C101" s="319">
        <v>100</v>
      </c>
      <c r="E101" s="320">
        <f t="shared" si="12"/>
        <v>100</v>
      </c>
      <c r="F101" s="319">
        <v>100</v>
      </c>
      <c r="H101" s="320">
        <f t="shared" si="13"/>
        <v>100</v>
      </c>
      <c r="I101" s="319">
        <v>50</v>
      </c>
      <c r="J101" s="321">
        <v>50</v>
      </c>
      <c r="L101" s="320">
        <f t="shared" si="14"/>
        <v>100</v>
      </c>
      <c r="M101" s="319">
        <v>100</v>
      </c>
      <c r="O101" s="320">
        <f t="shared" si="15"/>
        <v>100</v>
      </c>
    </row>
    <row r="102" spans="1:15" x14ac:dyDescent="0.25">
      <c r="A102" s="64" t="s">
        <v>2746</v>
      </c>
      <c r="B102" s="319" t="str">
        <f>VLOOKUP(A102,TV_Merged!E:F,2,FALSE)</f>
        <v>Schisto MDA</v>
      </c>
      <c r="C102" s="319">
        <v>100</v>
      </c>
      <c r="E102" s="320">
        <f t="shared" si="12"/>
        <v>100</v>
      </c>
      <c r="F102" s="319">
        <v>100</v>
      </c>
      <c r="H102" s="320">
        <f t="shared" si="13"/>
        <v>100</v>
      </c>
      <c r="I102" s="319">
        <v>50</v>
      </c>
      <c r="J102" s="321">
        <v>50</v>
      </c>
      <c r="L102" s="320">
        <f t="shared" si="14"/>
        <v>100</v>
      </c>
      <c r="M102" s="319">
        <v>100</v>
      </c>
      <c r="O102" s="320">
        <f t="shared" si="15"/>
        <v>100</v>
      </c>
    </row>
    <row r="103" spans="1:15" x14ac:dyDescent="0.25">
      <c r="A103" s="64" t="s">
        <v>2747</v>
      </c>
      <c r="B103" s="319" t="str">
        <f>VLOOKUP(A103,TV_Merged!E:F,2,FALSE)</f>
        <v>STH behavior change</v>
      </c>
      <c r="C103" s="319">
        <v>100</v>
      </c>
      <c r="E103" s="320">
        <f t="shared" si="12"/>
        <v>100</v>
      </c>
      <c r="F103" s="319">
        <v>100</v>
      </c>
      <c r="H103" s="320">
        <f t="shared" si="13"/>
        <v>100</v>
      </c>
      <c r="I103" s="319">
        <v>50</v>
      </c>
      <c r="J103" s="321">
        <v>50</v>
      </c>
      <c r="L103" s="320">
        <f t="shared" si="14"/>
        <v>100</v>
      </c>
      <c r="M103" s="319">
        <v>100</v>
      </c>
      <c r="O103" s="320">
        <f t="shared" si="15"/>
        <v>100</v>
      </c>
    </row>
    <row r="104" spans="1:15" x14ac:dyDescent="0.25">
      <c r="A104" s="64" t="s">
        <v>2750</v>
      </c>
      <c r="B104" s="319" t="str">
        <f>VLOOKUP(A104,TV_Merged!E:F,2,FALSE)</f>
        <v>Scabies behavior change</v>
      </c>
      <c r="C104" s="319">
        <v>100</v>
      </c>
      <c r="E104" s="320">
        <f t="shared" si="12"/>
        <v>100</v>
      </c>
      <c r="F104" s="319">
        <v>100</v>
      </c>
      <c r="H104" s="320">
        <f t="shared" si="13"/>
        <v>100</v>
      </c>
      <c r="I104" s="319">
        <v>50</v>
      </c>
      <c r="J104" s="321">
        <v>50</v>
      </c>
      <c r="L104" s="320">
        <f t="shared" si="14"/>
        <v>100</v>
      </c>
      <c r="M104" s="319">
        <v>100</v>
      </c>
      <c r="O104" s="320">
        <f t="shared" si="15"/>
        <v>100</v>
      </c>
    </row>
    <row r="105" spans="1:15" x14ac:dyDescent="0.25">
      <c r="A105" s="64" t="s">
        <v>2627</v>
      </c>
      <c r="B105" s="319" t="str">
        <f>VLOOKUP(A105,TV_Merged!E:F,2,FALSE)</f>
        <v>Model household program</v>
      </c>
      <c r="C105" s="319">
        <v>100</v>
      </c>
      <c r="E105" s="320">
        <f t="shared" si="12"/>
        <v>100</v>
      </c>
      <c r="F105" s="319">
        <v>100</v>
      </c>
      <c r="H105" s="320">
        <f t="shared" si="13"/>
        <v>100</v>
      </c>
      <c r="I105" s="319">
        <v>50</v>
      </c>
      <c r="J105" s="321">
        <v>50</v>
      </c>
      <c r="L105" s="320">
        <f t="shared" si="14"/>
        <v>100</v>
      </c>
      <c r="M105" s="319">
        <v>100</v>
      </c>
      <c r="O105" s="320">
        <f t="shared" si="15"/>
        <v>100</v>
      </c>
    </row>
    <row r="106" spans="1:15" x14ac:dyDescent="0.25">
      <c r="A106" s="64" t="s">
        <v>2628</v>
      </c>
      <c r="B106" s="319" t="str">
        <f>VLOOKUP(A106,TV_Merged!E:F,2,FALSE)</f>
        <v>Model household program</v>
      </c>
      <c r="C106" s="319">
        <v>100</v>
      </c>
      <c r="E106" s="320">
        <f t="shared" si="12"/>
        <v>100</v>
      </c>
      <c r="F106" s="319">
        <v>100</v>
      </c>
      <c r="H106" s="320">
        <f t="shared" si="13"/>
        <v>100</v>
      </c>
      <c r="I106" s="319">
        <v>50</v>
      </c>
      <c r="J106" s="321">
        <v>50</v>
      </c>
      <c r="L106" s="320">
        <f t="shared" si="14"/>
        <v>100</v>
      </c>
      <c r="M106" s="319">
        <v>100</v>
      </c>
      <c r="O106" s="320">
        <f t="shared" si="15"/>
        <v>100</v>
      </c>
    </row>
    <row r="107" spans="1:15" x14ac:dyDescent="0.25">
      <c r="A107" s="64" t="s">
        <v>1953</v>
      </c>
      <c r="B107" s="319" t="str">
        <f>VLOOKUP(A107,TV_Merged!E:F,2,FALSE)</f>
        <v>Record keeping</v>
      </c>
      <c r="C107" s="319">
        <v>100</v>
      </c>
      <c r="E107" s="320">
        <f t="shared" si="12"/>
        <v>100</v>
      </c>
      <c r="F107" s="319">
        <v>100</v>
      </c>
      <c r="H107" s="320">
        <f t="shared" si="13"/>
        <v>100</v>
      </c>
      <c r="I107" s="319">
        <v>50</v>
      </c>
      <c r="J107" s="321">
        <v>50</v>
      </c>
      <c r="L107" s="320">
        <f t="shared" si="14"/>
        <v>100</v>
      </c>
      <c r="M107" s="319">
        <v>100</v>
      </c>
      <c r="O107" s="320">
        <f t="shared" si="15"/>
        <v>100</v>
      </c>
    </row>
    <row r="108" spans="1:15" s="127" customFormat="1" x14ac:dyDescent="0.25">
      <c r="A108" s="373" t="s">
        <v>2772</v>
      </c>
      <c r="B108" s="374" t="str">
        <f>VLOOKUP(A108,TV_Merged!E:F,2,FALSE)</f>
        <v>Test additional</v>
      </c>
      <c r="C108" s="374"/>
      <c r="D108" s="374"/>
      <c r="E108" s="376"/>
      <c r="F108" s="374"/>
      <c r="G108" s="374"/>
      <c r="H108" s="376"/>
      <c r="I108" s="374"/>
      <c r="J108" s="375"/>
      <c r="K108" s="374"/>
      <c r="L108" s="376"/>
      <c r="M108" s="374"/>
      <c r="N108" s="374"/>
      <c r="O108" s="376"/>
    </row>
    <row r="109" spans="1:15" s="127" customFormat="1" x14ac:dyDescent="0.25">
      <c r="A109" s="127" t="s">
        <v>2180</v>
      </c>
      <c r="B109" s="374" t="str">
        <f>VLOOKUP(A109,TV_Merged!E:F,2,FALSE)</f>
        <v>Normal labor management</v>
      </c>
      <c r="C109" s="374"/>
      <c r="D109" s="374"/>
      <c r="E109" s="376"/>
      <c r="F109" s="374"/>
      <c r="G109" s="374"/>
      <c r="H109" s="376"/>
      <c r="I109" s="374"/>
      <c r="J109" s="375"/>
      <c r="K109" s="374"/>
      <c r="L109" s="376"/>
      <c r="M109" s="374"/>
      <c r="N109" s="374"/>
      <c r="O109" s="376"/>
    </row>
    <row r="110" spans="1:15" s="127" customFormat="1" x14ac:dyDescent="0.25">
      <c r="A110" s="127" t="s">
        <v>2182</v>
      </c>
      <c r="B110" s="374" t="str">
        <f>VLOOKUP(A110,TV_Merged!E:F,2,FALSE)</f>
        <v>Emergency OB</v>
      </c>
      <c r="C110" s="374"/>
      <c r="D110" s="374"/>
      <c r="E110" s="376"/>
      <c r="F110" s="374"/>
      <c r="G110" s="374"/>
      <c r="H110" s="376"/>
      <c r="I110" s="374"/>
      <c r="J110" s="375"/>
      <c r="K110" s="374"/>
      <c r="L110" s="376"/>
      <c r="M110" s="374"/>
      <c r="N110" s="374"/>
      <c r="O110" s="376"/>
    </row>
    <row r="111" spans="1:15" s="127" customFormat="1" x14ac:dyDescent="0.25">
      <c r="A111" s="127" t="s">
        <v>2181</v>
      </c>
      <c r="B111" s="374" t="str">
        <f>VLOOKUP(A111,TV_Merged!E:F,2,FALSE)</f>
        <v>Active management 3rd stage</v>
      </c>
      <c r="C111" s="374"/>
      <c r="D111" s="374"/>
      <c r="E111" s="376"/>
      <c r="F111" s="374"/>
      <c r="G111" s="374"/>
      <c r="H111" s="376"/>
      <c r="I111" s="374"/>
      <c r="J111" s="375"/>
      <c r="K111" s="374"/>
      <c r="L111" s="376"/>
      <c r="M111" s="374"/>
      <c r="N111" s="374"/>
      <c r="O111" s="376"/>
    </row>
    <row r="112" spans="1:15" s="127" customFormat="1" x14ac:dyDescent="0.25">
      <c r="A112" s="127" t="s">
        <v>2193</v>
      </c>
      <c r="B112" s="374" t="str">
        <f>VLOOKUP(A112,TV_Merged!E:F,2,FALSE)</f>
        <v>Maternal sepsis</v>
      </c>
      <c r="C112" s="374"/>
      <c r="D112" s="374"/>
      <c r="E112" s="376"/>
      <c r="F112" s="374"/>
      <c r="G112" s="374"/>
      <c r="H112" s="376"/>
      <c r="I112" s="374"/>
      <c r="J112" s="375"/>
      <c r="K112" s="374"/>
      <c r="L112" s="376"/>
      <c r="M112" s="374"/>
      <c r="N112" s="374"/>
      <c r="O112" s="376"/>
    </row>
    <row r="113" spans="1:15" s="127" customFormat="1" x14ac:dyDescent="0.25">
      <c r="A113" s="381" t="s">
        <v>2199</v>
      </c>
      <c r="B113" s="374" t="str">
        <f>VLOOKUP(A113,TV_Merged!E:F,2,FALSE)</f>
        <v>ANC rapid testing</v>
      </c>
      <c r="C113" s="374"/>
      <c r="D113" s="374"/>
      <c r="E113" s="376"/>
      <c r="F113" s="374"/>
      <c r="G113" s="374"/>
      <c r="H113" s="376"/>
      <c r="I113" s="374"/>
      <c r="J113" s="375"/>
      <c r="K113" s="374"/>
      <c r="L113" s="376"/>
      <c r="M113" s="374"/>
      <c r="N113" s="374"/>
      <c r="O113" s="376"/>
    </row>
    <row r="114" spans="1:15" s="127" customFormat="1" x14ac:dyDescent="0.25">
      <c r="A114" s="381" t="s">
        <v>2673</v>
      </c>
      <c r="B114" s="374" t="str">
        <f>VLOOKUP(A114,TV_Merged!E:F,2,FALSE)</f>
        <v>Treat malnourished mothers</v>
      </c>
      <c r="C114" s="374"/>
      <c r="D114" s="374"/>
      <c r="E114" s="376"/>
      <c r="F114" s="374"/>
      <c r="G114" s="374"/>
      <c r="H114" s="376"/>
      <c r="I114" s="374"/>
      <c r="J114" s="375"/>
      <c r="K114" s="374"/>
      <c r="L114" s="376"/>
      <c r="M114" s="374"/>
      <c r="N114" s="374"/>
      <c r="O114" s="376"/>
    </row>
    <row r="115" spans="1:15" s="127" customFormat="1" x14ac:dyDescent="0.25">
      <c r="A115" s="381" t="s">
        <v>2227</v>
      </c>
      <c r="B115" s="374" t="str">
        <f>VLOOKUP(A115,TV_Merged!E:F,2,FALSE)</f>
        <v>Well child check &amp; growth monitoring</v>
      </c>
      <c r="C115" s="374"/>
      <c r="D115" s="374"/>
      <c r="E115" s="376"/>
      <c r="F115" s="374"/>
      <c r="G115" s="374"/>
      <c r="H115" s="376"/>
      <c r="I115" s="374"/>
      <c r="J115" s="375"/>
      <c r="K115" s="374"/>
      <c r="L115" s="376"/>
      <c r="M115" s="374"/>
      <c r="N115" s="374"/>
      <c r="O115" s="376"/>
    </row>
    <row r="116" spans="1:15" s="127" customFormat="1" x14ac:dyDescent="0.25">
      <c r="A116" s="381" t="s">
        <v>2637</v>
      </c>
      <c r="B116" s="374" t="str">
        <f>VLOOKUP(A116,TV_Merged!E:F,2,FALSE)</f>
        <v>Treat severe malnutrition</v>
      </c>
      <c r="C116" s="374"/>
      <c r="D116" s="374"/>
      <c r="E116" s="376"/>
      <c r="F116" s="374"/>
      <c r="G116" s="374"/>
      <c r="H116" s="376"/>
      <c r="I116" s="374"/>
      <c r="J116" s="375"/>
      <c r="K116" s="374"/>
      <c r="L116" s="376"/>
      <c r="M116" s="374"/>
      <c r="N116" s="374"/>
      <c r="O116" s="376"/>
    </row>
    <row r="117" spans="1:15" s="127" customFormat="1" x14ac:dyDescent="0.25">
      <c r="A117" s="381" t="s">
        <v>2638</v>
      </c>
      <c r="B117" s="374" t="str">
        <f>VLOOKUP(A117,TV_Merged!E:F,2,FALSE)</f>
        <v>Treat moderate malnutrition</v>
      </c>
      <c r="C117" s="374"/>
      <c r="D117" s="374"/>
      <c r="E117" s="376"/>
      <c r="F117" s="374"/>
      <c r="G117" s="374"/>
      <c r="H117" s="376"/>
      <c r="I117" s="374"/>
      <c r="J117" s="375"/>
      <c r="K117" s="374"/>
      <c r="L117" s="376"/>
      <c r="M117" s="374"/>
      <c r="N117" s="374"/>
      <c r="O117" s="376"/>
    </row>
    <row r="118" spans="1:15" s="127" customFormat="1" x14ac:dyDescent="0.25">
      <c r="A118" s="381" t="s">
        <v>2356</v>
      </c>
      <c r="B118" s="374" t="str">
        <f>VLOOKUP(A118,TV_Merged!E:F,2,FALSE)</f>
        <v>Uncomplicated malaria in adults</v>
      </c>
      <c r="C118" s="374"/>
      <c r="D118" s="374"/>
      <c r="E118" s="376"/>
      <c r="F118" s="374"/>
      <c r="G118" s="374"/>
      <c r="H118" s="376"/>
      <c r="I118" s="374"/>
      <c r="J118" s="375"/>
      <c r="K118" s="374"/>
      <c r="L118" s="376"/>
      <c r="M118" s="374"/>
      <c r="N118" s="374"/>
      <c r="O118" s="376"/>
    </row>
    <row r="119" spans="1:15" s="127" customFormat="1" x14ac:dyDescent="0.25">
      <c r="A119" s="381" t="s">
        <v>2357</v>
      </c>
      <c r="B119" s="374" t="str">
        <f>VLOOKUP(A119,TV_Merged!E:F,2,FALSE)</f>
        <v>Uncomplicated malaria in children</v>
      </c>
      <c r="C119" s="374"/>
      <c r="D119" s="374"/>
      <c r="E119" s="376"/>
      <c r="F119" s="374"/>
      <c r="G119" s="374"/>
      <c r="H119" s="376"/>
      <c r="I119" s="374"/>
      <c r="J119" s="375"/>
      <c r="K119" s="374"/>
      <c r="L119" s="376"/>
      <c r="M119" s="374"/>
      <c r="N119" s="374"/>
      <c r="O119" s="376"/>
    </row>
    <row r="120" spans="1:15" s="127" customFormat="1" x14ac:dyDescent="0.25">
      <c r="A120" s="381" t="s">
        <v>2360</v>
      </c>
      <c r="B120" s="374" t="str">
        <f>VLOOKUP(A120,TV_Merged!E:F,2,FALSE)</f>
        <v>Testing non-malaria cases</v>
      </c>
      <c r="C120" s="374"/>
      <c r="D120" s="374"/>
      <c r="E120" s="376"/>
      <c r="F120" s="374"/>
      <c r="G120" s="374"/>
      <c r="H120" s="376"/>
      <c r="I120" s="374"/>
      <c r="J120" s="375"/>
      <c r="K120" s="374"/>
      <c r="L120" s="376"/>
      <c r="M120" s="374"/>
      <c r="N120" s="374"/>
      <c r="O120" s="376"/>
    </row>
    <row r="121" spans="1:15" s="127" customFormat="1" x14ac:dyDescent="0.25">
      <c r="A121" s="381" t="s">
        <v>2358</v>
      </c>
      <c r="B121" s="374" t="str">
        <f>VLOOKUP(A121,TV_Merged!E:F,2,FALSE)</f>
        <v>Severe malaria in adults</v>
      </c>
      <c r="C121" s="374"/>
      <c r="D121" s="374"/>
      <c r="E121" s="376"/>
      <c r="F121" s="374"/>
      <c r="G121" s="374"/>
      <c r="H121" s="376"/>
      <c r="I121" s="374"/>
      <c r="J121" s="375"/>
      <c r="K121" s="374"/>
      <c r="L121" s="376"/>
      <c r="M121" s="374"/>
      <c r="N121" s="374"/>
      <c r="O121" s="376"/>
    </row>
    <row r="122" spans="1:15" s="127" customFormat="1" x14ac:dyDescent="0.25">
      <c r="A122" s="381" t="s">
        <v>2359</v>
      </c>
      <c r="B122" s="374" t="str">
        <f>VLOOKUP(A122,TV_Merged!E:F,2,FALSE)</f>
        <v>Severe malaria in children</v>
      </c>
      <c r="C122" s="374"/>
      <c r="D122" s="374"/>
      <c r="E122" s="376"/>
      <c r="F122" s="374"/>
      <c r="G122" s="374"/>
      <c r="H122" s="376"/>
      <c r="I122" s="374"/>
      <c r="J122" s="375"/>
      <c r="K122" s="374"/>
      <c r="L122" s="376"/>
      <c r="M122" s="374"/>
      <c r="N122" s="374"/>
      <c r="O122" s="376"/>
    </row>
    <row r="123" spans="1:15" x14ac:dyDescent="0.25">
      <c r="A123" s="319" t="s">
        <v>2795</v>
      </c>
      <c r="B123" s="319" t="s">
        <v>2797</v>
      </c>
      <c r="C123" s="319">
        <v>100</v>
      </c>
      <c r="E123" s="320">
        <f t="shared" ref="E123:E126" si="16">SUM(C123:D123)</f>
        <v>100</v>
      </c>
      <c r="F123" s="319">
        <v>100</v>
      </c>
      <c r="H123" s="320">
        <f t="shared" ref="H123:H126" si="17">SUM(F123:G123)</f>
        <v>100</v>
      </c>
      <c r="I123" s="319">
        <v>50</v>
      </c>
      <c r="J123" s="321">
        <v>50</v>
      </c>
      <c r="L123" s="320">
        <f t="shared" ref="L123:L126" si="18">SUM(I123:K123)</f>
        <v>100</v>
      </c>
      <c r="M123" s="319">
        <v>100</v>
      </c>
      <c r="O123" s="320">
        <f t="shared" ref="O123:O126" si="19">SUM(M123:N123)</f>
        <v>100</v>
      </c>
    </row>
    <row r="124" spans="1:15" x14ac:dyDescent="0.25">
      <c r="A124" s="319" t="s">
        <v>2796</v>
      </c>
      <c r="B124" s="319" t="s">
        <v>2798</v>
      </c>
      <c r="C124" s="319">
        <v>100</v>
      </c>
      <c r="E124" s="320">
        <f t="shared" si="16"/>
        <v>100</v>
      </c>
      <c r="F124" s="319">
        <v>100</v>
      </c>
      <c r="H124" s="320">
        <f t="shared" si="17"/>
        <v>100</v>
      </c>
      <c r="I124" s="319">
        <v>50</v>
      </c>
      <c r="J124" s="321">
        <v>50</v>
      </c>
      <c r="L124" s="320">
        <f t="shared" si="18"/>
        <v>100</v>
      </c>
      <c r="M124" s="319">
        <v>100</v>
      </c>
      <c r="O124" s="320">
        <f t="shared" si="19"/>
        <v>100</v>
      </c>
    </row>
    <row r="125" spans="1:15" x14ac:dyDescent="0.25">
      <c r="A125" s="64" t="s">
        <v>2813</v>
      </c>
      <c r="B125" s="321" t="s">
        <v>2819</v>
      </c>
      <c r="C125" s="64">
        <v>100</v>
      </c>
      <c r="E125" s="320">
        <f t="shared" si="16"/>
        <v>100</v>
      </c>
      <c r="F125" s="319">
        <v>100</v>
      </c>
      <c r="H125" s="320">
        <f t="shared" si="17"/>
        <v>100</v>
      </c>
      <c r="I125" s="319">
        <v>100</v>
      </c>
      <c r="L125" s="320">
        <f t="shared" si="18"/>
        <v>100</v>
      </c>
      <c r="M125" s="319">
        <v>100</v>
      </c>
      <c r="O125" s="320">
        <f t="shared" si="19"/>
        <v>100</v>
      </c>
    </row>
    <row r="126" spans="1:15" x14ac:dyDescent="0.25">
      <c r="A126" s="64" t="s">
        <v>2814</v>
      </c>
      <c r="B126" s="321" t="s">
        <v>2820</v>
      </c>
      <c r="C126" s="64">
        <v>100</v>
      </c>
      <c r="E126" s="320">
        <f t="shared" si="16"/>
        <v>100</v>
      </c>
      <c r="F126" s="321">
        <v>100</v>
      </c>
      <c r="H126" s="320">
        <f t="shared" si="17"/>
        <v>100</v>
      </c>
      <c r="J126" s="319">
        <v>100</v>
      </c>
      <c r="L126" s="320">
        <f t="shared" si="18"/>
        <v>100</v>
      </c>
      <c r="M126" s="321">
        <v>100</v>
      </c>
      <c r="O126" s="320">
        <f t="shared" si="19"/>
        <v>100</v>
      </c>
    </row>
    <row r="127" spans="1:15" s="127" customFormat="1" x14ac:dyDescent="0.25">
      <c r="A127" s="381" t="s">
        <v>2815</v>
      </c>
      <c r="B127" s="375" t="s">
        <v>2821</v>
      </c>
      <c r="C127" s="381"/>
      <c r="D127" s="374"/>
      <c r="E127" s="376"/>
      <c r="F127" s="374"/>
      <c r="G127" s="374"/>
      <c r="H127" s="376"/>
      <c r="I127" s="374"/>
      <c r="J127" s="374"/>
      <c r="K127" s="374"/>
      <c r="L127" s="376"/>
      <c r="M127" s="374"/>
      <c r="N127" s="374"/>
      <c r="O127" s="376"/>
    </row>
    <row r="128" spans="1:15" s="127" customFormat="1" x14ac:dyDescent="0.25">
      <c r="A128" s="381" t="s">
        <v>2816</v>
      </c>
      <c r="B128" s="375" t="s">
        <v>2822</v>
      </c>
      <c r="C128" s="381"/>
      <c r="D128" s="374"/>
      <c r="E128" s="376"/>
      <c r="F128" s="374"/>
      <c r="G128" s="374"/>
      <c r="H128" s="376"/>
      <c r="I128" s="374"/>
      <c r="J128" s="374"/>
      <c r="K128" s="374"/>
      <c r="L128" s="376"/>
      <c r="M128" s="374"/>
      <c r="N128" s="374"/>
      <c r="O128" s="376"/>
    </row>
    <row r="129" spans="1:15" s="127" customFormat="1" x14ac:dyDescent="0.25">
      <c r="A129" s="375" t="s">
        <v>2817</v>
      </c>
      <c r="B129" s="375" t="s">
        <v>2823</v>
      </c>
      <c r="C129" s="381"/>
      <c r="D129" s="374"/>
      <c r="E129" s="376"/>
      <c r="F129" s="374"/>
      <c r="G129" s="374"/>
      <c r="H129" s="376"/>
      <c r="I129" s="374"/>
      <c r="J129" s="374"/>
      <c r="K129" s="374"/>
      <c r="L129" s="376"/>
      <c r="M129" s="374"/>
      <c r="N129" s="374"/>
      <c r="O129" s="376"/>
    </row>
    <row r="130" spans="1:15" s="127" customFormat="1" x14ac:dyDescent="0.25">
      <c r="A130" s="375" t="s">
        <v>2818</v>
      </c>
      <c r="B130" s="375" t="s">
        <v>2824</v>
      </c>
      <c r="C130" s="381"/>
      <c r="D130" s="374"/>
      <c r="E130" s="376"/>
      <c r="F130" s="374"/>
      <c r="G130" s="374"/>
      <c r="H130" s="376"/>
      <c r="I130" s="374"/>
      <c r="J130" s="374"/>
      <c r="K130" s="374"/>
      <c r="L130" s="376"/>
      <c r="M130" s="374"/>
      <c r="N130" s="374"/>
      <c r="O130" s="376"/>
    </row>
  </sheetData>
  <conditionalFormatting sqref="O2:O122 E2:E122 H2:H122 L2:L122">
    <cfRule type="cellIs" dxfId="2" priority="3" operator="notEqual">
      <formula>100</formula>
    </cfRule>
  </conditionalFormatting>
  <conditionalFormatting sqref="O123 E123 H123 L123">
    <cfRule type="cellIs" dxfId="1" priority="2" operator="notEqual">
      <formula>100</formula>
    </cfRule>
  </conditionalFormatting>
  <conditionalFormatting sqref="E124:E126 H124:H126 L124:L126 O124:O126">
    <cfRule type="cellIs" dxfId="0"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K22" sqref="K22"/>
    </sheetView>
  </sheetViews>
  <sheetFormatPr defaultRowHeight="15" x14ac:dyDescent="0.25"/>
  <cols>
    <col min="2" max="2" width="30.85546875" bestFit="1" customWidth="1"/>
  </cols>
  <sheetData>
    <row r="1" spans="2:5" ht="15.75" thickBot="1" x14ac:dyDescent="0.3"/>
    <row r="2" spans="2:5" ht="15.75" thickBot="1" x14ac:dyDescent="0.3">
      <c r="B2" t="s">
        <v>2160</v>
      </c>
      <c r="C2" s="111">
        <v>2025</v>
      </c>
      <c r="D2" s="112">
        <v>2030</v>
      </c>
      <c r="E2" s="113">
        <v>2035</v>
      </c>
    </row>
    <row r="3" spans="2:5" x14ac:dyDescent="0.25">
      <c r="B3" s="92" t="s">
        <v>2154</v>
      </c>
      <c r="C3" s="92">
        <v>1</v>
      </c>
      <c r="D3" s="97">
        <v>1</v>
      </c>
      <c r="E3" s="318">
        <v>1</v>
      </c>
    </row>
    <row r="4" spans="2:5" x14ac:dyDescent="0.25">
      <c r="B4" s="64" t="s">
        <v>2155</v>
      </c>
      <c r="C4" s="64">
        <v>1</v>
      </c>
      <c r="D4" s="319">
        <v>1</v>
      </c>
      <c r="E4" s="320">
        <v>1</v>
      </c>
    </row>
    <row r="5" spans="2:5" x14ac:dyDescent="0.25">
      <c r="B5" s="322" t="s">
        <v>2156</v>
      </c>
      <c r="C5" s="322">
        <v>2</v>
      </c>
      <c r="D5" s="323">
        <v>1</v>
      </c>
      <c r="E5" s="324"/>
    </row>
    <row r="6" spans="2:5" x14ac:dyDescent="0.25">
      <c r="B6" s="322" t="s">
        <v>2157</v>
      </c>
      <c r="C6" s="322"/>
      <c r="D6" s="323">
        <v>1</v>
      </c>
      <c r="E6" s="324">
        <v>2</v>
      </c>
    </row>
    <row r="7" spans="2:5" x14ac:dyDescent="0.25">
      <c r="B7" s="64" t="s">
        <v>2158</v>
      </c>
      <c r="C7" s="64"/>
      <c r="D7" s="321">
        <v>1</v>
      </c>
      <c r="E7" s="320">
        <v>1</v>
      </c>
    </row>
    <row r="8" spans="2:5" ht="15.75" thickBot="1" x14ac:dyDescent="0.3">
      <c r="B8" s="93" t="s">
        <v>2159</v>
      </c>
      <c r="C8" s="93"/>
      <c r="D8" s="95">
        <v>1</v>
      </c>
      <c r="E8" s="96">
        <v>1</v>
      </c>
    </row>
    <row r="9" spans="2:5" ht="15.75" thickBot="1" x14ac:dyDescent="0.3"/>
    <row r="10" spans="2:5" ht="15.75" thickBot="1" x14ac:dyDescent="0.3">
      <c r="B10" t="s">
        <v>2161</v>
      </c>
      <c r="C10" s="111">
        <v>2025</v>
      </c>
      <c r="D10" s="112">
        <v>2030</v>
      </c>
      <c r="E10" s="113">
        <v>2035</v>
      </c>
    </row>
    <row r="11" spans="2:5" x14ac:dyDescent="0.25">
      <c r="B11" s="92" t="s">
        <v>2154</v>
      </c>
      <c r="C11" s="92"/>
      <c r="D11" s="97"/>
      <c r="E11" s="318"/>
    </row>
    <row r="12" spans="2:5" x14ac:dyDescent="0.25">
      <c r="B12" s="64" t="s">
        <v>2155</v>
      </c>
      <c r="C12" s="64"/>
      <c r="D12" s="319"/>
      <c r="E12" s="320"/>
    </row>
    <row r="13" spans="2:5" x14ac:dyDescent="0.25">
      <c r="B13" s="322" t="s">
        <v>2156</v>
      </c>
      <c r="C13" s="322">
        <v>2</v>
      </c>
      <c r="D13" s="323">
        <v>1</v>
      </c>
      <c r="E13" s="324"/>
    </row>
    <row r="14" spans="2:5" x14ac:dyDescent="0.25">
      <c r="B14" s="322" t="s">
        <v>2157</v>
      </c>
      <c r="C14" s="322"/>
      <c r="D14" s="323">
        <v>1</v>
      </c>
      <c r="E14" s="324">
        <v>2</v>
      </c>
    </row>
    <row r="15" spans="2:5" x14ac:dyDescent="0.25">
      <c r="B15" s="64" t="s">
        <v>2162</v>
      </c>
      <c r="C15" s="64">
        <v>1</v>
      </c>
      <c r="D15" s="321">
        <v>1</v>
      </c>
      <c r="E15" s="320">
        <v>1</v>
      </c>
    </row>
    <row r="16" spans="2:5" ht="15.75" thickBot="1" x14ac:dyDescent="0.3">
      <c r="B16" s="93" t="s">
        <v>2159</v>
      </c>
      <c r="C16" s="93"/>
      <c r="D16" s="95">
        <v>1</v>
      </c>
      <c r="E16" s="96">
        <v>1</v>
      </c>
    </row>
    <row r="17" spans="2:5" ht="15.75" thickBot="1" x14ac:dyDescent="0.3"/>
    <row r="18" spans="2:5" ht="15.75" thickBot="1" x14ac:dyDescent="0.3">
      <c r="B18" t="s">
        <v>2163</v>
      </c>
      <c r="C18" s="111">
        <v>2025</v>
      </c>
      <c r="D18" s="112">
        <v>2030</v>
      </c>
      <c r="E18" s="113">
        <v>2035</v>
      </c>
    </row>
    <row r="19" spans="2:5" x14ac:dyDescent="0.25">
      <c r="B19" s="92" t="s">
        <v>2154</v>
      </c>
      <c r="C19" s="92"/>
      <c r="D19" s="97"/>
      <c r="E19" s="318"/>
    </row>
    <row r="20" spans="2:5" x14ac:dyDescent="0.25">
      <c r="B20" s="64" t="s">
        <v>2155</v>
      </c>
      <c r="C20" s="64"/>
      <c r="D20" s="319"/>
      <c r="E20" s="320"/>
    </row>
    <row r="21" spans="2:5" x14ac:dyDescent="0.25">
      <c r="B21" s="322" t="s">
        <v>2156</v>
      </c>
      <c r="C21" s="322">
        <v>2</v>
      </c>
      <c r="D21" s="323">
        <v>1</v>
      </c>
      <c r="E21" s="324"/>
    </row>
    <row r="22" spans="2:5" x14ac:dyDescent="0.25">
      <c r="B22" s="322" t="s">
        <v>2157</v>
      </c>
      <c r="C22" s="322"/>
      <c r="D22" s="323">
        <v>1</v>
      </c>
      <c r="E22" s="324">
        <v>2</v>
      </c>
    </row>
    <row r="23" spans="2:5" x14ac:dyDescent="0.25">
      <c r="B23" s="64" t="s">
        <v>2158</v>
      </c>
      <c r="C23" s="64"/>
      <c r="D23" s="321"/>
      <c r="E23" s="320"/>
    </row>
    <row r="24" spans="2:5" ht="15.75" thickBot="1" x14ac:dyDescent="0.3">
      <c r="B24" s="93" t="s">
        <v>2159</v>
      </c>
      <c r="C24" s="93"/>
      <c r="D24" s="95"/>
      <c r="E24" s="9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K164" sqref="K164"/>
    </sheetView>
  </sheetViews>
  <sheetFormatPr defaultRowHeight="15" x14ac:dyDescent="0.25"/>
  <cols>
    <col min="1" max="1" width="30.140625" bestFit="1" customWidth="1"/>
    <col min="2" max="2" width="20.85546875" bestFit="1" customWidth="1"/>
    <col min="3" max="3" width="9.140625" bestFit="1" customWidth="1"/>
    <col min="4" max="4" width="11.140625" bestFit="1" customWidth="1"/>
    <col min="5" max="5" width="18.85546875" bestFit="1" customWidth="1"/>
    <col min="6" max="6" width="4.140625" bestFit="1" customWidth="1"/>
    <col min="7" max="7" width="9.7109375" bestFit="1" customWidth="1"/>
    <col min="8" max="8" width="8.7109375" bestFit="1" customWidth="1"/>
    <col min="9" max="9" width="13.28515625" bestFit="1" customWidth="1"/>
    <col min="10" max="10" width="10.7109375" bestFit="1" customWidth="1"/>
    <col min="11" max="12" width="12" bestFit="1" customWidth="1"/>
  </cols>
  <sheetData>
    <row r="1" spans="1:12" x14ac:dyDescent="0.25">
      <c r="A1" s="404" t="s">
        <v>101</v>
      </c>
      <c r="B1" s="404" t="s">
        <v>3252</v>
      </c>
      <c r="C1" s="404" t="s">
        <v>1012</v>
      </c>
      <c r="D1" s="404" t="s">
        <v>2845</v>
      </c>
      <c r="E1" s="404" t="s">
        <v>2846</v>
      </c>
      <c r="F1" s="404" t="s">
        <v>3253</v>
      </c>
      <c r="G1" s="404" t="s">
        <v>3265</v>
      </c>
      <c r="H1" s="404" t="s">
        <v>3266</v>
      </c>
      <c r="I1" s="404" t="s">
        <v>2836</v>
      </c>
      <c r="J1" s="404" t="s">
        <v>2835</v>
      </c>
      <c r="K1" s="404" t="s">
        <v>3267</v>
      </c>
      <c r="L1" s="404" t="s">
        <v>3268</v>
      </c>
    </row>
    <row r="2" spans="1:12" x14ac:dyDescent="0.25">
      <c r="A2" t="s">
        <v>3254</v>
      </c>
      <c r="B2" s="404"/>
      <c r="C2" t="s">
        <v>3255</v>
      </c>
      <c r="D2" t="s">
        <v>2851</v>
      </c>
      <c r="E2" t="s">
        <v>594</v>
      </c>
      <c r="F2" t="s">
        <v>576</v>
      </c>
      <c r="G2" s="404"/>
      <c r="H2" s="404"/>
      <c r="I2" t="str">
        <f>_xlfn.CONCAT(J2,D2)</f>
        <v>BR0000ET</v>
      </c>
      <c r="J2" t="s">
        <v>3269</v>
      </c>
      <c r="K2">
        <v>0</v>
      </c>
      <c r="L2">
        <v>1</v>
      </c>
    </row>
    <row r="3" spans="1:12" x14ac:dyDescent="0.25">
      <c r="A3" t="s">
        <v>3256</v>
      </c>
      <c r="B3" s="404"/>
      <c r="C3" t="s">
        <v>3255</v>
      </c>
      <c r="D3" t="s">
        <v>2851</v>
      </c>
      <c r="E3" t="s">
        <v>594</v>
      </c>
      <c r="F3" t="s">
        <v>577</v>
      </c>
      <c r="G3" s="404"/>
      <c r="H3">
        <v>14</v>
      </c>
      <c r="I3" t="str">
        <f t="shared" ref="I3:I66" si="0">_xlfn.CONCAT(J3,D3)</f>
        <v>BR0014ET</v>
      </c>
      <c r="J3" t="s">
        <v>3270</v>
      </c>
      <c r="K3">
        <v>0</v>
      </c>
      <c r="L3">
        <v>1</v>
      </c>
    </row>
    <row r="4" spans="1:12" x14ac:dyDescent="0.25">
      <c r="A4" t="s">
        <v>1779</v>
      </c>
      <c r="B4" t="s">
        <v>3257</v>
      </c>
      <c r="C4" t="s">
        <v>3255</v>
      </c>
      <c r="D4" t="s">
        <v>2851</v>
      </c>
      <c r="E4" t="s">
        <v>594</v>
      </c>
      <c r="F4" t="s">
        <v>577</v>
      </c>
      <c r="G4">
        <v>15</v>
      </c>
      <c r="H4">
        <v>19</v>
      </c>
      <c r="I4" t="str">
        <f t="shared" si="0"/>
        <v>BR1519ET</v>
      </c>
      <c r="J4" t="s">
        <v>3271</v>
      </c>
      <c r="K4" s="412">
        <f>RegionalData!O3</f>
        <v>7.1999999999999995E-2</v>
      </c>
      <c r="L4" s="412">
        <f>RegionalData!Q3</f>
        <v>0.98846927759109204</v>
      </c>
    </row>
    <row r="5" spans="1:12" x14ac:dyDescent="0.25">
      <c r="A5" t="s">
        <v>1777</v>
      </c>
      <c r="B5" t="s">
        <v>3258</v>
      </c>
      <c r="C5" t="s">
        <v>3255</v>
      </c>
      <c r="D5" t="s">
        <v>2851</v>
      </c>
      <c r="E5" t="s">
        <v>594</v>
      </c>
      <c r="F5" t="s">
        <v>577</v>
      </c>
      <c r="G5">
        <v>20</v>
      </c>
      <c r="H5">
        <v>24</v>
      </c>
      <c r="I5" t="str">
        <f t="shared" si="0"/>
        <v>BR2024ET</v>
      </c>
      <c r="J5" t="s">
        <v>3272</v>
      </c>
      <c r="K5" s="412">
        <f>RegionalData!O5</f>
        <v>0.19500000000000001</v>
      </c>
      <c r="L5" s="412">
        <f>RegionalData!Q5</f>
        <v>0.99316389691241536</v>
      </c>
    </row>
    <row r="6" spans="1:12" x14ac:dyDescent="0.25">
      <c r="A6" t="s">
        <v>1775</v>
      </c>
      <c r="B6" t="s">
        <v>3259</v>
      </c>
      <c r="C6" t="s">
        <v>3255</v>
      </c>
      <c r="D6" t="s">
        <v>2851</v>
      </c>
      <c r="E6" t="s">
        <v>594</v>
      </c>
      <c r="F6" t="s">
        <v>577</v>
      </c>
      <c r="G6">
        <v>25</v>
      </c>
      <c r="H6">
        <v>29</v>
      </c>
      <c r="I6" t="str">
        <f t="shared" si="0"/>
        <v>BR2529ET</v>
      </c>
      <c r="J6" t="s">
        <v>3273</v>
      </c>
      <c r="K6" s="412">
        <f>RegionalData!O7</f>
        <v>0.20200000000000001</v>
      </c>
      <c r="L6" s="412">
        <f>RegionalData!Q7</f>
        <v>0.98022410443373342</v>
      </c>
    </row>
    <row r="7" spans="1:12" x14ac:dyDescent="0.25">
      <c r="A7" t="s">
        <v>1773</v>
      </c>
      <c r="B7" t="s">
        <v>3260</v>
      </c>
      <c r="C7" t="s">
        <v>3255</v>
      </c>
      <c r="D7" t="s">
        <v>2851</v>
      </c>
      <c r="E7" t="s">
        <v>594</v>
      </c>
      <c r="F7" t="s">
        <v>577</v>
      </c>
      <c r="G7">
        <v>30</v>
      </c>
      <c r="H7">
        <v>34</v>
      </c>
      <c r="I7" t="str">
        <f t="shared" si="0"/>
        <v>BR3034ET</v>
      </c>
      <c r="J7" t="s">
        <v>3274</v>
      </c>
      <c r="K7" s="412">
        <f>RegionalData!O9</f>
        <v>0.16200000000000001</v>
      </c>
      <c r="L7" s="412">
        <f>RegionalData!Q9</f>
        <v>0.97771923789514636</v>
      </c>
    </row>
    <row r="8" spans="1:12" x14ac:dyDescent="0.25">
      <c r="A8" t="s">
        <v>1771</v>
      </c>
      <c r="B8" t="s">
        <v>3261</v>
      </c>
      <c r="C8" t="s">
        <v>3255</v>
      </c>
      <c r="D8" t="s">
        <v>2851</v>
      </c>
      <c r="E8" t="s">
        <v>594</v>
      </c>
      <c r="F8" t="s">
        <v>577</v>
      </c>
      <c r="G8">
        <v>35</v>
      </c>
      <c r="H8">
        <v>39</v>
      </c>
      <c r="I8" t="str">
        <f t="shared" si="0"/>
        <v>BR3539ET</v>
      </c>
      <c r="J8" t="s">
        <v>3275</v>
      </c>
      <c r="K8" s="412">
        <f>RegionalData!O11</f>
        <v>0.11899999999999999</v>
      </c>
      <c r="L8" s="412">
        <f>RegionalData!Q11</f>
        <v>0.97393215219000295</v>
      </c>
    </row>
    <row r="9" spans="1:12" x14ac:dyDescent="0.25">
      <c r="A9" t="s">
        <v>1769</v>
      </c>
      <c r="B9" t="s">
        <v>3262</v>
      </c>
      <c r="C9" t="s">
        <v>3255</v>
      </c>
      <c r="D9" t="s">
        <v>2851</v>
      </c>
      <c r="E9" t="s">
        <v>594</v>
      </c>
      <c r="F9" t="s">
        <v>577</v>
      </c>
      <c r="G9">
        <v>40</v>
      </c>
      <c r="H9">
        <v>44</v>
      </c>
      <c r="I9" t="str">
        <f t="shared" si="0"/>
        <v>BR4044ET</v>
      </c>
      <c r="J9" t="s">
        <v>3276</v>
      </c>
      <c r="K9" s="412">
        <f>RegionalData!O13</f>
        <v>4.9000000000000002E-2</v>
      </c>
      <c r="L9" s="412">
        <f>RegionalData!Q13</f>
        <v>0.95811661983967134</v>
      </c>
    </row>
    <row r="10" spans="1:12" x14ac:dyDescent="0.25">
      <c r="A10" t="s">
        <v>1767</v>
      </c>
      <c r="B10" t="s">
        <v>3263</v>
      </c>
      <c r="C10" t="s">
        <v>3255</v>
      </c>
      <c r="D10" t="s">
        <v>2851</v>
      </c>
      <c r="E10" t="s">
        <v>594</v>
      </c>
      <c r="F10" t="s">
        <v>577</v>
      </c>
      <c r="G10">
        <v>45</v>
      </c>
      <c r="H10">
        <v>49</v>
      </c>
      <c r="I10" t="str">
        <f t="shared" si="0"/>
        <v>BR4549ET</v>
      </c>
      <c r="J10" t="s">
        <v>3277</v>
      </c>
      <c r="K10" s="412">
        <f>RegionalData!O15</f>
        <v>1.4E-2</v>
      </c>
      <c r="L10" s="412">
        <f>RegionalData!Q15</f>
        <v>0.91700404320467122</v>
      </c>
    </row>
    <row r="11" spans="1:12" x14ac:dyDescent="0.25">
      <c r="A11" t="s">
        <v>3264</v>
      </c>
      <c r="B11" s="404"/>
      <c r="C11" t="s">
        <v>3255</v>
      </c>
      <c r="D11" t="s">
        <v>2851</v>
      </c>
      <c r="E11" t="s">
        <v>594</v>
      </c>
      <c r="F11" t="s">
        <v>577</v>
      </c>
      <c r="G11">
        <v>50</v>
      </c>
      <c r="I11" t="str">
        <f t="shared" si="0"/>
        <v>BR5000ET</v>
      </c>
      <c r="J11" t="s">
        <v>3278</v>
      </c>
      <c r="K11" s="124">
        <v>0</v>
      </c>
      <c r="L11" s="124">
        <v>1</v>
      </c>
    </row>
    <row r="12" spans="1:12" x14ac:dyDescent="0.25">
      <c r="A12" t="s">
        <v>3254</v>
      </c>
      <c r="B12" s="404"/>
      <c r="C12" t="s">
        <v>3255</v>
      </c>
      <c r="D12" t="s">
        <v>2870</v>
      </c>
      <c r="E12" t="s">
        <v>806</v>
      </c>
      <c r="F12" t="s">
        <v>576</v>
      </c>
      <c r="G12" s="404"/>
      <c r="H12" s="404"/>
      <c r="I12" t="str">
        <f t="shared" si="0"/>
        <v>BR0000ET01</v>
      </c>
      <c r="J12" t="s">
        <v>3269</v>
      </c>
      <c r="K12">
        <v>0</v>
      </c>
      <c r="L12">
        <v>1</v>
      </c>
    </row>
    <row r="13" spans="1:12" x14ac:dyDescent="0.25">
      <c r="A13" t="s">
        <v>3256</v>
      </c>
      <c r="B13" s="404"/>
      <c r="C13" t="s">
        <v>3255</v>
      </c>
      <c r="D13" t="s">
        <v>2870</v>
      </c>
      <c r="E13" t="s">
        <v>806</v>
      </c>
      <c r="F13" t="s">
        <v>577</v>
      </c>
      <c r="G13" s="404"/>
      <c r="H13">
        <v>14</v>
      </c>
      <c r="I13" t="str">
        <f t="shared" si="0"/>
        <v>BR0014ET01</v>
      </c>
      <c r="J13" t="s">
        <v>3270</v>
      </c>
      <c r="K13">
        <v>0</v>
      </c>
      <c r="L13">
        <v>1</v>
      </c>
    </row>
    <row r="14" spans="1:12" x14ac:dyDescent="0.25">
      <c r="A14" t="s">
        <v>1779</v>
      </c>
      <c r="B14" t="s">
        <v>3257</v>
      </c>
      <c r="C14" t="s">
        <v>3255</v>
      </c>
      <c r="D14" t="s">
        <v>2870</v>
      </c>
      <c r="E14" t="s">
        <v>806</v>
      </c>
      <c r="F14" t="s">
        <v>577</v>
      </c>
      <c r="G14">
        <v>15</v>
      </c>
      <c r="H14">
        <v>19</v>
      </c>
      <c r="I14" t="str">
        <f t="shared" si="0"/>
        <v>BR1519ET01</v>
      </c>
      <c r="J14" t="s">
        <v>3271</v>
      </c>
      <c r="K14" s="412">
        <f>RegionalData!O45</f>
        <v>7.0999999999999994E-2</v>
      </c>
      <c r="L14" s="412">
        <f>RegionalData!Q45</f>
        <v>0.98519238249426366</v>
      </c>
    </row>
    <row r="15" spans="1:12" x14ac:dyDescent="0.25">
      <c r="A15" t="s">
        <v>1777</v>
      </c>
      <c r="B15" t="s">
        <v>3258</v>
      </c>
      <c r="C15" t="s">
        <v>3255</v>
      </c>
      <c r="D15" t="s">
        <v>2870</v>
      </c>
      <c r="E15" t="s">
        <v>806</v>
      </c>
      <c r="F15" t="s">
        <v>577</v>
      </c>
      <c r="G15">
        <v>20</v>
      </c>
      <c r="H15">
        <v>24</v>
      </c>
      <c r="I15" t="str">
        <f t="shared" si="0"/>
        <v>BR2024ET01</v>
      </c>
      <c r="J15" t="s">
        <v>3272</v>
      </c>
      <c r="K15" s="412">
        <f>RegionalData!O47</f>
        <v>0.16600000000000001</v>
      </c>
      <c r="L15" s="412">
        <f>RegionalData!Q47</f>
        <v>0.99557149880084939</v>
      </c>
    </row>
    <row r="16" spans="1:12" x14ac:dyDescent="0.25">
      <c r="A16" t="s">
        <v>1775</v>
      </c>
      <c r="B16" t="s">
        <v>3259</v>
      </c>
      <c r="C16" t="s">
        <v>3255</v>
      </c>
      <c r="D16" t="s">
        <v>2870</v>
      </c>
      <c r="E16" t="s">
        <v>806</v>
      </c>
      <c r="F16" t="s">
        <v>577</v>
      </c>
      <c r="G16">
        <v>25</v>
      </c>
      <c r="H16">
        <v>29</v>
      </c>
      <c r="I16" t="str">
        <f t="shared" si="0"/>
        <v>BR2529ET01</v>
      </c>
      <c r="J16" t="s">
        <v>3273</v>
      </c>
      <c r="K16" s="412">
        <f>RegionalData!O49</f>
        <v>0.16800000000000001</v>
      </c>
      <c r="L16" s="412">
        <f>RegionalData!Q49</f>
        <v>0.96097516195175681</v>
      </c>
    </row>
    <row r="17" spans="1:12" x14ac:dyDescent="0.25">
      <c r="A17" t="s">
        <v>1773</v>
      </c>
      <c r="B17" t="s">
        <v>3260</v>
      </c>
      <c r="C17" t="s">
        <v>3255</v>
      </c>
      <c r="D17" t="s">
        <v>2870</v>
      </c>
      <c r="E17" t="s">
        <v>806</v>
      </c>
      <c r="F17" t="s">
        <v>577</v>
      </c>
      <c r="G17">
        <v>30</v>
      </c>
      <c r="H17">
        <v>34</v>
      </c>
      <c r="I17" t="str">
        <f t="shared" si="0"/>
        <v>BR3034ET01</v>
      </c>
      <c r="J17" t="s">
        <v>3274</v>
      </c>
      <c r="K17" s="412">
        <f>RegionalData!O51</f>
        <v>0.184</v>
      </c>
      <c r="L17" s="412">
        <f>RegionalData!Q51</f>
        <v>0.97462752637206918</v>
      </c>
    </row>
    <row r="18" spans="1:12" x14ac:dyDescent="0.25">
      <c r="A18" t="s">
        <v>1771</v>
      </c>
      <c r="B18" t="s">
        <v>3261</v>
      </c>
      <c r="C18" t="s">
        <v>3255</v>
      </c>
      <c r="D18" t="s">
        <v>2870</v>
      </c>
      <c r="E18" t="s">
        <v>806</v>
      </c>
      <c r="F18" t="s">
        <v>577</v>
      </c>
      <c r="G18">
        <v>35</v>
      </c>
      <c r="H18">
        <v>39</v>
      </c>
      <c r="I18" t="str">
        <f t="shared" si="0"/>
        <v>BR3539ET01</v>
      </c>
      <c r="J18" t="s">
        <v>3275</v>
      </c>
      <c r="K18" s="412">
        <f>RegionalData!O53</f>
        <v>0.128</v>
      </c>
      <c r="L18" s="412">
        <f>RegionalData!Q53</f>
        <v>0.97794587092241492</v>
      </c>
    </row>
    <row r="19" spans="1:12" x14ac:dyDescent="0.25">
      <c r="A19" t="s">
        <v>1769</v>
      </c>
      <c r="B19" t="s">
        <v>3262</v>
      </c>
      <c r="C19" t="s">
        <v>3255</v>
      </c>
      <c r="D19" t="s">
        <v>2870</v>
      </c>
      <c r="E19" t="s">
        <v>806</v>
      </c>
      <c r="F19" t="s">
        <v>577</v>
      </c>
      <c r="G19">
        <v>40</v>
      </c>
      <c r="H19">
        <v>44</v>
      </c>
      <c r="I19" t="str">
        <f t="shared" si="0"/>
        <v>BR4044ET01</v>
      </c>
      <c r="J19" t="s">
        <v>3276</v>
      </c>
      <c r="K19" s="412">
        <f>RegionalData!O55</f>
        <v>7.0000000000000007E-2</v>
      </c>
      <c r="L19" s="412">
        <f>RegionalData!Q55</f>
        <v>1.0628052671339567</v>
      </c>
    </row>
    <row r="20" spans="1:12" x14ac:dyDescent="0.25">
      <c r="A20" t="s">
        <v>1767</v>
      </c>
      <c r="B20" t="s">
        <v>3263</v>
      </c>
      <c r="C20" t="s">
        <v>3255</v>
      </c>
      <c r="D20" t="s">
        <v>2870</v>
      </c>
      <c r="E20" t="s">
        <v>806</v>
      </c>
      <c r="F20" t="s">
        <v>577</v>
      </c>
      <c r="G20">
        <v>45</v>
      </c>
      <c r="H20">
        <v>49</v>
      </c>
      <c r="I20" t="str">
        <f t="shared" si="0"/>
        <v>BR4549ET01</v>
      </c>
      <c r="J20" t="s">
        <v>3277</v>
      </c>
      <c r="K20" s="412">
        <f>RegionalData!O57</f>
        <v>4.0000000000000001E-3</v>
      </c>
      <c r="L20" s="412">
        <f>RegionalData!Q57</f>
        <v>0.87055056329612412</v>
      </c>
    </row>
    <row r="21" spans="1:12" x14ac:dyDescent="0.25">
      <c r="A21" t="s">
        <v>3264</v>
      </c>
      <c r="C21" t="s">
        <v>3255</v>
      </c>
      <c r="D21" t="s">
        <v>2870</v>
      </c>
      <c r="E21" t="s">
        <v>806</v>
      </c>
      <c r="F21" t="s">
        <v>577</v>
      </c>
      <c r="G21">
        <v>50</v>
      </c>
      <c r="I21" t="str">
        <f t="shared" si="0"/>
        <v>BR5000ET01</v>
      </c>
      <c r="J21" t="s">
        <v>3278</v>
      </c>
      <c r="K21" s="124">
        <v>0</v>
      </c>
      <c r="L21" s="124">
        <v>1</v>
      </c>
    </row>
    <row r="22" spans="1:12" x14ac:dyDescent="0.25">
      <c r="A22" t="s">
        <v>3254</v>
      </c>
      <c r="C22" t="s">
        <v>3255</v>
      </c>
      <c r="D22" t="s">
        <v>2871</v>
      </c>
      <c r="E22" t="s">
        <v>2872</v>
      </c>
      <c r="F22" t="s">
        <v>576</v>
      </c>
      <c r="I22" t="str">
        <f t="shared" si="0"/>
        <v>BR0000ET02</v>
      </c>
      <c r="J22" t="s">
        <v>3269</v>
      </c>
      <c r="K22">
        <v>0</v>
      </c>
      <c r="L22">
        <v>1</v>
      </c>
    </row>
    <row r="23" spans="1:12" x14ac:dyDescent="0.25">
      <c r="A23" t="s">
        <v>3256</v>
      </c>
      <c r="C23" t="s">
        <v>3255</v>
      </c>
      <c r="D23" t="s">
        <v>2871</v>
      </c>
      <c r="E23" t="s">
        <v>2872</v>
      </c>
      <c r="F23" t="s">
        <v>577</v>
      </c>
      <c r="H23">
        <v>14</v>
      </c>
      <c r="I23" t="str">
        <f t="shared" si="0"/>
        <v>BR0014ET02</v>
      </c>
      <c r="J23" t="s">
        <v>3270</v>
      </c>
      <c r="K23">
        <v>0</v>
      </c>
      <c r="L23">
        <v>1</v>
      </c>
    </row>
    <row r="24" spans="1:12" x14ac:dyDescent="0.25">
      <c r="A24" t="s">
        <v>1779</v>
      </c>
      <c r="B24" t="s">
        <v>3257</v>
      </c>
      <c r="C24" t="s">
        <v>3255</v>
      </c>
      <c r="D24" t="s">
        <v>2871</v>
      </c>
      <c r="E24" t="s">
        <v>2872</v>
      </c>
      <c r="F24" t="s">
        <v>577</v>
      </c>
      <c r="G24">
        <v>15</v>
      </c>
      <c r="H24">
        <v>19</v>
      </c>
      <c r="I24" t="str">
        <f t="shared" si="0"/>
        <v>BR1519ET02</v>
      </c>
      <c r="J24" t="s">
        <v>3271</v>
      </c>
      <c r="K24" s="412">
        <f>RegionalData!O59</f>
        <v>0.20399999999999999</v>
      </c>
      <c r="L24" s="412">
        <f>RegionalData!Q59</f>
        <v>1.0840037852319913</v>
      </c>
    </row>
    <row r="25" spans="1:12" x14ac:dyDescent="0.25">
      <c r="A25" t="s">
        <v>1777</v>
      </c>
      <c r="B25" t="s">
        <v>3258</v>
      </c>
      <c r="C25" t="s">
        <v>3255</v>
      </c>
      <c r="D25" t="s">
        <v>2871</v>
      </c>
      <c r="E25" t="s">
        <v>2872</v>
      </c>
      <c r="F25" t="s">
        <v>577</v>
      </c>
      <c r="G25">
        <v>20</v>
      </c>
      <c r="H25">
        <v>24</v>
      </c>
      <c r="I25" t="str">
        <f t="shared" si="0"/>
        <v>BR2024ET02</v>
      </c>
      <c r="J25" t="s">
        <v>3272</v>
      </c>
      <c r="K25" s="412">
        <f>RegionalData!O61</f>
        <v>0.29899999999999999</v>
      </c>
      <c r="L25" s="412">
        <f>RegionalData!Q61</f>
        <v>1.0289322483563228</v>
      </c>
    </row>
    <row r="26" spans="1:12" x14ac:dyDescent="0.25">
      <c r="A26" t="s">
        <v>1775</v>
      </c>
      <c r="B26" t="s">
        <v>3259</v>
      </c>
      <c r="C26" t="s">
        <v>3255</v>
      </c>
      <c r="D26" t="s">
        <v>2871</v>
      </c>
      <c r="E26" t="s">
        <v>2872</v>
      </c>
      <c r="F26" t="s">
        <v>577</v>
      </c>
      <c r="G26">
        <v>25</v>
      </c>
      <c r="H26">
        <v>29</v>
      </c>
      <c r="I26" t="str">
        <f t="shared" si="0"/>
        <v>BR2529ET02</v>
      </c>
      <c r="J26" t="s">
        <v>3273</v>
      </c>
      <c r="K26" s="412">
        <f>RegionalData!O63</f>
        <v>0.27800000000000002</v>
      </c>
      <c r="L26" s="412">
        <f>RegionalData!Q63</f>
        <v>1.0180133403632152</v>
      </c>
    </row>
    <row r="27" spans="1:12" x14ac:dyDescent="0.25">
      <c r="A27" t="s">
        <v>1773</v>
      </c>
      <c r="B27" t="s">
        <v>3260</v>
      </c>
      <c r="C27" t="s">
        <v>3255</v>
      </c>
      <c r="D27" t="s">
        <v>2871</v>
      </c>
      <c r="E27" t="s">
        <v>2872</v>
      </c>
      <c r="F27" t="s">
        <v>577</v>
      </c>
      <c r="G27">
        <v>30</v>
      </c>
      <c r="H27">
        <v>34</v>
      </c>
      <c r="I27" t="str">
        <f t="shared" si="0"/>
        <v>BR3034ET02</v>
      </c>
      <c r="J27" t="s">
        <v>3274</v>
      </c>
      <c r="K27" s="412">
        <f>RegionalData!O65</f>
        <v>0.14899999999999999</v>
      </c>
      <c r="L27" s="412">
        <f>RegionalData!Q65</f>
        <v>0.97530255076662631</v>
      </c>
    </row>
    <row r="28" spans="1:12" x14ac:dyDescent="0.25">
      <c r="A28" t="s">
        <v>1771</v>
      </c>
      <c r="B28" t="s">
        <v>3261</v>
      </c>
      <c r="C28" t="s">
        <v>3255</v>
      </c>
      <c r="D28" t="s">
        <v>2871</v>
      </c>
      <c r="E28" t="s">
        <v>2872</v>
      </c>
      <c r="F28" t="s">
        <v>577</v>
      </c>
      <c r="G28">
        <v>35</v>
      </c>
      <c r="H28">
        <v>39</v>
      </c>
      <c r="I28" t="str">
        <f t="shared" si="0"/>
        <v>BR3539ET02</v>
      </c>
      <c r="J28" t="s">
        <v>3275</v>
      </c>
      <c r="K28" s="412">
        <f>RegionalData!O67</f>
        <v>0.112</v>
      </c>
      <c r="L28" s="412">
        <f>RegionalData!Q67</f>
        <v>0.96907399911139525</v>
      </c>
    </row>
    <row r="29" spans="1:12" x14ac:dyDescent="0.25">
      <c r="A29" t="s">
        <v>1769</v>
      </c>
      <c r="B29" t="s">
        <v>3262</v>
      </c>
      <c r="C29" t="s">
        <v>3255</v>
      </c>
      <c r="D29" t="s">
        <v>2871</v>
      </c>
      <c r="E29" t="s">
        <v>2872</v>
      </c>
      <c r="F29" t="s">
        <v>577</v>
      </c>
      <c r="G29">
        <v>40</v>
      </c>
      <c r="H29">
        <v>44</v>
      </c>
      <c r="I29" t="str">
        <f t="shared" si="0"/>
        <v>BR4044ET02</v>
      </c>
      <c r="J29" t="s">
        <v>3276</v>
      </c>
      <c r="K29" s="412">
        <f>RegionalData!O69</f>
        <v>8.2000000000000003E-2</v>
      </c>
      <c r="L29" s="412">
        <f>RegionalData!Q69</f>
        <v>1.1325887283887568</v>
      </c>
    </row>
    <row r="30" spans="1:12" x14ac:dyDescent="0.25">
      <c r="A30" t="s">
        <v>1767</v>
      </c>
      <c r="B30" t="s">
        <v>3263</v>
      </c>
      <c r="C30" t="s">
        <v>3255</v>
      </c>
      <c r="D30" t="s">
        <v>2871</v>
      </c>
      <c r="E30" t="s">
        <v>2872</v>
      </c>
      <c r="F30" t="s">
        <v>577</v>
      </c>
      <c r="G30">
        <v>45</v>
      </c>
      <c r="H30">
        <v>49</v>
      </c>
      <c r="I30" t="str">
        <f t="shared" si="0"/>
        <v>BR4549ET02</v>
      </c>
      <c r="J30" t="s">
        <v>3277</v>
      </c>
      <c r="K30" s="412">
        <f>RegionalData!O71</f>
        <v>0.02</v>
      </c>
      <c r="L30" s="412">
        <f>RegionalData!Q71</f>
        <v>1.0905077326652577</v>
      </c>
    </row>
    <row r="31" spans="1:12" x14ac:dyDescent="0.25">
      <c r="A31" t="s">
        <v>3264</v>
      </c>
      <c r="C31" t="s">
        <v>3255</v>
      </c>
      <c r="D31" t="s">
        <v>2871</v>
      </c>
      <c r="E31" t="s">
        <v>2872</v>
      </c>
      <c r="F31" t="s">
        <v>577</v>
      </c>
      <c r="G31">
        <v>50</v>
      </c>
      <c r="I31" t="str">
        <f t="shared" si="0"/>
        <v>BR5000ET02</v>
      </c>
      <c r="J31" t="s">
        <v>3278</v>
      </c>
      <c r="K31" s="124">
        <v>0</v>
      </c>
      <c r="L31" s="124">
        <v>1</v>
      </c>
    </row>
    <row r="32" spans="1:12" x14ac:dyDescent="0.25">
      <c r="A32" t="s">
        <v>3254</v>
      </c>
      <c r="C32" t="s">
        <v>3255</v>
      </c>
      <c r="D32" t="s">
        <v>2873</v>
      </c>
      <c r="E32" t="s">
        <v>805</v>
      </c>
      <c r="F32" t="s">
        <v>576</v>
      </c>
      <c r="I32" t="str">
        <f t="shared" si="0"/>
        <v>BR0000ET03</v>
      </c>
      <c r="J32" t="s">
        <v>3269</v>
      </c>
      <c r="K32">
        <v>0</v>
      </c>
      <c r="L32">
        <v>1</v>
      </c>
    </row>
    <row r="33" spans="1:12" x14ac:dyDescent="0.25">
      <c r="A33" t="s">
        <v>3256</v>
      </c>
      <c r="C33" t="s">
        <v>3255</v>
      </c>
      <c r="D33" t="s">
        <v>2873</v>
      </c>
      <c r="E33" t="s">
        <v>805</v>
      </c>
      <c r="F33" t="s">
        <v>577</v>
      </c>
      <c r="H33">
        <v>14</v>
      </c>
      <c r="I33" t="str">
        <f t="shared" si="0"/>
        <v>BR0014ET03</v>
      </c>
      <c r="J33" t="s">
        <v>3270</v>
      </c>
      <c r="K33">
        <v>0</v>
      </c>
      <c r="L33">
        <v>1</v>
      </c>
    </row>
    <row r="34" spans="1:12" x14ac:dyDescent="0.25">
      <c r="A34" t="s">
        <v>1779</v>
      </c>
      <c r="B34" t="s">
        <v>3257</v>
      </c>
      <c r="C34" t="s">
        <v>3255</v>
      </c>
      <c r="D34" t="s">
        <v>2873</v>
      </c>
      <c r="E34" t="s">
        <v>805</v>
      </c>
      <c r="F34" t="s">
        <v>577</v>
      </c>
      <c r="G34">
        <v>15</v>
      </c>
      <c r="H34">
        <v>19</v>
      </c>
      <c r="I34" t="str">
        <f t="shared" si="0"/>
        <v>BR1519ET03</v>
      </c>
      <c r="J34" t="s">
        <v>3271</v>
      </c>
      <c r="K34" s="412">
        <f>RegionalData!O73</f>
        <v>4.2000000000000003E-2</v>
      </c>
      <c r="L34" s="412">
        <f>RegionalData!Q73</f>
        <v>0.95442088007831283</v>
      </c>
    </row>
    <row r="35" spans="1:12" x14ac:dyDescent="0.25">
      <c r="A35" t="s">
        <v>1777</v>
      </c>
      <c r="B35" t="s">
        <v>3258</v>
      </c>
      <c r="C35" t="s">
        <v>3255</v>
      </c>
      <c r="D35" t="s">
        <v>2873</v>
      </c>
      <c r="E35" t="s">
        <v>805</v>
      </c>
      <c r="F35" t="s">
        <v>577</v>
      </c>
      <c r="G35">
        <v>20</v>
      </c>
      <c r="H35">
        <v>24</v>
      </c>
      <c r="I35" t="str">
        <f t="shared" si="0"/>
        <v>BR2024ET03</v>
      </c>
      <c r="J35" t="s">
        <v>3272</v>
      </c>
      <c r="K35" s="412">
        <f>RegionalData!O75</f>
        <v>0.157</v>
      </c>
      <c r="L35" s="412">
        <f>RegionalData!Q75</f>
        <v>0.96779569432634627</v>
      </c>
    </row>
    <row r="36" spans="1:12" x14ac:dyDescent="0.25">
      <c r="A36" t="s">
        <v>1775</v>
      </c>
      <c r="B36" t="s">
        <v>3259</v>
      </c>
      <c r="C36" t="s">
        <v>3255</v>
      </c>
      <c r="D36" t="s">
        <v>2873</v>
      </c>
      <c r="E36" t="s">
        <v>805</v>
      </c>
      <c r="F36" t="s">
        <v>577</v>
      </c>
      <c r="G36">
        <v>25</v>
      </c>
      <c r="H36">
        <v>29</v>
      </c>
      <c r="I36" t="str">
        <f t="shared" si="0"/>
        <v>BR2529ET03</v>
      </c>
      <c r="J36" t="s">
        <v>3273</v>
      </c>
      <c r="K36" s="412">
        <f>RegionalData!O77</f>
        <v>0.19500000000000001</v>
      </c>
      <c r="L36" s="412">
        <f>RegionalData!Q77</f>
        <v>1.0059240890265411</v>
      </c>
    </row>
    <row r="37" spans="1:12" x14ac:dyDescent="0.25">
      <c r="A37" t="s">
        <v>1773</v>
      </c>
      <c r="B37" t="s">
        <v>3260</v>
      </c>
      <c r="C37" t="s">
        <v>3255</v>
      </c>
      <c r="D37" t="s">
        <v>2873</v>
      </c>
      <c r="E37" t="s">
        <v>805</v>
      </c>
      <c r="F37" t="s">
        <v>577</v>
      </c>
      <c r="G37">
        <v>30</v>
      </c>
      <c r="H37">
        <v>34</v>
      </c>
      <c r="I37" t="str">
        <f t="shared" si="0"/>
        <v>BR3034ET03</v>
      </c>
      <c r="J37" t="s">
        <v>3274</v>
      </c>
      <c r="K37" s="412">
        <f>RegionalData!O79</f>
        <v>0.14399999999999999</v>
      </c>
      <c r="L37" s="412">
        <f>RegionalData!Q79</f>
        <v>0.99164270513184261</v>
      </c>
    </row>
    <row r="38" spans="1:12" x14ac:dyDescent="0.25">
      <c r="A38" t="s">
        <v>1771</v>
      </c>
      <c r="B38" t="s">
        <v>3261</v>
      </c>
      <c r="C38" t="s">
        <v>3255</v>
      </c>
      <c r="D38" t="s">
        <v>2873</v>
      </c>
      <c r="E38" t="s">
        <v>805</v>
      </c>
      <c r="F38" t="s">
        <v>577</v>
      </c>
      <c r="G38">
        <v>35</v>
      </c>
      <c r="H38">
        <v>39</v>
      </c>
      <c r="I38" t="str">
        <f t="shared" si="0"/>
        <v>BR3539ET03</v>
      </c>
      <c r="J38" t="s">
        <v>3275</v>
      </c>
      <c r="K38" s="412">
        <f>RegionalData!O81</f>
        <v>0.11799999999999999</v>
      </c>
      <c r="L38" s="412">
        <f>RegionalData!Q81</f>
        <v>0.98151101994666412</v>
      </c>
    </row>
    <row r="39" spans="1:12" x14ac:dyDescent="0.25">
      <c r="A39" t="s">
        <v>1769</v>
      </c>
      <c r="B39" t="s">
        <v>3262</v>
      </c>
      <c r="C39" t="s">
        <v>3255</v>
      </c>
      <c r="D39" t="s">
        <v>2873</v>
      </c>
      <c r="E39" t="s">
        <v>805</v>
      </c>
      <c r="F39" t="s">
        <v>577</v>
      </c>
      <c r="G39">
        <v>40</v>
      </c>
      <c r="H39">
        <v>44</v>
      </c>
      <c r="I39" t="str">
        <f t="shared" si="0"/>
        <v>BR4044ET03</v>
      </c>
      <c r="J39" t="s">
        <v>3276</v>
      </c>
      <c r="K39" s="412">
        <f>RegionalData!O83</f>
        <v>4.5999999999999999E-2</v>
      </c>
      <c r="L39" s="412">
        <f>RegionalData!Q83</f>
        <v>0.95231607419425801</v>
      </c>
    </row>
    <row r="40" spans="1:12" x14ac:dyDescent="0.25">
      <c r="A40" t="s">
        <v>1767</v>
      </c>
      <c r="B40" t="s">
        <v>3263</v>
      </c>
      <c r="C40" t="s">
        <v>3255</v>
      </c>
      <c r="D40" t="s">
        <v>2873</v>
      </c>
      <c r="E40" t="s">
        <v>805</v>
      </c>
      <c r="F40" t="s">
        <v>577</v>
      </c>
      <c r="G40">
        <v>45</v>
      </c>
      <c r="H40">
        <v>49</v>
      </c>
      <c r="I40" t="str">
        <f t="shared" si="0"/>
        <v>BR4549ET03</v>
      </c>
      <c r="J40" t="s">
        <v>3277</v>
      </c>
      <c r="K40" s="412">
        <f>RegionalData!O85</f>
        <v>2.7E-2</v>
      </c>
      <c r="L40" s="412">
        <f>RegionalData!Q85</f>
        <v>1.0618587587949346</v>
      </c>
    </row>
    <row r="41" spans="1:12" x14ac:dyDescent="0.25">
      <c r="A41" t="s">
        <v>3264</v>
      </c>
      <c r="C41" t="s">
        <v>3255</v>
      </c>
      <c r="D41" t="s">
        <v>2873</v>
      </c>
      <c r="E41" t="s">
        <v>805</v>
      </c>
      <c r="F41" t="s">
        <v>577</v>
      </c>
      <c r="G41">
        <v>50</v>
      </c>
      <c r="I41" t="str">
        <f t="shared" si="0"/>
        <v>BR5000ET03</v>
      </c>
      <c r="J41" t="s">
        <v>3278</v>
      </c>
      <c r="K41" s="124">
        <v>0</v>
      </c>
      <c r="L41" s="124">
        <v>1</v>
      </c>
    </row>
    <row r="42" spans="1:12" x14ac:dyDescent="0.25">
      <c r="A42" t="s">
        <v>3254</v>
      </c>
      <c r="C42" t="s">
        <v>3255</v>
      </c>
      <c r="D42" t="s">
        <v>2874</v>
      </c>
      <c r="E42" t="s">
        <v>809</v>
      </c>
      <c r="F42" t="s">
        <v>576</v>
      </c>
      <c r="I42" t="str">
        <f t="shared" si="0"/>
        <v>BR0000ET04</v>
      </c>
      <c r="J42" t="s">
        <v>3269</v>
      </c>
      <c r="K42">
        <v>0</v>
      </c>
      <c r="L42">
        <v>1</v>
      </c>
    </row>
    <row r="43" spans="1:12" x14ac:dyDescent="0.25">
      <c r="A43" t="s">
        <v>3256</v>
      </c>
      <c r="C43" t="s">
        <v>3255</v>
      </c>
      <c r="D43" t="s">
        <v>2874</v>
      </c>
      <c r="E43" t="s">
        <v>809</v>
      </c>
      <c r="F43" t="s">
        <v>577</v>
      </c>
      <c r="H43">
        <v>14</v>
      </c>
      <c r="I43" t="str">
        <f t="shared" si="0"/>
        <v>BR0014ET04</v>
      </c>
      <c r="J43" t="s">
        <v>3270</v>
      </c>
      <c r="K43">
        <v>0</v>
      </c>
      <c r="L43">
        <v>1</v>
      </c>
    </row>
    <row r="44" spans="1:12" x14ac:dyDescent="0.25">
      <c r="A44" t="s">
        <v>1779</v>
      </c>
      <c r="B44" t="s">
        <v>3257</v>
      </c>
      <c r="C44" t="s">
        <v>3255</v>
      </c>
      <c r="D44" t="s">
        <v>2874</v>
      </c>
      <c r="E44" t="s">
        <v>809</v>
      </c>
      <c r="F44" t="s">
        <v>577</v>
      </c>
      <c r="G44">
        <v>15</v>
      </c>
      <c r="H44">
        <v>19</v>
      </c>
      <c r="I44" t="str">
        <f t="shared" si="0"/>
        <v>BR1519ET04</v>
      </c>
      <c r="J44" t="s">
        <v>3271</v>
      </c>
      <c r="K44" s="412">
        <f>RegionalData!O87</f>
        <v>8.8999999999999996E-2</v>
      </c>
      <c r="L44" s="412">
        <f>RegionalData!Q87</f>
        <v>0.97723897298610929</v>
      </c>
    </row>
    <row r="45" spans="1:12" x14ac:dyDescent="0.25">
      <c r="A45" t="s">
        <v>1777</v>
      </c>
      <c r="B45" t="s">
        <v>3258</v>
      </c>
      <c r="C45" t="s">
        <v>3255</v>
      </c>
      <c r="D45" t="s">
        <v>2874</v>
      </c>
      <c r="E45" t="s">
        <v>809</v>
      </c>
      <c r="F45" t="s">
        <v>577</v>
      </c>
      <c r="G45">
        <v>20</v>
      </c>
      <c r="H45">
        <v>24</v>
      </c>
      <c r="I45" t="str">
        <f t="shared" si="0"/>
        <v>BR2024ET04</v>
      </c>
      <c r="J45" t="s">
        <v>3272</v>
      </c>
      <c r="K45" s="412">
        <f>RegionalData!O89</f>
        <v>0.23499999999999999</v>
      </c>
      <c r="L45" s="412">
        <f>RegionalData!Q89</f>
        <v>0.99685353311678415</v>
      </c>
    </row>
    <row r="46" spans="1:12" x14ac:dyDescent="0.25">
      <c r="A46" t="s">
        <v>1775</v>
      </c>
      <c r="B46" t="s">
        <v>3259</v>
      </c>
      <c r="C46" t="s">
        <v>3255</v>
      </c>
      <c r="D46" t="s">
        <v>2874</v>
      </c>
      <c r="E46" t="s">
        <v>809</v>
      </c>
      <c r="F46" t="s">
        <v>577</v>
      </c>
      <c r="G46">
        <v>25</v>
      </c>
      <c r="H46">
        <v>29</v>
      </c>
      <c r="I46" t="str">
        <f t="shared" si="0"/>
        <v>BR2529ET04</v>
      </c>
      <c r="J46" t="s">
        <v>3273</v>
      </c>
      <c r="K46" s="412">
        <f>RegionalData!O91</f>
        <v>0.20499999999999999</v>
      </c>
      <c r="L46" s="412">
        <f>RegionalData!Q91</f>
        <v>0.95923160261985096</v>
      </c>
    </row>
    <row r="47" spans="1:12" x14ac:dyDescent="0.25">
      <c r="A47" t="s">
        <v>1773</v>
      </c>
      <c r="B47" t="s">
        <v>3260</v>
      </c>
      <c r="C47" t="s">
        <v>3255</v>
      </c>
      <c r="D47" t="s">
        <v>2874</v>
      </c>
      <c r="E47" t="s">
        <v>809</v>
      </c>
      <c r="F47" t="s">
        <v>577</v>
      </c>
      <c r="G47">
        <v>30</v>
      </c>
      <c r="H47">
        <v>34</v>
      </c>
      <c r="I47" t="str">
        <f t="shared" si="0"/>
        <v>BR3034ET04</v>
      </c>
      <c r="J47" t="s">
        <v>3274</v>
      </c>
      <c r="K47" s="412">
        <f>RegionalData!O93</f>
        <v>0.16300000000000001</v>
      </c>
      <c r="L47" s="412">
        <f>RegionalData!Q93</f>
        <v>0.96266330219938556</v>
      </c>
    </row>
    <row r="48" spans="1:12" x14ac:dyDescent="0.25">
      <c r="A48" t="s">
        <v>1771</v>
      </c>
      <c r="B48" t="s">
        <v>3261</v>
      </c>
      <c r="C48" t="s">
        <v>3255</v>
      </c>
      <c r="D48" t="s">
        <v>2874</v>
      </c>
      <c r="E48" t="s">
        <v>809</v>
      </c>
      <c r="F48" t="s">
        <v>577</v>
      </c>
      <c r="G48">
        <v>35</v>
      </c>
      <c r="H48">
        <v>39</v>
      </c>
      <c r="I48" t="str">
        <f t="shared" si="0"/>
        <v>BR3539ET04</v>
      </c>
      <c r="J48" t="s">
        <v>3275</v>
      </c>
      <c r="K48" s="412">
        <f>RegionalData!O95</f>
        <v>0.113</v>
      </c>
      <c r="L48" s="412">
        <f>RegionalData!Q95</f>
        <v>0.95745816617065971</v>
      </c>
    </row>
    <row r="49" spans="1:12" x14ac:dyDescent="0.25">
      <c r="A49" t="s">
        <v>1769</v>
      </c>
      <c r="B49" t="s">
        <v>3262</v>
      </c>
      <c r="C49" t="s">
        <v>3255</v>
      </c>
      <c r="D49" t="s">
        <v>2874</v>
      </c>
      <c r="E49" t="s">
        <v>809</v>
      </c>
      <c r="F49" t="s">
        <v>577</v>
      </c>
      <c r="G49">
        <v>40</v>
      </c>
      <c r="H49">
        <v>44</v>
      </c>
      <c r="I49" t="str">
        <f t="shared" si="0"/>
        <v>BR4044ET04</v>
      </c>
      <c r="J49" t="s">
        <v>3276</v>
      </c>
      <c r="K49" s="412">
        <f>RegionalData!O97</f>
        <v>5.3999999999999999E-2</v>
      </c>
      <c r="L49" s="412">
        <f>RegionalData!Q97</f>
        <v>0.95976865458264549</v>
      </c>
    </row>
    <row r="50" spans="1:12" x14ac:dyDescent="0.25">
      <c r="A50" t="s">
        <v>1767</v>
      </c>
      <c r="B50" t="s">
        <v>3263</v>
      </c>
      <c r="C50" t="s">
        <v>3255</v>
      </c>
      <c r="D50" t="s">
        <v>2874</v>
      </c>
      <c r="E50" t="s">
        <v>809</v>
      </c>
      <c r="F50" t="s">
        <v>577</v>
      </c>
      <c r="G50">
        <v>45</v>
      </c>
      <c r="H50">
        <v>49</v>
      </c>
      <c r="I50" t="str">
        <f t="shared" si="0"/>
        <v>BR4549ET04</v>
      </c>
      <c r="J50" t="s">
        <v>3277</v>
      </c>
      <c r="K50" s="412">
        <f>RegionalData!O99</f>
        <v>2.5000000000000001E-2</v>
      </c>
      <c r="L50" s="412">
        <f>RegionalData!Q99</f>
        <v>0.92458673196759678</v>
      </c>
    </row>
    <row r="51" spans="1:12" x14ac:dyDescent="0.25">
      <c r="A51" t="s">
        <v>3264</v>
      </c>
      <c r="C51" t="s">
        <v>3255</v>
      </c>
      <c r="D51" t="s">
        <v>2874</v>
      </c>
      <c r="E51" t="s">
        <v>809</v>
      </c>
      <c r="F51" t="s">
        <v>577</v>
      </c>
      <c r="G51">
        <v>50</v>
      </c>
      <c r="I51" t="str">
        <f t="shared" si="0"/>
        <v>BR5000ET04</v>
      </c>
      <c r="J51" t="s">
        <v>3278</v>
      </c>
      <c r="K51" s="124">
        <v>0</v>
      </c>
      <c r="L51" s="124">
        <v>1</v>
      </c>
    </row>
    <row r="52" spans="1:12" x14ac:dyDescent="0.25">
      <c r="A52" t="s">
        <v>3254</v>
      </c>
      <c r="C52" t="s">
        <v>3255</v>
      </c>
      <c r="D52" t="s">
        <v>2875</v>
      </c>
      <c r="E52" t="s">
        <v>2876</v>
      </c>
      <c r="F52" t="s">
        <v>576</v>
      </c>
      <c r="I52" t="str">
        <f t="shared" si="0"/>
        <v>BR0000ET05</v>
      </c>
      <c r="J52" t="s">
        <v>3269</v>
      </c>
      <c r="K52">
        <v>0</v>
      </c>
      <c r="L52">
        <v>1</v>
      </c>
    </row>
    <row r="53" spans="1:12" x14ac:dyDescent="0.25">
      <c r="A53" t="s">
        <v>3256</v>
      </c>
      <c r="C53" t="s">
        <v>3255</v>
      </c>
      <c r="D53" t="s">
        <v>2875</v>
      </c>
      <c r="E53" t="s">
        <v>2876</v>
      </c>
      <c r="F53" t="s">
        <v>577</v>
      </c>
      <c r="H53">
        <v>14</v>
      </c>
      <c r="I53" t="str">
        <f t="shared" si="0"/>
        <v>BR0014ET05</v>
      </c>
      <c r="J53" t="s">
        <v>3270</v>
      </c>
      <c r="K53">
        <v>0</v>
      </c>
      <c r="L53">
        <v>1</v>
      </c>
    </row>
    <row r="54" spans="1:12" x14ac:dyDescent="0.25">
      <c r="A54" t="s">
        <v>1779</v>
      </c>
      <c r="B54" t="s">
        <v>3257</v>
      </c>
      <c r="C54" t="s">
        <v>3255</v>
      </c>
      <c r="D54" t="s">
        <v>2875</v>
      </c>
      <c r="E54" t="s">
        <v>2876</v>
      </c>
      <c r="F54" t="s">
        <v>577</v>
      </c>
      <c r="G54">
        <v>15</v>
      </c>
      <c r="H54">
        <v>19</v>
      </c>
      <c r="I54" t="str">
        <f t="shared" si="0"/>
        <v>BR1519ET05</v>
      </c>
      <c r="J54" t="s">
        <v>3271</v>
      </c>
      <c r="K54" s="412">
        <f>RegionalData!O101</f>
        <v>9.5000000000000001E-2</v>
      </c>
      <c r="L54" s="412">
        <f>RegionalData!Q101</f>
        <v>0.97429891282911052</v>
      </c>
    </row>
    <row r="55" spans="1:12" x14ac:dyDescent="0.25">
      <c r="A55" t="s">
        <v>1777</v>
      </c>
      <c r="B55" t="s">
        <v>3258</v>
      </c>
      <c r="C55" t="s">
        <v>3255</v>
      </c>
      <c r="D55" t="s">
        <v>2875</v>
      </c>
      <c r="E55" t="s">
        <v>2876</v>
      </c>
      <c r="F55" t="s">
        <v>577</v>
      </c>
      <c r="G55">
        <v>20</v>
      </c>
      <c r="H55">
        <v>24</v>
      </c>
      <c r="I55" t="str">
        <f t="shared" si="0"/>
        <v>BR2024ET05</v>
      </c>
      <c r="J55" t="s">
        <v>3272</v>
      </c>
      <c r="K55" s="412">
        <f>RegionalData!O103</f>
        <v>0.26400000000000001</v>
      </c>
      <c r="L55" s="412">
        <f>RegionalData!Q103</f>
        <v>0.98373852368882952</v>
      </c>
    </row>
    <row r="56" spans="1:12" x14ac:dyDescent="0.25">
      <c r="A56" t="s">
        <v>1775</v>
      </c>
      <c r="B56" t="s">
        <v>3259</v>
      </c>
      <c r="C56" t="s">
        <v>3255</v>
      </c>
      <c r="D56" t="s">
        <v>2875</v>
      </c>
      <c r="E56" t="s">
        <v>2876</v>
      </c>
      <c r="F56" t="s">
        <v>577</v>
      </c>
      <c r="G56">
        <v>25</v>
      </c>
      <c r="H56">
        <v>29</v>
      </c>
      <c r="I56" t="str">
        <f t="shared" si="0"/>
        <v>BR2529ET05</v>
      </c>
      <c r="J56" t="s">
        <v>3273</v>
      </c>
      <c r="K56" s="412">
        <f>RegionalData!O105</f>
        <v>0.27400000000000002</v>
      </c>
      <c r="L56" s="412">
        <f>RegionalData!Q105</f>
        <v>0.98078784072945902</v>
      </c>
    </row>
    <row r="57" spans="1:12" x14ac:dyDescent="0.25">
      <c r="A57" t="s">
        <v>1773</v>
      </c>
      <c r="B57" t="s">
        <v>3260</v>
      </c>
      <c r="C57" t="s">
        <v>3255</v>
      </c>
      <c r="D57" t="s">
        <v>2875</v>
      </c>
      <c r="E57" t="s">
        <v>2876</v>
      </c>
      <c r="F57" t="s">
        <v>577</v>
      </c>
      <c r="G57">
        <v>30</v>
      </c>
      <c r="H57">
        <v>34</v>
      </c>
      <c r="I57" t="str">
        <f t="shared" si="0"/>
        <v>BR3034ET05</v>
      </c>
      <c r="J57" t="s">
        <v>3274</v>
      </c>
      <c r="K57" s="412">
        <f>RegionalData!O107</f>
        <v>0.24299999999999999</v>
      </c>
      <c r="L57" s="412">
        <f>RegionalData!Q107</f>
        <v>0.97319510609944904</v>
      </c>
    </row>
    <row r="58" spans="1:12" x14ac:dyDescent="0.25">
      <c r="A58" t="s">
        <v>1771</v>
      </c>
      <c r="B58" t="s">
        <v>3261</v>
      </c>
      <c r="C58" t="s">
        <v>3255</v>
      </c>
      <c r="D58" t="s">
        <v>2875</v>
      </c>
      <c r="E58" t="s">
        <v>2876</v>
      </c>
      <c r="F58" t="s">
        <v>577</v>
      </c>
      <c r="G58">
        <v>35</v>
      </c>
      <c r="H58">
        <v>39</v>
      </c>
      <c r="I58" t="str">
        <f t="shared" si="0"/>
        <v>BR3539ET05</v>
      </c>
      <c r="J58" t="s">
        <v>3275</v>
      </c>
      <c r="K58" s="412">
        <f>RegionalData!O109</f>
        <v>0.19400000000000001</v>
      </c>
      <c r="L58" s="412">
        <f>RegionalData!Q109</f>
        <v>1.0012961877055229</v>
      </c>
    </row>
    <row r="59" spans="1:12" x14ac:dyDescent="0.25">
      <c r="A59" t="s">
        <v>1769</v>
      </c>
      <c r="B59" t="s">
        <v>3262</v>
      </c>
      <c r="C59" t="s">
        <v>3255</v>
      </c>
      <c r="D59" t="s">
        <v>2875</v>
      </c>
      <c r="E59" t="s">
        <v>2876</v>
      </c>
      <c r="F59" t="s">
        <v>577</v>
      </c>
      <c r="G59">
        <v>40</v>
      </c>
      <c r="H59">
        <v>44</v>
      </c>
      <c r="I59" t="str">
        <f t="shared" si="0"/>
        <v>BR4044ET05</v>
      </c>
      <c r="J59" t="s">
        <v>3276</v>
      </c>
      <c r="K59" s="412">
        <f>RegionalData!O111</f>
        <v>8.5000000000000006E-2</v>
      </c>
      <c r="L59" s="412">
        <f>RegionalData!Q111</f>
        <v>0.8974561003782201</v>
      </c>
    </row>
    <row r="60" spans="1:12" x14ac:dyDescent="0.25">
      <c r="A60" t="s">
        <v>1767</v>
      </c>
      <c r="B60" t="s">
        <v>3263</v>
      </c>
      <c r="C60" t="s">
        <v>3255</v>
      </c>
      <c r="D60" t="s">
        <v>2875</v>
      </c>
      <c r="E60" t="s">
        <v>2876</v>
      </c>
      <c r="F60" t="s">
        <v>577</v>
      </c>
      <c r="G60">
        <v>45</v>
      </c>
      <c r="H60">
        <v>49</v>
      </c>
      <c r="I60" t="str">
        <f t="shared" si="0"/>
        <v>BR4549ET05</v>
      </c>
      <c r="J60" t="s">
        <v>3277</v>
      </c>
      <c r="K60" s="412">
        <f>RegionalData!O113</f>
        <v>0</v>
      </c>
      <c r="L60" s="412">
        <f>RegionalData!Q113</f>
        <v>1</v>
      </c>
    </row>
    <row r="61" spans="1:12" x14ac:dyDescent="0.25">
      <c r="A61" t="s">
        <v>3264</v>
      </c>
      <c r="C61" t="s">
        <v>3255</v>
      </c>
      <c r="D61" t="s">
        <v>2875</v>
      </c>
      <c r="E61" t="s">
        <v>2876</v>
      </c>
      <c r="F61" t="s">
        <v>577</v>
      </c>
      <c r="G61">
        <v>50</v>
      </c>
      <c r="I61" t="str">
        <f t="shared" si="0"/>
        <v>BR5000ET05</v>
      </c>
      <c r="J61" t="s">
        <v>3278</v>
      </c>
      <c r="K61" s="124">
        <v>0</v>
      </c>
      <c r="L61" s="124">
        <v>1</v>
      </c>
    </row>
    <row r="62" spans="1:12" x14ac:dyDescent="0.25">
      <c r="A62" t="s">
        <v>3254</v>
      </c>
      <c r="C62" t="s">
        <v>3255</v>
      </c>
      <c r="D62" t="s">
        <v>2878</v>
      </c>
      <c r="E62" t="s">
        <v>2879</v>
      </c>
      <c r="F62" t="s">
        <v>576</v>
      </c>
      <c r="I62" t="str">
        <f t="shared" si="0"/>
        <v>BR0000ET06</v>
      </c>
      <c r="J62" t="s">
        <v>3269</v>
      </c>
      <c r="K62">
        <v>0</v>
      </c>
      <c r="L62">
        <v>1</v>
      </c>
    </row>
    <row r="63" spans="1:12" x14ac:dyDescent="0.25">
      <c r="A63" t="s">
        <v>3256</v>
      </c>
      <c r="C63" t="s">
        <v>3255</v>
      </c>
      <c r="D63" t="s">
        <v>2878</v>
      </c>
      <c r="E63" t="s">
        <v>2879</v>
      </c>
      <c r="F63" t="s">
        <v>577</v>
      </c>
      <c r="H63">
        <v>14</v>
      </c>
      <c r="I63" t="str">
        <f t="shared" si="0"/>
        <v>BR0014ET06</v>
      </c>
      <c r="J63" t="s">
        <v>3270</v>
      </c>
      <c r="K63">
        <v>0</v>
      </c>
      <c r="L63">
        <v>1</v>
      </c>
    </row>
    <row r="64" spans="1:12" x14ac:dyDescent="0.25">
      <c r="A64" t="s">
        <v>1779</v>
      </c>
      <c r="B64" t="s">
        <v>3257</v>
      </c>
      <c r="C64" t="s">
        <v>3255</v>
      </c>
      <c r="D64" t="s">
        <v>2878</v>
      </c>
      <c r="E64" t="s">
        <v>2879</v>
      </c>
      <c r="F64" t="s">
        <v>577</v>
      </c>
      <c r="G64">
        <v>15</v>
      </c>
      <c r="H64">
        <v>19</v>
      </c>
      <c r="I64" t="str">
        <f t="shared" si="0"/>
        <v>BR1519ET06</v>
      </c>
      <c r="J64" t="s">
        <v>3271</v>
      </c>
      <c r="K64" s="412">
        <f>RegionalData!O114</f>
        <v>7.2999999999999995E-2</v>
      </c>
      <c r="L64" s="412">
        <f>RegionalData!Q114</f>
        <v>0.92100707936104054</v>
      </c>
    </row>
    <row r="65" spans="1:12" x14ac:dyDescent="0.25">
      <c r="A65" t="s">
        <v>1777</v>
      </c>
      <c r="B65" t="s">
        <v>3258</v>
      </c>
      <c r="C65" t="s">
        <v>3255</v>
      </c>
      <c r="D65" t="s">
        <v>2878</v>
      </c>
      <c r="E65" t="s">
        <v>2879</v>
      </c>
      <c r="F65" t="s">
        <v>577</v>
      </c>
      <c r="G65">
        <v>20</v>
      </c>
      <c r="H65">
        <v>24</v>
      </c>
      <c r="I65" t="str">
        <f t="shared" si="0"/>
        <v>BR2024ET06</v>
      </c>
      <c r="J65" t="s">
        <v>3272</v>
      </c>
      <c r="K65" s="412">
        <f>RegionalData!O116</f>
        <v>0.248</v>
      </c>
      <c r="L65" s="412">
        <f>RegionalData!Q116</f>
        <v>1.0122403503324773</v>
      </c>
    </row>
    <row r="66" spans="1:12" x14ac:dyDescent="0.25">
      <c r="A66" t="s">
        <v>1775</v>
      </c>
      <c r="B66" t="s">
        <v>3259</v>
      </c>
      <c r="C66" t="s">
        <v>3255</v>
      </c>
      <c r="D66" t="s">
        <v>2878</v>
      </c>
      <c r="E66" t="s">
        <v>2879</v>
      </c>
      <c r="F66" t="s">
        <v>577</v>
      </c>
      <c r="G66">
        <v>25</v>
      </c>
      <c r="H66">
        <v>29</v>
      </c>
      <c r="I66" t="str">
        <f t="shared" si="0"/>
        <v>BR2529ET06</v>
      </c>
      <c r="J66" t="s">
        <v>3273</v>
      </c>
      <c r="K66" s="412">
        <f>RegionalData!O118</f>
        <v>0.214</v>
      </c>
      <c r="L66" s="412">
        <f>RegionalData!Q118</f>
        <v>0.99102758280210379</v>
      </c>
    </row>
    <row r="67" spans="1:12" x14ac:dyDescent="0.25">
      <c r="A67" t="s">
        <v>1773</v>
      </c>
      <c r="B67" t="s">
        <v>3260</v>
      </c>
      <c r="C67" t="s">
        <v>3255</v>
      </c>
      <c r="D67" t="s">
        <v>2878</v>
      </c>
      <c r="E67" t="s">
        <v>2879</v>
      </c>
      <c r="F67" t="s">
        <v>577</v>
      </c>
      <c r="G67">
        <v>30</v>
      </c>
      <c r="H67">
        <v>34</v>
      </c>
      <c r="I67" t="str">
        <f t="shared" ref="I67:I130" si="1">_xlfn.CONCAT(J67,D67)</f>
        <v>BR3034ET06</v>
      </c>
      <c r="J67" t="s">
        <v>3274</v>
      </c>
      <c r="K67" s="412">
        <f>RegionalData!O120</f>
        <v>0.16900000000000001</v>
      </c>
      <c r="L67" s="412">
        <f>RegionalData!Q120</f>
        <v>0.96812252252223585</v>
      </c>
    </row>
    <row r="68" spans="1:12" x14ac:dyDescent="0.25">
      <c r="A68" t="s">
        <v>1771</v>
      </c>
      <c r="B68" t="s">
        <v>3261</v>
      </c>
      <c r="C68" t="s">
        <v>3255</v>
      </c>
      <c r="D68" t="s">
        <v>2878</v>
      </c>
      <c r="E68" t="s">
        <v>2879</v>
      </c>
      <c r="F68" t="s">
        <v>577</v>
      </c>
      <c r="G68">
        <v>35</v>
      </c>
      <c r="H68">
        <v>39</v>
      </c>
      <c r="I68" t="str">
        <f t="shared" si="1"/>
        <v>BR3539ET06</v>
      </c>
      <c r="J68" t="s">
        <v>3275</v>
      </c>
      <c r="K68" s="412">
        <f>RegionalData!O122</f>
        <v>0.127</v>
      </c>
      <c r="L68" s="412">
        <f>RegionalData!Q122</f>
        <v>0.99902008324967195</v>
      </c>
    </row>
    <row r="69" spans="1:12" x14ac:dyDescent="0.25">
      <c r="A69" t="s">
        <v>1769</v>
      </c>
      <c r="B69" t="s">
        <v>3262</v>
      </c>
      <c r="C69" t="s">
        <v>3255</v>
      </c>
      <c r="D69" t="s">
        <v>2878</v>
      </c>
      <c r="E69" t="s">
        <v>2879</v>
      </c>
      <c r="F69" t="s">
        <v>577</v>
      </c>
      <c r="G69">
        <v>40</v>
      </c>
      <c r="H69">
        <v>44</v>
      </c>
      <c r="I69" t="str">
        <f t="shared" si="1"/>
        <v>BR4044ET06</v>
      </c>
      <c r="J69" t="s">
        <v>3276</v>
      </c>
      <c r="K69" s="412">
        <f>RegionalData!O124</f>
        <v>6.6000000000000003E-2</v>
      </c>
      <c r="L69" s="412">
        <f>RegionalData!Q124</f>
        <v>0.98747846761616642</v>
      </c>
    </row>
    <row r="70" spans="1:12" x14ac:dyDescent="0.25">
      <c r="A70" t="s">
        <v>1767</v>
      </c>
      <c r="B70" t="s">
        <v>3263</v>
      </c>
      <c r="C70" t="s">
        <v>3255</v>
      </c>
      <c r="D70" t="s">
        <v>2878</v>
      </c>
      <c r="E70" t="s">
        <v>2879</v>
      </c>
      <c r="F70" t="s">
        <v>577</v>
      </c>
      <c r="G70">
        <v>45</v>
      </c>
      <c r="H70">
        <v>49</v>
      </c>
      <c r="I70" t="str">
        <f t="shared" si="1"/>
        <v>BR4549ET06</v>
      </c>
      <c r="J70" t="s">
        <v>3277</v>
      </c>
      <c r="K70" s="412">
        <f>RegionalData!O126</f>
        <v>2.1999999999999999E-2</v>
      </c>
      <c r="L70" s="412">
        <f>RegionalData!Q126</f>
        <v>1</v>
      </c>
    </row>
    <row r="71" spans="1:12" x14ac:dyDescent="0.25">
      <c r="A71" t="s">
        <v>3264</v>
      </c>
      <c r="C71" t="s">
        <v>3255</v>
      </c>
      <c r="D71" t="s">
        <v>2878</v>
      </c>
      <c r="E71" t="s">
        <v>2879</v>
      </c>
      <c r="F71" t="s">
        <v>577</v>
      </c>
      <c r="G71">
        <v>50</v>
      </c>
      <c r="I71" t="str">
        <f t="shared" si="1"/>
        <v>BR5000ET06</v>
      </c>
      <c r="J71" t="s">
        <v>3278</v>
      </c>
      <c r="K71" s="124">
        <v>0</v>
      </c>
      <c r="L71" s="124">
        <v>1</v>
      </c>
    </row>
    <row r="72" spans="1:12" x14ac:dyDescent="0.25">
      <c r="A72" t="s">
        <v>3254</v>
      </c>
      <c r="C72" t="s">
        <v>3255</v>
      </c>
      <c r="D72" t="s">
        <v>2880</v>
      </c>
      <c r="E72" t="s">
        <v>2881</v>
      </c>
      <c r="F72" t="s">
        <v>576</v>
      </c>
      <c r="I72" t="str">
        <f t="shared" si="1"/>
        <v>BR0000ET07</v>
      </c>
      <c r="J72" t="s">
        <v>3269</v>
      </c>
      <c r="K72">
        <v>0</v>
      </c>
      <c r="L72">
        <v>1</v>
      </c>
    </row>
    <row r="73" spans="1:12" x14ac:dyDescent="0.25">
      <c r="A73" t="s">
        <v>3256</v>
      </c>
      <c r="C73" t="s">
        <v>3255</v>
      </c>
      <c r="D73" t="s">
        <v>2880</v>
      </c>
      <c r="E73" t="s">
        <v>2881</v>
      </c>
      <c r="F73" t="s">
        <v>577</v>
      </c>
      <c r="H73">
        <v>14</v>
      </c>
      <c r="I73" t="str">
        <f t="shared" si="1"/>
        <v>BR0014ET07</v>
      </c>
      <c r="J73" t="s">
        <v>3270</v>
      </c>
      <c r="K73">
        <v>0</v>
      </c>
      <c r="L73">
        <v>1</v>
      </c>
    </row>
    <row r="74" spans="1:12" x14ac:dyDescent="0.25">
      <c r="A74" t="s">
        <v>1779</v>
      </c>
      <c r="B74" t="s">
        <v>3257</v>
      </c>
      <c r="C74" t="s">
        <v>3255</v>
      </c>
      <c r="D74" t="s">
        <v>2880</v>
      </c>
      <c r="E74" t="s">
        <v>2881</v>
      </c>
      <c r="F74" t="s">
        <v>577</v>
      </c>
      <c r="G74">
        <v>15</v>
      </c>
      <c r="H74">
        <v>19</v>
      </c>
      <c r="I74" t="str">
        <f t="shared" si="1"/>
        <v>BR1519ET07</v>
      </c>
      <c r="J74" t="s">
        <v>3271</v>
      </c>
      <c r="K74" s="412">
        <f>RegionalData!O127</f>
        <v>7.2999999999999995E-2</v>
      </c>
      <c r="L74" s="412">
        <f>RegionalData!Q127</f>
        <v>1.0146147881626517</v>
      </c>
    </row>
    <row r="75" spans="1:12" x14ac:dyDescent="0.25">
      <c r="A75" t="s">
        <v>1777</v>
      </c>
      <c r="B75" t="s">
        <v>3258</v>
      </c>
      <c r="C75" t="s">
        <v>3255</v>
      </c>
      <c r="D75" t="s">
        <v>2880</v>
      </c>
      <c r="E75" t="s">
        <v>2881</v>
      </c>
      <c r="F75" t="s">
        <v>577</v>
      </c>
      <c r="G75">
        <v>20</v>
      </c>
      <c r="H75">
        <v>24</v>
      </c>
      <c r="I75" t="str">
        <f t="shared" si="1"/>
        <v>BR2024ET07</v>
      </c>
      <c r="J75" t="s">
        <v>3272</v>
      </c>
      <c r="K75" s="412">
        <f>RegionalData!O129</f>
        <v>0.18099999999999999</v>
      </c>
      <c r="L75" s="412">
        <f>RegionalData!Q129</f>
        <v>1.0020913689895239</v>
      </c>
    </row>
    <row r="76" spans="1:12" x14ac:dyDescent="0.25">
      <c r="A76" t="s">
        <v>1775</v>
      </c>
      <c r="B76" t="s">
        <v>3259</v>
      </c>
      <c r="C76" t="s">
        <v>3255</v>
      </c>
      <c r="D76" t="s">
        <v>2880</v>
      </c>
      <c r="E76" t="s">
        <v>2881</v>
      </c>
      <c r="F76" t="s">
        <v>577</v>
      </c>
      <c r="G76">
        <v>25</v>
      </c>
      <c r="H76">
        <v>29</v>
      </c>
      <c r="I76" t="str">
        <f t="shared" si="1"/>
        <v>BR2529ET07</v>
      </c>
      <c r="J76" t="s">
        <v>3273</v>
      </c>
      <c r="K76" s="412">
        <f>RegionalData!O131</f>
        <v>0.214</v>
      </c>
      <c r="L76" s="412">
        <f>RegionalData!Q131</f>
        <v>0.98124352348206356</v>
      </c>
    </row>
    <row r="77" spans="1:12" x14ac:dyDescent="0.25">
      <c r="A77" t="s">
        <v>1773</v>
      </c>
      <c r="B77" t="s">
        <v>3260</v>
      </c>
      <c r="C77" t="s">
        <v>3255</v>
      </c>
      <c r="D77" t="s">
        <v>2880</v>
      </c>
      <c r="E77" t="s">
        <v>2881</v>
      </c>
      <c r="F77" t="s">
        <v>577</v>
      </c>
      <c r="G77">
        <v>30</v>
      </c>
      <c r="H77">
        <v>34</v>
      </c>
      <c r="I77" t="str">
        <f t="shared" si="1"/>
        <v>BR3034ET07</v>
      </c>
      <c r="J77" t="s">
        <v>3274</v>
      </c>
      <c r="K77" s="412">
        <f>RegionalData!O133</f>
        <v>0.161</v>
      </c>
      <c r="L77" s="412">
        <f>RegionalData!Q133</f>
        <v>0.96733259669911176</v>
      </c>
    </row>
    <row r="78" spans="1:12" x14ac:dyDescent="0.25">
      <c r="A78" t="s">
        <v>1771</v>
      </c>
      <c r="B78" t="s">
        <v>3261</v>
      </c>
      <c r="C78" t="s">
        <v>3255</v>
      </c>
      <c r="D78" t="s">
        <v>2880</v>
      </c>
      <c r="E78" t="s">
        <v>2881</v>
      </c>
      <c r="F78" t="s">
        <v>577</v>
      </c>
      <c r="G78">
        <v>35</v>
      </c>
      <c r="H78">
        <v>39</v>
      </c>
      <c r="I78" t="str">
        <f t="shared" si="1"/>
        <v>BR3539ET07</v>
      </c>
      <c r="J78" t="s">
        <v>3275</v>
      </c>
      <c r="K78" s="412">
        <f>RegionalData!O135</f>
        <v>0.13</v>
      </c>
      <c r="L78" s="412">
        <f>RegionalData!Q135</f>
        <v>0.97437901304265118</v>
      </c>
    </row>
    <row r="79" spans="1:12" x14ac:dyDescent="0.25">
      <c r="A79" t="s">
        <v>1769</v>
      </c>
      <c r="B79" t="s">
        <v>3262</v>
      </c>
      <c r="C79" t="s">
        <v>3255</v>
      </c>
      <c r="D79" t="s">
        <v>2880</v>
      </c>
      <c r="E79" t="s">
        <v>2881</v>
      </c>
      <c r="F79" t="s">
        <v>577</v>
      </c>
      <c r="G79">
        <v>40</v>
      </c>
      <c r="H79">
        <v>44</v>
      </c>
      <c r="I79" t="str">
        <f t="shared" si="1"/>
        <v>BR4044ET07</v>
      </c>
      <c r="J79" t="s">
        <v>3276</v>
      </c>
      <c r="K79" s="412">
        <f>RegionalData!O137</f>
        <v>3.7999999999999999E-2</v>
      </c>
      <c r="L79" s="412">
        <f>RegionalData!Q137</f>
        <v>0.91852354154919258</v>
      </c>
    </row>
    <row r="80" spans="1:12" x14ac:dyDescent="0.25">
      <c r="A80" t="s">
        <v>1767</v>
      </c>
      <c r="B80" t="s">
        <v>3263</v>
      </c>
      <c r="C80" t="s">
        <v>3255</v>
      </c>
      <c r="D80" t="s">
        <v>2880</v>
      </c>
      <c r="E80" t="s">
        <v>2881</v>
      </c>
      <c r="F80" t="s">
        <v>577</v>
      </c>
      <c r="G80">
        <v>45</v>
      </c>
      <c r="H80">
        <v>49</v>
      </c>
      <c r="I80" t="str">
        <f t="shared" si="1"/>
        <v>BR4549ET07</v>
      </c>
      <c r="J80" t="s">
        <v>3277</v>
      </c>
      <c r="K80" s="412">
        <f>RegionalData!O139</f>
        <v>2.7E-2</v>
      </c>
      <c r="L80" s="412">
        <f>RegionalData!Q139</f>
        <v>0.92909437646256021</v>
      </c>
    </row>
    <row r="81" spans="1:12" x14ac:dyDescent="0.25">
      <c r="A81" t="s">
        <v>3264</v>
      </c>
      <c r="C81" t="s">
        <v>3255</v>
      </c>
      <c r="D81" t="s">
        <v>2880</v>
      </c>
      <c r="E81" t="s">
        <v>2881</v>
      </c>
      <c r="F81" t="s">
        <v>577</v>
      </c>
      <c r="G81">
        <v>50</v>
      </c>
      <c r="I81" t="str">
        <f t="shared" si="1"/>
        <v>BR5000ET07</v>
      </c>
      <c r="J81" t="s">
        <v>3278</v>
      </c>
      <c r="K81" s="124">
        <v>0</v>
      </c>
      <c r="L81" s="124">
        <v>1</v>
      </c>
    </row>
    <row r="82" spans="1:12" x14ac:dyDescent="0.25">
      <c r="A82" t="s">
        <v>3254</v>
      </c>
      <c r="C82" t="s">
        <v>3255</v>
      </c>
      <c r="D82" t="s">
        <v>2882</v>
      </c>
      <c r="E82" t="s">
        <v>2883</v>
      </c>
      <c r="F82" t="s">
        <v>576</v>
      </c>
      <c r="I82" t="str">
        <f t="shared" si="1"/>
        <v>BR0000ET12</v>
      </c>
      <c r="J82" t="s">
        <v>3269</v>
      </c>
      <c r="K82">
        <v>0</v>
      </c>
      <c r="L82">
        <v>1</v>
      </c>
    </row>
    <row r="83" spans="1:12" x14ac:dyDescent="0.25">
      <c r="A83" t="s">
        <v>3256</v>
      </c>
      <c r="C83" t="s">
        <v>3255</v>
      </c>
      <c r="D83" t="s">
        <v>2882</v>
      </c>
      <c r="E83" t="s">
        <v>2883</v>
      </c>
      <c r="F83" t="s">
        <v>577</v>
      </c>
      <c r="H83">
        <v>14</v>
      </c>
      <c r="I83" t="str">
        <f t="shared" si="1"/>
        <v>BR0014ET12</v>
      </c>
      <c r="J83" t="s">
        <v>3270</v>
      </c>
      <c r="K83">
        <v>0</v>
      </c>
      <c r="L83">
        <v>1</v>
      </c>
    </row>
    <row r="84" spans="1:12" x14ac:dyDescent="0.25">
      <c r="A84" t="s">
        <v>1779</v>
      </c>
      <c r="B84" t="s">
        <v>3257</v>
      </c>
      <c r="C84" t="s">
        <v>3255</v>
      </c>
      <c r="D84" t="s">
        <v>2882</v>
      </c>
      <c r="E84" t="s">
        <v>2883</v>
      </c>
      <c r="F84" t="s">
        <v>577</v>
      </c>
      <c r="G84">
        <v>15</v>
      </c>
      <c r="H84">
        <v>19</v>
      </c>
      <c r="I84" t="str">
        <f t="shared" si="1"/>
        <v>BR1519ET12</v>
      </c>
      <c r="J84" t="s">
        <v>3271</v>
      </c>
      <c r="K84" s="412">
        <f>RegionalData!O141</f>
        <v>0.124</v>
      </c>
      <c r="L84" s="412">
        <f>RegionalData!Q141</f>
        <v>1.0613689296226481</v>
      </c>
    </row>
    <row r="85" spans="1:12" x14ac:dyDescent="0.25">
      <c r="A85" t="s">
        <v>1777</v>
      </c>
      <c r="B85" t="s">
        <v>3258</v>
      </c>
      <c r="C85" t="s">
        <v>3255</v>
      </c>
      <c r="D85" t="s">
        <v>2882</v>
      </c>
      <c r="E85" t="s">
        <v>2883</v>
      </c>
      <c r="F85" t="s">
        <v>577</v>
      </c>
      <c r="G85">
        <v>20</v>
      </c>
      <c r="H85">
        <v>24</v>
      </c>
      <c r="I85" t="str">
        <f t="shared" si="1"/>
        <v>BR2024ET12</v>
      </c>
      <c r="J85" t="s">
        <v>3272</v>
      </c>
      <c r="K85" s="412">
        <f>RegionalData!O143</f>
        <v>0.161</v>
      </c>
      <c r="L85" s="412">
        <f>RegionalData!Q143</f>
        <v>1.0185360018582728</v>
      </c>
    </row>
    <row r="86" spans="1:12" x14ac:dyDescent="0.25">
      <c r="A86" t="s">
        <v>1775</v>
      </c>
      <c r="B86" t="s">
        <v>3259</v>
      </c>
      <c r="C86" t="s">
        <v>3255</v>
      </c>
      <c r="D86" t="s">
        <v>2882</v>
      </c>
      <c r="E86" t="s">
        <v>2883</v>
      </c>
      <c r="F86" t="s">
        <v>577</v>
      </c>
      <c r="G86">
        <v>25</v>
      </c>
      <c r="H86">
        <v>29</v>
      </c>
      <c r="I86" t="str">
        <f t="shared" si="1"/>
        <v>BR2529ET12</v>
      </c>
      <c r="J86" t="s">
        <v>3273</v>
      </c>
      <c r="K86" s="412">
        <f>RegionalData!O145</f>
        <v>0.17499999999999999</v>
      </c>
      <c r="L86" s="412">
        <f>RegionalData!Q145</f>
        <v>0.99858053855846252</v>
      </c>
    </row>
    <row r="87" spans="1:12" x14ac:dyDescent="0.25">
      <c r="A87" t="s">
        <v>1773</v>
      </c>
      <c r="B87" t="s">
        <v>3260</v>
      </c>
      <c r="C87" t="s">
        <v>3255</v>
      </c>
      <c r="D87" t="s">
        <v>2882</v>
      </c>
      <c r="E87" t="s">
        <v>2883</v>
      </c>
      <c r="F87" t="s">
        <v>577</v>
      </c>
      <c r="G87">
        <v>30</v>
      </c>
      <c r="H87">
        <v>34</v>
      </c>
      <c r="I87" t="str">
        <f t="shared" si="1"/>
        <v>BR3034ET12</v>
      </c>
      <c r="J87" t="s">
        <v>3274</v>
      </c>
      <c r="K87" s="412">
        <f>RegionalData!O147</f>
        <v>0.13500000000000001</v>
      </c>
      <c r="L87" s="412">
        <f>RegionalData!Q147</f>
        <v>0.9752281484642602</v>
      </c>
    </row>
    <row r="88" spans="1:12" x14ac:dyDescent="0.25">
      <c r="A88" t="s">
        <v>1771</v>
      </c>
      <c r="B88" t="s">
        <v>3261</v>
      </c>
      <c r="C88" t="s">
        <v>3255</v>
      </c>
      <c r="D88" t="s">
        <v>2882</v>
      </c>
      <c r="E88" t="s">
        <v>2883</v>
      </c>
      <c r="F88" t="s">
        <v>577</v>
      </c>
      <c r="G88">
        <v>35</v>
      </c>
      <c r="H88">
        <v>39</v>
      </c>
      <c r="I88" t="str">
        <f t="shared" si="1"/>
        <v>BR3539ET12</v>
      </c>
      <c r="J88" t="s">
        <v>3275</v>
      </c>
      <c r="K88" s="412">
        <f>RegionalData!O149</f>
        <v>6.4000000000000001E-2</v>
      </c>
      <c r="L88" s="412">
        <f>RegionalData!Q149</f>
        <v>0.90360200360984488</v>
      </c>
    </row>
    <row r="89" spans="1:12" x14ac:dyDescent="0.25">
      <c r="A89" t="s">
        <v>1769</v>
      </c>
      <c r="B89" t="s">
        <v>3262</v>
      </c>
      <c r="C89" t="s">
        <v>3255</v>
      </c>
      <c r="D89" t="s">
        <v>2882</v>
      </c>
      <c r="E89" t="s">
        <v>2883</v>
      </c>
      <c r="F89" t="s">
        <v>577</v>
      </c>
      <c r="G89">
        <v>40</v>
      </c>
      <c r="H89">
        <v>44</v>
      </c>
      <c r="I89" t="str">
        <f t="shared" si="1"/>
        <v>BR4044ET12</v>
      </c>
      <c r="J89" t="s">
        <v>3276</v>
      </c>
      <c r="K89" s="412">
        <f>RegionalData!O151</f>
        <v>1.2999999999999999E-2</v>
      </c>
      <c r="L89" s="412">
        <f>RegionalData!Q151</f>
        <v>0.77667102633024399</v>
      </c>
    </row>
    <row r="90" spans="1:12" x14ac:dyDescent="0.25">
      <c r="A90" t="s">
        <v>1767</v>
      </c>
      <c r="B90" t="s">
        <v>3263</v>
      </c>
      <c r="C90" t="s">
        <v>3255</v>
      </c>
      <c r="D90" t="s">
        <v>2882</v>
      </c>
      <c r="E90" t="s">
        <v>2883</v>
      </c>
      <c r="F90" t="s">
        <v>577</v>
      </c>
      <c r="G90">
        <v>45</v>
      </c>
      <c r="H90">
        <v>49</v>
      </c>
      <c r="I90" t="str">
        <f t="shared" si="1"/>
        <v>BR4549ET12</v>
      </c>
      <c r="J90" t="s">
        <v>3277</v>
      </c>
      <c r="K90" s="412">
        <f>RegionalData!O153</f>
        <v>4.2000000000000003E-2</v>
      </c>
      <c r="L90" s="412">
        <f>RegionalData!Q153</f>
        <v>1</v>
      </c>
    </row>
    <row r="91" spans="1:12" x14ac:dyDescent="0.25">
      <c r="A91" t="s">
        <v>3264</v>
      </c>
      <c r="C91" t="s">
        <v>3255</v>
      </c>
      <c r="D91" t="s">
        <v>2882</v>
      </c>
      <c r="E91" t="s">
        <v>2883</v>
      </c>
      <c r="F91" t="s">
        <v>577</v>
      </c>
      <c r="G91">
        <v>50</v>
      </c>
      <c r="I91" t="str">
        <f t="shared" si="1"/>
        <v>BR5000ET12</v>
      </c>
      <c r="J91" t="s">
        <v>3278</v>
      </c>
      <c r="K91" s="124">
        <v>0</v>
      </c>
      <c r="L91" s="124">
        <v>1</v>
      </c>
    </row>
    <row r="92" spans="1:12" x14ac:dyDescent="0.25">
      <c r="A92" t="s">
        <v>3254</v>
      </c>
      <c r="C92" t="s">
        <v>3255</v>
      </c>
      <c r="D92" t="s">
        <v>2884</v>
      </c>
      <c r="E92" t="s">
        <v>2885</v>
      </c>
      <c r="F92" t="s">
        <v>576</v>
      </c>
      <c r="I92" t="str">
        <f t="shared" si="1"/>
        <v>BR0000ET13</v>
      </c>
      <c r="J92" t="s">
        <v>3269</v>
      </c>
      <c r="K92">
        <v>0</v>
      </c>
      <c r="L92">
        <v>1</v>
      </c>
    </row>
    <row r="93" spans="1:12" x14ac:dyDescent="0.25">
      <c r="A93" t="s">
        <v>3256</v>
      </c>
      <c r="C93" t="s">
        <v>3255</v>
      </c>
      <c r="D93" t="s">
        <v>2884</v>
      </c>
      <c r="E93" t="s">
        <v>2885</v>
      </c>
      <c r="F93" t="s">
        <v>577</v>
      </c>
      <c r="H93">
        <v>14</v>
      </c>
      <c r="I93" t="str">
        <f t="shared" si="1"/>
        <v>BR0014ET13</v>
      </c>
      <c r="J93" t="s">
        <v>3270</v>
      </c>
      <c r="K93">
        <v>0</v>
      </c>
      <c r="L93">
        <v>1</v>
      </c>
    </row>
    <row r="94" spans="1:12" x14ac:dyDescent="0.25">
      <c r="A94" t="s">
        <v>1779</v>
      </c>
      <c r="B94" t="s">
        <v>3257</v>
      </c>
      <c r="C94" t="s">
        <v>3255</v>
      </c>
      <c r="D94" t="s">
        <v>2884</v>
      </c>
      <c r="E94" t="s">
        <v>2885</v>
      </c>
      <c r="F94" t="s">
        <v>577</v>
      </c>
      <c r="G94">
        <v>15</v>
      </c>
      <c r="H94">
        <v>19</v>
      </c>
      <c r="I94" t="str">
        <f t="shared" si="1"/>
        <v>BR1519ET13</v>
      </c>
      <c r="J94" t="s">
        <v>3271</v>
      </c>
      <c r="K94" s="412">
        <f>RegionalData!O154</f>
        <v>7.8E-2</v>
      </c>
      <c r="L94" s="412">
        <f>RegionalData!Q154</f>
        <v>0.95578359599616292</v>
      </c>
    </row>
    <row r="95" spans="1:12" x14ac:dyDescent="0.25">
      <c r="A95" t="s">
        <v>1777</v>
      </c>
      <c r="B95" t="s">
        <v>3258</v>
      </c>
      <c r="C95" t="s">
        <v>3255</v>
      </c>
      <c r="D95" t="s">
        <v>2884</v>
      </c>
      <c r="E95" t="s">
        <v>2885</v>
      </c>
      <c r="F95" t="s">
        <v>577</v>
      </c>
      <c r="G95">
        <v>20</v>
      </c>
      <c r="H95">
        <v>24</v>
      </c>
      <c r="I95" t="str">
        <f t="shared" si="1"/>
        <v>BR2024ET13</v>
      </c>
      <c r="J95" t="s">
        <v>3272</v>
      </c>
      <c r="K95" s="412">
        <f>RegionalData!O156</f>
        <v>0.16400000000000001</v>
      </c>
      <c r="L95" s="412">
        <f>RegionalData!Q156</f>
        <v>0.99406418087663018</v>
      </c>
    </row>
    <row r="96" spans="1:12" x14ac:dyDescent="0.25">
      <c r="A96" t="s">
        <v>1775</v>
      </c>
      <c r="B96" t="s">
        <v>3259</v>
      </c>
      <c r="C96" t="s">
        <v>3255</v>
      </c>
      <c r="D96" t="s">
        <v>2884</v>
      </c>
      <c r="E96" t="s">
        <v>2885</v>
      </c>
      <c r="F96" t="s">
        <v>577</v>
      </c>
      <c r="G96">
        <v>25</v>
      </c>
      <c r="H96">
        <v>29</v>
      </c>
      <c r="I96" t="str">
        <f t="shared" si="1"/>
        <v>BR2529ET13</v>
      </c>
      <c r="J96" t="s">
        <v>3273</v>
      </c>
      <c r="K96" s="412">
        <f>RegionalData!O158</f>
        <v>0.20799999999999999</v>
      </c>
      <c r="L96" s="412">
        <f>RegionalData!Q158</f>
        <v>1.0068149104070221</v>
      </c>
    </row>
    <row r="97" spans="1:12" x14ac:dyDescent="0.25">
      <c r="A97" t="s">
        <v>1773</v>
      </c>
      <c r="B97" t="s">
        <v>3260</v>
      </c>
      <c r="C97" t="s">
        <v>3255</v>
      </c>
      <c r="D97" t="s">
        <v>2884</v>
      </c>
      <c r="E97" t="s">
        <v>2885</v>
      </c>
      <c r="F97" t="s">
        <v>577</v>
      </c>
      <c r="G97">
        <v>30</v>
      </c>
      <c r="H97">
        <v>34</v>
      </c>
      <c r="I97" t="str">
        <f t="shared" si="1"/>
        <v>BR3034ET13</v>
      </c>
      <c r="J97" t="s">
        <v>3274</v>
      </c>
      <c r="K97" s="412">
        <f>RegionalData!O160</f>
        <v>0.16400000000000001</v>
      </c>
      <c r="L97" s="412">
        <f>RegionalData!Q160</f>
        <v>1.007895232440303</v>
      </c>
    </row>
    <row r="98" spans="1:12" x14ac:dyDescent="0.25">
      <c r="A98" t="s">
        <v>1771</v>
      </c>
      <c r="B98" t="s">
        <v>3261</v>
      </c>
      <c r="C98" t="s">
        <v>3255</v>
      </c>
      <c r="D98" t="s">
        <v>2884</v>
      </c>
      <c r="E98" t="s">
        <v>2885</v>
      </c>
      <c r="F98" t="s">
        <v>577</v>
      </c>
      <c r="G98">
        <v>35</v>
      </c>
      <c r="H98">
        <v>39</v>
      </c>
      <c r="I98" t="str">
        <f t="shared" si="1"/>
        <v>BR3539ET13</v>
      </c>
      <c r="J98" t="s">
        <v>3275</v>
      </c>
      <c r="K98" s="412">
        <f>RegionalData!O162</f>
        <v>7.1999999999999995E-2</v>
      </c>
      <c r="L98" s="412">
        <f>RegionalData!Q162</f>
        <v>1.001749809379741</v>
      </c>
    </row>
    <row r="99" spans="1:12" x14ac:dyDescent="0.25">
      <c r="A99" t="s">
        <v>1769</v>
      </c>
      <c r="B99" t="s">
        <v>3262</v>
      </c>
      <c r="C99" t="s">
        <v>3255</v>
      </c>
      <c r="D99" t="s">
        <v>2884</v>
      </c>
      <c r="E99" t="s">
        <v>2885</v>
      </c>
      <c r="F99" t="s">
        <v>577</v>
      </c>
      <c r="G99">
        <v>40</v>
      </c>
      <c r="H99">
        <v>44</v>
      </c>
      <c r="I99" t="str">
        <f t="shared" si="1"/>
        <v>BR4044ET13</v>
      </c>
      <c r="J99" t="s">
        <v>3276</v>
      </c>
      <c r="K99" s="412">
        <f>RegionalData!O164</f>
        <v>4.1000000000000002E-2</v>
      </c>
      <c r="L99" s="412">
        <f>RegionalData!Q164</f>
        <v>0.93622837654917168</v>
      </c>
    </row>
    <row r="100" spans="1:12" x14ac:dyDescent="0.25">
      <c r="A100" t="s">
        <v>1767</v>
      </c>
      <c r="B100" t="s">
        <v>3263</v>
      </c>
      <c r="C100" t="s">
        <v>3255</v>
      </c>
      <c r="D100" t="s">
        <v>2884</v>
      </c>
      <c r="E100" t="s">
        <v>2885</v>
      </c>
      <c r="F100" t="s">
        <v>577</v>
      </c>
      <c r="G100">
        <v>45</v>
      </c>
      <c r="H100">
        <v>49</v>
      </c>
      <c r="I100" t="str">
        <f t="shared" si="1"/>
        <v>BR4549ET13</v>
      </c>
      <c r="J100" t="s">
        <v>3277</v>
      </c>
      <c r="K100" s="412">
        <f>RegionalData!O166</f>
        <v>1.4E-2</v>
      </c>
      <c r="L100" s="412">
        <f>RegionalData!Q166</f>
        <v>1</v>
      </c>
    </row>
    <row r="101" spans="1:12" x14ac:dyDescent="0.25">
      <c r="A101" t="s">
        <v>3264</v>
      </c>
      <c r="C101" t="s">
        <v>3255</v>
      </c>
      <c r="D101" t="s">
        <v>2884</v>
      </c>
      <c r="E101" t="s">
        <v>2885</v>
      </c>
      <c r="F101" t="s">
        <v>577</v>
      </c>
      <c r="G101">
        <v>50</v>
      </c>
      <c r="I101" t="str">
        <f t="shared" si="1"/>
        <v>BR5000ET13</v>
      </c>
      <c r="J101" t="s">
        <v>3278</v>
      </c>
      <c r="K101" s="124">
        <v>0</v>
      </c>
      <c r="L101" s="124">
        <v>1</v>
      </c>
    </row>
    <row r="102" spans="1:12" x14ac:dyDescent="0.25">
      <c r="A102" t="s">
        <v>3254</v>
      </c>
      <c r="C102" t="s">
        <v>3255</v>
      </c>
      <c r="D102" t="s">
        <v>2886</v>
      </c>
      <c r="E102" t="s">
        <v>814</v>
      </c>
      <c r="F102" t="s">
        <v>576</v>
      </c>
      <c r="I102" t="str">
        <f t="shared" si="1"/>
        <v>BR0000ET14</v>
      </c>
      <c r="J102" t="s">
        <v>3269</v>
      </c>
      <c r="K102">
        <v>0</v>
      </c>
      <c r="L102">
        <v>1</v>
      </c>
    </row>
    <row r="103" spans="1:12" x14ac:dyDescent="0.25">
      <c r="A103" t="s">
        <v>3256</v>
      </c>
      <c r="C103" t="s">
        <v>3255</v>
      </c>
      <c r="D103" t="s">
        <v>2886</v>
      </c>
      <c r="E103" t="s">
        <v>814</v>
      </c>
      <c r="F103" t="s">
        <v>577</v>
      </c>
      <c r="H103">
        <v>14</v>
      </c>
      <c r="I103" t="str">
        <f t="shared" si="1"/>
        <v>BR0014ET14</v>
      </c>
      <c r="J103" t="s">
        <v>3270</v>
      </c>
      <c r="K103">
        <v>0</v>
      </c>
      <c r="L103">
        <v>1</v>
      </c>
    </row>
    <row r="104" spans="1:12" x14ac:dyDescent="0.25">
      <c r="A104" t="s">
        <v>1779</v>
      </c>
      <c r="B104" t="s">
        <v>3257</v>
      </c>
      <c r="C104" t="s">
        <v>3255</v>
      </c>
      <c r="D104" t="s">
        <v>2886</v>
      </c>
      <c r="E104" t="s">
        <v>814</v>
      </c>
      <c r="F104" t="s">
        <v>577</v>
      </c>
      <c r="G104">
        <v>15</v>
      </c>
      <c r="H104">
        <v>19</v>
      </c>
      <c r="I104" t="str">
        <f t="shared" si="1"/>
        <v>BR1519ET14</v>
      </c>
      <c r="J104" t="s">
        <v>3271</v>
      </c>
      <c r="K104" s="412">
        <f>RegionalData!O167</f>
        <v>1.4E-2</v>
      </c>
      <c r="L104" s="412">
        <f>RegionalData!Q167</f>
        <v>0.99141297201830614</v>
      </c>
    </row>
    <row r="105" spans="1:12" x14ac:dyDescent="0.25">
      <c r="A105" t="s">
        <v>1777</v>
      </c>
      <c r="B105" t="s">
        <v>3258</v>
      </c>
      <c r="C105" t="s">
        <v>3255</v>
      </c>
      <c r="D105" t="s">
        <v>2886</v>
      </c>
      <c r="E105" t="s">
        <v>814</v>
      </c>
      <c r="F105" t="s">
        <v>577</v>
      </c>
      <c r="G105">
        <v>20</v>
      </c>
      <c r="H105">
        <v>24</v>
      </c>
      <c r="I105" t="str">
        <f t="shared" si="1"/>
        <v>BR2024ET14</v>
      </c>
      <c r="J105" t="s">
        <v>3272</v>
      </c>
      <c r="K105" s="412">
        <f>RegionalData!O169</f>
        <v>0.1</v>
      </c>
      <c r="L105" s="412">
        <f>RegionalData!Q169</f>
        <v>1.0161075211279298</v>
      </c>
    </row>
    <row r="106" spans="1:12" x14ac:dyDescent="0.25">
      <c r="A106" t="s">
        <v>1775</v>
      </c>
      <c r="B106" t="s">
        <v>3259</v>
      </c>
      <c r="C106" t="s">
        <v>3255</v>
      </c>
      <c r="D106" t="s">
        <v>2886</v>
      </c>
      <c r="E106" t="s">
        <v>814</v>
      </c>
      <c r="F106" t="s">
        <v>577</v>
      </c>
      <c r="G106">
        <v>25</v>
      </c>
      <c r="H106">
        <v>29</v>
      </c>
      <c r="I106" t="str">
        <f t="shared" si="1"/>
        <v>BR2529ET14</v>
      </c>
      <c r="J106" t="s">
        <v>3273</v>
      </c>
      <c r="K106" s="412">
        <f>RegionalData!O171</f>
        <v>0.129</v>
      </c>
      <c r="L106" s="412">
        <f>RegionalData!Q171</f>
        <v>1.0431583419164847</v>
      </c>
    </row>
    <row r="107" spans="1:12" x14ac:dyDescent="0.25">
      <c r="A107" t="s">
        <v>1773</v>
      </c>
      <c r="B107" t="s">
        <v>3260</v>
      </c>
      <c r="C107" t="s">
        <v>3255</v>
      </c>
      <c r="D107" t="s">
        <v>2886</v>
      </c>
      <c r="E107" t="s">
        <v>814</v>
      </c>
      <c r="F107" t="s">
        <v>577</v>
      </c>
      <c r="G107">
        <v>30</v>
      </c>
      <c r="H107">
        <v>34</v>
      </c>
      <c r="I107" t="str">
        <f t="shared" si="1"/>
        <v>BR3034ET14</v>
      </c>
      <c r="J107" t="s">
        <v>3274</v>
      </c>
      <c r="K107" s="412">
        <f>RegionalData!O173</f>
        <v>0.113</v>
      </c>
      <c r="L107" s="412">
        <f>RegionalData!Q173</f>
        <v>1.0655435176512793</v>
      </c>
    </row>
    <row r="108" spans="1:12" x14ac:dyDescent="0.25">
      <c r="A108" t="s">
        <v>1771</v>
      </c>
      <c r="B108" t="s">
        <v>3261</v>
      </c>
      <c r="C108" t="s">
        <v>3255</v>
      </c>
      <c r="D108" t="s">
        <v>2886</v>
      </c>
      <c r="E108" t="s">
        <v>814</v>
      </c>
      <c r="F108" t="s">
        <v>577</v>
      </c>
      <c r="G108">
        <v>35</v>
      </c>
      <c r="H108">
        <v>39</v>
      </c>
      <c r="I108" t="str">
        <f t="shared" si="1"/>
        <v>BR3539ET14</v>
      </c>
      <c r="J108" t="s">
        <v>3275</v>
      </c>
      <c r="K108" s="412">
        <f>RegionalData!O175</f>
        <v>7.5999999999999998E-2</v>
      </c>
      <c r="L108" s="412">
        <f>RegionalData!Q175</f>
        <v>1.1057751717923328</v>
      </c>
    </row>
    <row r="109" spans="1:12" x14ac:dyDescent="0.25">
      <c r="A109" t="s">
        <v>1769</v>
      </c>
      <c r="B109" t="s">
        <v>3262</v>
      </c>
      <c r="C109" t="s">
        <v>3255</v>
      </c>
      <c r="D109" t="s">
        <v>2886</v>
      </c>
      <c r="E109" t="s">
        <v>814</v>
      </c>
      <c r="F109" t="s">
        <v>577</v>
      </c>
      <c r="G109">
        <v>40</v>
      </c>
      <c r="H109">
        <v>44</v>
      </c>
      <c r="I109" t="str">
        <f t="shared" si="1"/>
        <v>BR4044ET14</v>
      </c>
      <c r="J109" t="s">
        <v>3276</v>
      </c>
      <c r="K109" s="412">
        <f>RegionalData!O177</f>
        <v>1.2999999999999999E-2</v>
      </c>
      <c r="L109" s="412">
        <f>RegionalData!Q177</f>
        <v>1.2658337541579836</v>
      </c>
    </row>
    <row r="110" spans="1:12" x14ac:dyDescent="0.25">
      <c r="A110" t="s">
        <v>1767</v>
      </c>
      <c r="B110" t="s">
        <v>3263</v>
      </c>
      <c r="C110" t="s">
        <v>3255</v>
      </c>
      <c r="D110" t="s">
        <v>2886</v>
      </c>
      <c r="E110" t="s">
        <v>814</v>
      </c>
      <c r="F110" t="s">
        <v>577</v>
      </c>
      <c r="G110">
        <v>45</v>
      </c>
      <c r="H110">
        <v>49</v>
      </c>
      <c r="I110" t="str">
        <f t="shared" si="1"/>
        <v>BR4549ET14</v>
      </c>
      <c r="J110" t="s">
        <v>3277</v>
      </c>
      <c r="K110" s="412">
        <f>RegionalData!O179</f>
        <v>0</v>
      </c>
      <c r="L110" s="412">
        <f>RegionalData!Q179</f>
        <v>1</v>
      </c>
    </row>
    <row r="111" spans="1:12" x14ac:dyDescent="0.25">
      <c r="A111" t="s">
        <v>3264</v>
      </c>
      <c r="C111" t="s">
        <v>3255</v>
      </c>
      <c r="D111" t="s">
        <v>2886</v>
      </c>
      <c r="E111" t="s">
        <v>814</v>
      </c>
      <c r="F111" t="s">
        <v>577</v>
      </c>
      <c r="G111">
        <v>50</v>
      </c>
      <c r="I111" t="str">
        <f t="shared" si="1"/>
        <v>BR5000ET14</v>
      </c>
      <c r="J111" t="s">
        <v>3278</v>
      </c>
      <c r="K111" s="124">
        <v>0</v>
      </c>
      <c r="L111" s="124">
        <v>1</v>
      </c>
    </row>
    <row r="112" spans="1:12" x14ac:dyDescent="0.25">
      <c r="A112" t="s">
        <v>3254</v>
      </c>
      <c r="C112" t="s">
        <v>3255</v>
      </c>
      <c r="D112" t="s">
        <v>2887</v>
      </c>
      <c r="E112" t="s">
        <v>2888</v>
      </c>
      <c r="F112" t="s">
        <v>576</v>
      </c>
      <c r="I112" t="str">
        <f t="shared" si="1"/>
        <v>BR0000ET15</v>
      </c>
      <c r="J112" t="s">
        <v>3269</v>
      </c>
      <c r="K112">
        <v>0</v>
      </c>
      <c r="L112">
        <v>1</v>
      </c>
    </row>
    <row r="113" spans="1:12" x14ac:dyDescent="0.25">
      <c r="A113" t="s">
        <v>3256</v>
      </c>
      <c r="C113" t="s">
        <v>3255</v>
      </c>
      <c r="D113" t="s">
        <v>2887</v>
      </c>
      <c r="E113" t="s">
        <v>2888</v>
      </c>
      <c r="F113" t="s">
        <v>577</v>
      </c>
      <c r="H113">
        <v>14</v>
      </c>
      <c r="I113" t="str">
        <f t="shared" si="1"/>
        <v>BR0014ET15</v>
      </c>
      <c r="J113" t="s">
        <v>3270</v>
      </c>
      <c r="K113">
        <v>0</v>
      </c>
      <c r="L113">
        <v>1</v>
      </c>
    </row>
    <row r="114" spans="1:12" x14ac:dyDescent="0.25">
      <c r="A114" t="s">
        <v>1779</v>
      </c>
      <c r="B114" t="s">
        <v>3257</v>
      </c>
      <c r="C114" t="s">
        <v>3255</v>
      </c>
      <c r="D114" t="s">
        <v>2887</v>
      </c>
      <c r="E114" t="s">
        <v>2888</v>
      </c>
      <c r="F114" t="s">
        <v>577</v>
      </c>
      <c r="G114">
        <v>15</v>
      </c>
      <c r="H114">
        <v>19</v>
      </c>
      <c r="I114" t="str">
        <f t="shared" si="1"/>
        <v>BR1519ET15</v>
      </c>
      <c r="J114" t="s">
        <v>3271</v>
      </c>
      <c r="K114" s="412">
        <f>RegionalData!O181</f>
        <v>6.9000000000000006E-2</v>
      </c>
      <c r="L114" s="412">
        <f>RegionalData!Q181</f>
        <v>1.0385080428502595</v>
      </c>
    </row>
    <row r="115" spans="1:12" x14ac:dyDescent="0.25">
      <c r="A115" t="s">
        <v>1777</v>
      </c>
      <c r="B115" t="s">
        <v>3258</v>
      </c>
      <c r="C115" t="s">
        <v>3255</v>
      </c>
      <c r="D115" t="s">
        <v>2887</v>
      </c>
      <c r="E115" t="s">
        <v>2888</v>
      </c>
      <c r="F115" t="s">
        <v>577</v>
      </c>
      <c r="G115">
        <v>20</v>
      </c>
      <c r="H115">
        <v>24</v>
      </c>
      <c r="I115" t="str">
        <f t="shared" si="1"/>
        <v>BR2024ET15</v>
      </c>
      <c r="J115" t="s">
        <v>3272</v>
      </c>
      <c r="K115" s="412">
        <f>RegionalData!O183</f>
        <v>0.14199999999999999</v>
      </c>
      <c r="L115" s="412">
        <f>RegionalData!Q183</f>
        <v>0.98141016077034371</v>
      </c>
    </row>
    <row r="116" spans="1:12" x14ac:dyDescent="0.25">
      <c r="A116" t="s">
        <v>1775</v>
      </c>
      <c r="B116" t="s">
        <v>3259</v>
      </c>
      <c r="C116" t="s">
        <v>3255</v>
      </c>
      <c r="D116" t="s">
        <v>2887</v>
      </c>
      <c r="E116" t="s">
        <v>2888</v>
      </c>
      <c r="F116" t="s">
        <v>577</v>
      </c>
      <c r="G116">
        <v>25</v>
      </c>
      <c r="H116">
        <v>29</v>
      </c>
      <c r="I116" t="str">
        <f t="shared" si="1"/>
        <v>BR2529ET15</v>
      </c>
      <c r="J116" t="s">
        <v>3273</v>
      </c>
      <c r="K116" s="412">
        <f>RegionalData!O185</f>
        <v>0.17</v>
      </c>
      <c r="L116" s="412">
        <f>RegionalData!Q185</f>
        <v>1.0083968366764735</v>
      </c>
    </row>
    <row r="117" spans="1:12" x14ac:dyDescent="0.25">
      <c r="A117" t="s">
        <v>1773</v>
      </c>
      <c r="B117" t="s">
        <v>3260</v>
      </c>
      <c r="C117" t="s">
        <v>3255</v>
      </c>
      <c r="D117" t="s">
        <v>2887</v>
      </c>
      <c r="E117" t="s">
        <v>2888</v>
      </c>
      <c r="F117" t="s">
        <v>577</v>
      </c>
      <c r="G117">
        <v>30</v>
      </c>
      <c r="H117">
        <v>34</v>
      </c>
      <c r="I117" t="str">
        <f t="shared" si="1"/>
        <v>BR3034ET15</v>
      </c>
      <c r="J117" t="s">
        <v>3274</v>
      </c>
      <c r="K117" s="412">
        <f>RegionalData!O187</f>
        <v>0.151</v>
      </c>
      <c r="L117" s="412">
        <f>RegionalData!Q187</f>
        <v>0.97626053215902431</v>
      </c>
    </row>
    <row r="118" spans="1:12" x14ac:dyDescent="0.25">
      <c r="A118" t="s">
        <v>1771</v>
      </c>
      <c r="B118" t="s">
        <v>3261</v>
      </c>
      <c r="C118" t="s">
        <v>3255</v>
      </c>
      <c r="D118" t="s">
        <v>2887</v>
      </c>
      <c r="E118" t="s">
        <v>2888</v>
      </c>
      <c r="F118" t="s">
        <v>577</v>
      </c>
      <c r="G118">
        <v>35</v>
      </c>
      <c r="H118">
        <v>39</v>
      </c>
      <c r="I118" t="str">
        <f t="shared" si="1"/>
        <v>BR3539ET15</v>
      </c>
      <c r="J118" t="s">
        <v>3275</v>
      </c>
      <c r="K118" s="412">
        <f>RegionalData!O189</f>
        <v>6.4000000000000001E-2</v>
      </c>
      <c r="L118" s="412">
        <f>RegionalData!Q189</f>
        <v>0.94456603500022185</v>
      </c>
    </row>
    <row r="119" spans="1:12" x14ac:dyDescent="0.25">
      <c r="A119" t="s">
        <v>1769</v>
      </c>
      <c r="B119" t="s">
        <v>3262</v>
      </c>
      <c r="C119" t="s">
        <v>3255</v>
      </c>
      <c r="D119" t="s">
        <v>2887</v>
      </c>
      <c r="E119" t="s">
        <v>2888</v>
      </c>
      <c r="F119" t="s">
        <v>577</v>
      </c>
      <c r="G119">
        <v>40</v>
      </c>
      <c r="H119">
        <v>44</v>
      </c>
      <c r="I119" t="str">
        <f t="shared" si="1"/>
        <v>BR4044ET15</v>
      </c>
      <c r="J119" t="s">
        <v>3276</v>
      </c>
      <c r="K119" s="412">
        <f>RegionalData!O191</f>
        <v>2.3E-2</v>
      </c>
      <c r="L119" s="412">
        <f>RegionalData!Q191</f>
        <v>1.0847216884718311</v>
      </c>
    </row>
    <row r="120" spans="1:12" x14ac:dyDescent="0.25">
      <c r="A120" t="s">
        <v>1767</v>
      </c>
      <c r="B120" t="s">
        <v>3263</v>
      </c>
      <c r="C120" t="s">
        <v>3255</v>
      </c>
      <c r="D120" t="s">
        <v>2887</v>
      </c>
      <c r="E120" t="s">
        <v>2888</v>
      </c>
      <c r="F120" t="s">
        <v>577</v>
      </c>
      <c r="G120">
        <v>45</v>
      </c>
      <c r="H120">
        <v>49</v>
      </c>
      <c r="I120" t="str">
        <f t="shared" si="1"/>
        <v>BR4549ET15</v>
      </c>
      <c r="J120" t="s">
        <v>3277</v>
      </c>
      <c r="K120" s="412">
        <f>RegionalData!O193</f>
        <v>0</v>
      </c>
      <c r="L120" s="412">
        <f>RegionalData!Q193</f>
        <v>1</v>
      </c>
    </row>
    <row r="121" spans="1:12" x14ac:dyDescent="0.25">
      <c r="A121" t="s">
        <v>3264</v>
      </c>
      <c r="C121" t="s">
        <v>3255</v>
      </c>
      <c r="D121" t="s">
        <v>2887</v>
      </c>
      <c r="E121" t="s">
        <v>2888</v>
      </c>
      <c r="F121" t="s">
        <v>577</v>
      </c>
      <c r="G121">
        <v>50</v>
      </c>
      <c r="I121" t="str">
        <f t="shared" si="1"/>
        <v>BR5000ET15</v>
      </c>
      <c r="J121" t="s">
        <v>3278</v>
      </c>
      <c r="K121" s="124">
        <v>0</v>
      </c>
      <c r="L121" s="124">
        <v>1</v>
      </c>
    </row>
    <row r="122" spans="1:12" x14ac:dyDescent="0.25">
      <c r="A122" t="s">
        <v>3297</v>
      </c>
      <c r="B122" t="s">
        <v>3309</v>
      </c>
      <c r="C122" t="s">
        <v>686</v>
      </c>
      <c r="D122" t="s">
        <v>2851</v>
      </c>
      <c r="E122" t="s">
        <v>594</v>
      </c>
      <c r="F122" t="s">
        <v>577</v>
      </c>
      <c r="H122">
        <v>0</v>
      </c>
      <c r="I122" t="str">
        <f t="shared" si="1"/>
        <v>DR0000FET</v>
      </c>
      <c r="J122" t="s">
        <v>3330</v>
      </c>
      <c r="K122" s="431">
        <f>('mort infant'!BL77+'mort infant'!BB286)/1000</f>
        <v>4.4870649522800003E-2</v>
      </c>
      <c r="L122" s="412">
        <f>'mort infant'!BM272</f>
        <v>0.96306068601583117</v>
      </c>
    </row>
    <row r="123" spans="1:12" x14ac:dyDescent="0.25">
      <c r="A123" t="s">
        <v>3298</v>
      </c>
      <c r="B123" t="s">
        <v>3310</v>
      </c>
      <c r="C123" t="s">
        <v>686</v>
      </c>
      <c r="D123" t="s">
        <v>2851</v>
      </c>
      <c r="E123" t="s">
        <v>594</v>
      </c>
      <c r="F123" t="s">
        <v>577</v>
      </c>
      <c r="G123">
        <v>1</v>
      </c>
      <c r="H123">
        <v>4</v>
      </c>
      <c r="I123" t="str">
        <f t="shared" si="1"/>
        <v>DR0104FET</v>
      </c>
      <c r="J123" t="s">
        <v>3279</v>
      </c>
      <c r="K123" s="431">
        <f>(('mort 1-5'!BL77-'mort infant'!BL77)/4)/1000</f>
        <v>3.5500000000000006E-3</v>
      </c>
      <c r="L123" s="412">
        <f>'mort 1-5'!BM272</f>
        <v>0.95480225988700573</v>
      </c>
    </row>
    <row r="124" spans="1:12" x14ac:dyDescent="0.25">
      <c r="A124" t="s">
        <v>3299</v>
      </c>
      <c r="B124" t="s">
        <v>3311</v>
      </c>
      <c r="C124" t="s">
        <v>686</v>
      </c>
      <c r="D124" t="s">
        <v>2851</v>
      </c>
      <c r="E124" t="s">
        <v>594</v>
      </c>
      <c r="F124" t="s">
        <v>577</v>
      </c>
      <c r="G124">
        <v>5</v>
      </c>
      <c r="H124">
        <v>9</v>
      </c>
      <c r="I124" t="str">
        <f t="shared" si="1"/>
        <v>DR0509FET</v>
      </c>
      <c r="J124" t="s">
        <v>3280</v>
      </c>
      <c r="K124" s="431">
        <f>('mort 5-9'!BL77/5)/1000</f>
        <v>1.1800000000000001E-3</v>
      </c>
      <c r="L124" s="412">
        <f>'mort 5-9'!BM272</f>
        <v>0.95161290322580649</v>
      </c>
    </row>
    <row r="125" spans="1:12" x14ac:dyDescent="0.25">
      <c r="A125" t="s">
        <v>3300</v>
      </c>
      <c r="B125" t="s">
        <v>3312</v>
      </c>
      <c r="C125" t="s">
        <v>686</v>
      </c>
      <c r="D125" t="s">
        <v>2851</v>
      </c>
      <c r="E125" t="s">
        <v>594</v>
      </c>
      <c r="F125" t="s">
        <v>577</v>
      </c>
      <c r="G125">
        <v>10</v>
      </c>
      <c r="H125">
        <v>14</v>
      </c>
      <c r="I125" t="str">
        <f t="shared" si="1"/>
        <v>DR1014FET</v>
      </c>
      <c r="J125" t="s">
        <v>3281</v>
      </c>
      <c r="K125" s="431">
        <f>('mort 10-14'!BL77/5)/1000</f>
        <v>9.5999999999999992E-4</v>
      </c>
      <c r="L125" s="412">
        <f>'mort 10-14'!BM272</f>
        <v>0.96150047483380818</v>
      </c>
    </row>
    <row r="126" spans="1:12" x14ac:dyDescent="0.25">
      <c r="A126" t="s">
        <v>3301</v>
      </c>
      <c r="B126" t="s">
        <v>3313</v>
      </c>
      <c r="C126" t="s">
        <v>686</v>
      </c>
      <c r="D126" t="s">
        <v>2851</v>
      </c>
      <c r="E126" t="s">
        <v>594</v>
      </c>
      <c r="F126" t="s">
        <v>577</v>
      </c>
      <c r="G126">
        <v>15</v>
      </c>
      <c r="H126">
        <v>19</v>
      </c>
      <c r="I126" t="str">
        <f t="shared" si="1"/>
        <v>DR1519FET</v>
      </c>
      <c r="J126" t="s">
        <v>3282</v>
      </c>
      <c r="K126" s="431">
        <f>('mort 15-19'!BL77/5)/1000</f>
        <v>1.6000000000000001E-3</v>
      </c>
      <c r="L126" s="412">
        <f>'mort 15-19'!BM272</f>
        <v>0.96508794519599173</v>
      </c>
    </row>
    <row r="127" spans="1:12" x14ac:dyDescent="0.25">
      <c r="A127" t="s">
        <v>3302</v>
      </c>
      <c r="B127" t="s">
        <v>3314</v>
      </c>
      <c r="C127" t="s">
        <v>686</v>
      </c>
      <c r="D127" t="s">
        <v>2851</v>
      </c>
      <c r="E127" t="s">
        <v>594</v>
      </c>
      <c r="F127" t="s">
        <v>577</v>
      </c>
      <c r="G127">
        <v>20</v>
      </c>
      <c r="H127">
        <v>34</v>
      </c>
      <c r="I127" t="str">
        <f t="shared" si="1"/>
        <v>DR2034FET</v>
      </c>
      <c r="J127" t="s">
        <v>3283</v>
      </c>
      <c r="K127" s="431">
        <f>('mort 20-24'!BL77/5)/1000</f>
        <v>1.72E-3</v>
      </c>
      <c r="L127" s="412">
        <f>'mort 20-24'!BM272</f>
        <v>0.9885057471264368</v>
      </c>
    </row>
    <row r="128" spans="1:12" x14ac:dyDescent="0.25">
      <c r="A128" t="s">
        <v>2093</v>
      </c>
      <c r="B128" t="s">
        <v>3315</v>
      </c>
      <c r="C128" t="s">
        <v>686</v>
      </c>
      <c r="D128" t="s">
        <v>2851</v>
      </c>
      <c r="E128" t="s">
        <v>594</v>
      </c>
      <c r="F128" t="s">
        <v>577</v>
      </c>
      <c r="G128">
        <v>35</v>
      </c>
      <c r="H128">
        <v>49</v>
      </c>
      <c r="I128" t="str">
        <f t="shared" si="1"/>
        <v>DR3549FET</v>
      </c>
      <c r="J128" t="s">
        <v>3284</v>
      </c>
      <c r="K128" s="431">
        <f>('Age band mort calcs'!B15)/1000</f>
        <v>4.6410387643786967E-3</v>
      </c>
      <c r="L128" s="412">
        <f>'mort adult f'!BM272</f>
        <v>0.98007627674588871</v>
      </c>
    </row>
    <row r="129" spans="1:12" x14ac:dyDescent="0.25">
      <c r="A129" t="s">
        <v>2105</v>
      </c>
      <c r="B129" t="s">
        <v>3316</v>
      </c>
      <c r="C129" t="s">
        <v>686</v>
      </c>
      <c r="D129" t="s">
        <v>2851</v>
      </c>
      <c r="E129" t="s">
        <v>594</v>
      </c>
      <c r="F129" t="s">
        <v>577</v>
      </c>
      <c r="G129">
        <v>50</v>
      </c>
      <c r="H129">
        <v>59</v>
      </c>
      <c r="I129" t="str">
        <f t="shared" si="1"/>
        <v>DR5059FET</v>
      </c>
      <c r="J129" t="s">
        <v>3285</v>
      </c>
      <c r="K129" s="431">
        <f>('Age band mort calcs'!B16)/1000</f>
        <v>7.8897658994437833E-3</v>
      </c>
      <c r="L129" s="412">
        <f>L128</f>
        <v>0.98007627674588871</v>
      </c>
    </row>
    <row r="130" spans="1:12" x14ac:dyDescent="0.25">
      <c r="A130" t="s">
        <v>2089</v>
      </c>
      <c r="B130" t="s">
        <v>3317</v>
      </c>
      <c r="C130" t="s">
        <v>686</v>
      </c>
      <c r="D130" t="s">
        <v>2851</v>
      </c>
      <c r="E130" t="s">
        <v>594</v>
      </c>
      <c r="F130" t="s">
        <v>577</v>
      </c>
      <c r="G130">
        <v>60</v>
      </c>
      <c r="H130">
        <v>74</v>
      </c>
      <c r="I130" t="str">
        <f t="shared" si="1"/>
        <v>DR6074FET</v>
      </c>
      <c r="J130" t="s">
        <v>3286</v>
      </c>
      <c r="K130" s="431">
        <f>('Age band mort calcs'!B17)/1000</f>
        <v>2.2091344518442593E-2</v>
      </c>
      <c r="L130" s="412">
        <f>L128</f>
        <v>0.98007627674588871</v>
      </c>
    </row>
    <row r="131" spans="1:12" x14ac:dyDescent="0.25">
      <c r="A131" t="s">
        <v>2090</v>
      </c>
      <c r="B131" t="s">
        <v>3318</v>
      </c>
      <c r="C131" t="s">
        <v>686</v>
      </c>
      <c r="D131" t="s">
        <v>2851</v>
      </c>
      <c r="E131" t="s">
        <v>594</v>
      </c>
      <c r="F131" t="s">
        <v>577</v>
      </c>
      <c r="G131">
        <v>75</v>
      </c>
      <c r="I131" t="str">
        <f t="shared" ref="I131:I185" si="2">_xlfn.CONCAT(J131,D131)</f>
        <v>DR7500FET</v>
      </c>
      <c r="J131" t="s">
        <v>3287</v>
      </c>
      <c r="K131" s="431">
        <f>('Age band mort calcs'!B18)/1000</f>
        <v>8.6787424893881623E-2</v>
      </c>
      <c r="L131" s="412">
        <f>L128</f>
        <v>0.98007627674588871</v>
      </c>
    </row>
    <row r="132" spans="1:12" x14ac:dyDescent="0.25">
      <c r="A132" t="s">
        <v>3303</v>
      </c>
      <c r="B132" t="s">
        <v>3319</v>
      </c>
      <c r="C132" t="s">
        <v>686</v>
      </c>
      <c r="D132" t="s">
        <v>2851</v>
      </c>
      <c r="E132" t="s">
        <v>594</v>
      </c>
      <c r="F132" t="s">
        <v>576</v>
      </c>
      <c r="H132">
        <v>0</v>
      </c>
      <c r="I132" t="str">
        <f t="shared" si="2"/>
        <v>DR0000MET</v>
      </c>
      <c r="J132" t="s">
        <v>3329</v>
      </c>
      <c r="K132" s="431">
        <f t="shared" ref="K132:L137" si="3">K122</f>
        <v>4.4870649522800003E-2</v>
      </c>
      <c r="L132" s="412">
        <f t="shared" si="3"/>
        <v>0.96306068601583117</v>
      </c>
    </row>
    <row r="133" spans="1:12" x14ac:dyDescent="0.25">
      <c r="A133" t="s">
        <v>3304</v>
      </c>
      <c r="B133" t="s">
        <v>3320</v>
      </c>
      <c r="C133" t="s">
        <v>686</v>
      </c>
      <c r="D133" t="s">
        <v>2851</v>
      </c>
      <c r="E133" t="s">
        <v>594</v>
      </c>
      <c r="F133" t="s">
        <v>576</v>
      </c>
      <c r="G133">
        <v>1</v>
      </c>
      <c r="H133">
        <v>4</v>
      </c>
      <c r="I133" t="str">
        <f t="shared" si="2"/>
        <v>DR0104MET</v>
      </c>
      <c r="J133" t="s">
        <v>3288</v>
      </c>
      <c r="K133" s="431">
        <f t="shared" si="3"/>
        <v>3.5500000000000006E-3</v>
      </c>
      <c r="L133" s="412">
        <f t="shared" si="3"/>
        <v>0.95480225988700573</v>
      </c>
    </row>
    <row r="134" spans="1:12" x14ac:dyDescent="0.25">
      <c r="A134" t="s">
        <v>3305</v>
      </c>
      <c r="B134" t="s">
        <v>3321</v>
      </c>
      <c r="C134" t="s">
        <v>686</v>
      </c>
      <c r="D134" t="s">
        <v>2851</v>
      </c>
      <c r="E134" t="s">
        <v>594</v>
      </c>
      <c r="F134" t="s">
        <v>576</v>
      </c>
      <c r="G134">
        <v>5</v>
      </c>
      <c r="H134">
        <v>9</v>
      </c>
      <c r="I134" t="str">
        <f t="shared" si="2"/>
        <v>DR0509MET</v>
      </c>
      <c r="J134" t="s">
        <v>3289</v>
      </c>
      <c r="K134" s="431">
        <f t="shared" si="3"/>
        <v>1.1800000000000001E-3</v>
      </c>
      <c r="L134" s="412">
        <f t="shared" si="3"/>
        <v>0.95161290322580649</v>
      </c>
    </row>
    <row r="135" spans="1:12" x14ac:dyDescent="0.25">
      <c r="A135" t="s">
        <v>3306</v>
      </c>
      <c r="B135" t="s">
        <v>3322</v>
      </c>
      <c r="C135" t="s">
        <v>686</v>
      </c>
      <c r="D135" t="s">
        <v>2851</v>
      </c>
      <c r="E135" t="s">
        <v>594</v>
      </c>
      <c r="F135" t="s">
        <v>576</v>
      </c>
      <c r="G135">
        <v>10</v>
      </c>
      <c r="H135">
        <v>14</v>
      </c>
      <c r="I135" t="str">
        <f t="shared" si="2"/>
        <v>DR1014MET</v>
      </c>
      <c r="J135" t="s">
        <v>3290</v>
      </c>
      <c r="K135" s="431">
        <f t="shared" si="3"/>
        <v>9.5999999999999992E-4</v>
      </c>
      <c r="L135" s="412">
        <f t="shared" si="3"/>
        <v>0.96150047483380818</v>
      </c>
    </row>
    <row r="136" spans="1:12" x14ac:dyDescent="0.25">
      <c r="A136" t="s">
        <v>3307</v>
      </c>
      <c r="B136" t="s">
        <v>3323</v>
      </c>
      <c r="C136" t="s">
        <v>686</v>
      </c>
      <c r="D136" t="s">
        <v>2851</v>
      </c>
      <c r="E136" t="s">
        <v>594</v>
      </c>
      <c r="F136" t="s">
        <v>576</v>
      </c>
      <c r="G136">
        <v>15</v>
      </c>
      <c r="H136">
        <v>19</v>
      </c>
      <c r="I136" t="str">
        <f t="shared" si="2"/>
        <v>DR1519MET</v>
      </c>
      <c r="J136" t="s">
        <v>3291</v>
      </c>
      <c r="K136" s="431">
        <f t="shared" si="3"/>
        <v>1.6000000000000001E-3</v>
      </c>
      <c r="L136" s="412">
        <f t="shared" si="3"/>
        <v>0.96508794519599173</v>
      </c>
    </row>
    <row r="137" spans="1:12" x14ac:dyDescent="0.25">
      <c r="A137" t="s">
        <v>3308</v>
      </c>
      <c r="B137" t="s">
        <v>3324</v>
      </c>
      <c r="C137" t="s">
        <v>686</v>
      </c>
      <c r="D137" t="s">
        <v>2851</v>
      </c>
      <c r="E137" t="s">
        <v>594</v>
      </c>
      <c r="F137" t="s">
        <v>576</v>
      </c>
      <c r="G137">
        <v>20</v>
      </c>
      <c r="H137">
        <v>34</v>
      </c>
      <c r="I137" t="str">
        <f t="shared" si="2"/>
        <v>DR2034MET</v>
      </c>
      <c r="J137" t="s">
        <v>3292</v>
      </c>
      <c r="K137" s="431">
        <f t="shared" si="3"/>
        <v>1.72E-3</v>
      </c>
      <c r="L137" s="412">
        <f t="shared" si="3"/>
        <v>0.9885057471264368</v>
      </c>
    </row>
    <row r="138" spans="1:12" x14ac:dyDescent="0.25">
      <c r="A138" t="s">
        <v>2111</v>
      </c>
      <c r="B138" t="s">
        <v>3325</v>
      </c>
      <c r="C138" t="s">
        <v>686</v>
      </c>
      <c r="D138" t="s">
        <v>2851</v>
      </c>
      <c r="E138" t="s">
        <v>594</v>
      </c>
      <c r="F138" t="s">
        <v>576</v>
      </c>
      <c r="G138">
        <v>35</v>
      </c>
      <c r="H138">
        <v>49</v>
      </c>
      <c r="I138" t="str">
        <f t="shared" si="2"/>
        <v>DR3549MET</v>
      </c>
      <c r="J138" t="s">
        <v>3293</v>
      </c>
      <c r="K138" s="431">
        <f>('Age band mort calcs'!B21)/1000</f>
        <v>6.3527026636382199E-3</v>
      </c>
      <c r="L138" s="412">
        <f>'mort adult m'!BM272</f>
        <v>0.98481071022469158</v>
      </c>
    </row>
    <row r="139" spans="1:12" x14ac:dyDescent="0.25">
      <c r="A139" t="s">
        <v>2112</v>
      </c>
      <c r="B139" t="s">
        <v>3326</v>
      </c>
      <c r="C139" t="s">
        <v>686</v>
      </c>
      <c r="D139" t="s">
        <v>2851</v>
      </c>
      <c r="E139" t="s">
        <v>594</v>
      </c>
      <c r="F139" t="s">
        <v>576</v>
      </c>
      <c r="G139">
        <v>50</v>
      </c>
      <c r="H139">
        <v>59</v>
      </c>
      <c r="I139" t="str">
        <f t="shared" si="2"/>
        <v>DR5059MET</v>
      </c>
      <c r="J139" t="s">
        <v>3294</v>
      </c>
      <c r="K139" s="431">
        <f>('Age band mort calcs'!B22)/1000</f>
        <v>1.2070135060912618E-2</v>
      </c>
      <c r="L139" s="412">
        <f>L138</f>
        <v>0.98481071022469158</v>
      </c>
    </row>
    <row r="140" spans="1:12" x14ac:dyDescent="0.25">
      <c r="A140" t="s">
        <v>2087</v>
      </c>
      <c r="B140" t="s">
        <v>3327</v>
      </c>
      <c r="C140" t="s">
        <v>686</v>
      </c>
      <c r="D140" t="s">
        <v>2851</v>
      </c>
      <c r="E140" t="s">
        <v>594</v>
      </c>
      <c r="F140" t="s">
        <v>576</v>
      </c>
      <c r="G140">
        <v>60</v>
      </c>
      <c r="H140">
        <v>74</v>
      </c>
      <c r="I140" t="str">
        <f t="shared" si="2"/>
        <v>DR6074MET</v>
      </c>
      <c r="J140" t="s">
        <v>3295</v>
      </c>
      <c r="K140" s="431">
        <f>('Age band mort calcs'!B23)/1000</f>
        <v>3.1382351158372804E-2</v>
      </c>
      <c r="L140" s="412">
        <f>L138</f>
        <v>0.98481071022469158</v>
      </c>
    </row>
    <row r="141" spans="1:12" x14ac:dyDescent="0.25">
      <c r="A141" t="s">
        <v>2088</v>
      </c>
      <c r="B141" t="s">
        <v>3328</v>
      </c>
      <c r="C141" t="s">
        <v>686</v>
      </c>
      <c r="D141" t="s">
        <v>2851</v>
      </c>
      <c r="E141" t="s">
        <v>594</v>
      </c>
      <c r="F141" t="s">
        <v>576</v>
      </c>
      <c r="G141">
        <v>75</v>
      </c>
      <c r="I141" t="str">
        <f t="shared" si="2"/>
        <v>DR7500MET</v>
      </c>
      <c r="J141" t="s">
        <v>3296</v>
      </c>
      <c r="K141" s="431">
        <f>('Age band mort calcs'!B24)/1000</f>
        <v>0.10501017502993976</v>
      </c>
      <c r="L141" s="412">
        <f>L138</f>
        <v>0.98481071022469158</v>
      </c>
    </row>
    <row r="142" spans="1:12" x14ac:dyDescent="0.25">
      <c r="A142" t="s">
        <v>3297</v>
      </c>
      <c r="B142" t="s">
        <v>3309</v>
      </c>
      <c r="C142" t="s">
        <v>686</v>
      </c>
      <c r="D142" t="s">
        <v>2870</v>
      </c>
      <c r="E142" t="s">
        <v>806</v>
      </c>
      <c r="F142" t="s">
        <v>577</v>
      </c>
      <c r="H142">
        <v>0</v>
      </c>
      <c r="I142" t="str">
        <f t="shared" si="2"/>
        <v>DR0000FET01</v>
      </c>
      <c r="J142" t="s">
        <v>3330</v>
      </c>
      <c r="K142" s="431">
        <f>RegionalData!O326+'mort infant'!$BB$286/1000</f>
        <v>4.6370649522799998E-2</v>
      </c>
      <c r="L142" s="412">
        <f>RegionalData!Q326</f>
        <v>0.95963271910581871</v>
      </c>
    </row>
    <row r="143" spans="1:12" x14ac:dyDescent="0.25">
      <c r="A143" t="s">
        <v>3297</v>
      </c>
      <c r="B143" t="s">
        <v>3309</v>
      </c>
      <c r="C143" t="s">
        <v>686</v>
      </c>
      <c r="D143" t="s">
        <v>2871</v>
      </c>
      <c r="E143" t="s">
        <v>2872</v>
      </c>
      <c r="F143" t="s">
        <v>577</v>
      </c>
      <c r="H143">
        <v>0</v>
      </c>
      <c r="I143" t="str">
        <f t="shared" si="2"/>
        <v>DR0000FET02</v>
      </c>
      <c r="J143" t="s">
        <v>3330</v>
      </c>
      <c r="K143" s="431">
        <f>RegionalData!O328+'mort infant'!$BB$286/1000</f>
        <v>5.4370649522799998E-2</v>
      </c>
      <c r="L143" s="412">
        <f>RegionalData!Q328</f>
        <v>0.95956021308144634</v>
      </c>
    </row>
    <row r="144" spans="1:12" x14ac:dyDescent="0.25">
      <c r="A144" t="s">
        <v>3297</v>
      </c>
      <c r="B144" t="s">
        <v>3309</v>
      </c>
      <c r="C144" t="s">
        <v>686</v>
      </c>
      <c r="D144" t="s">
        <v>2873</v>
      </c>
      <c r="E144" t="s">
        <v>805</v>
      </c>
      <c r="F144" t="s">
        <v>577</v>
      </c>
      <c r="H144">
        <v>0</v>
      </c>
      <c r="I144" t="str">
        <f t="shared" ref="I144:I164" si="4">_xlfn.CONCAT(J144,D144)</f>
        <v>DR0000FET03</v>
      </c>
      <c r="J144" t="s">
        <v>3330</v>
      </c>
      <c r="K144" s="431">
        <f>RegionalData!O330+'mort infant'!$BB$286/1000</f>
        <v>6.6370649522800002E-2</v>
      </c>
      <c r="L144" s="412">
        <f>RegionalData!Q330</f>
        <v>0.95305448683546046</v>
      </c>
    </row>
    <row r="145" spans="1:12" x14ac:dyDescent="0.25">
      <c r="A145" t="s">
        <v>3297</v>
      </c>
      <c r="B145" t="s">
        <v>3309</v>
      </c>
      <c r="C145" t="s">
        <v>686</v>
      </c>
      <c r="D145" t="s">
        <v>2874</v>
      </c>
      <c r="E145" t="s">
        <v>809</v>
      </c>
      <c r="F145" t="s">
        <v>577</v>
      </c>
      <c r="H145">
        <v>0</v>
      </c>
      <c r="I145" t="str">
        <f t="shared" si="4"/>
        <v>DR0000FET04</v>
      </c>
      <c r="J145" t="s">
        <v>3330</v>
      </c>
      <c r="K145" s="431">
        <f>RegionalData!O332+'mort infant'!$BB$286/1000</f>
        <v>7.0370649522800005E-2</v>
      </c>
      <c r="L145" s="412">
        <f>RegionalData!Q332</f>
        <v>0.97979135601203193</v>
      </c>
    </row>
    <row r="146" spans="1:12" x14ac:dyDescent="0.25">
      <c r="A146" t="s">
        <v>3297</v>
      </c>
      <c r="B146" t="s">
        <v>3309</v>
      </c>
      <c r="C146" t="s">
        <v>686</v>
      </c>
      <c r="D146" t="s">
        <v>2875</v>
      </c>
      <c r="E146" t="s">
        <v>2876</v>
      </c>
      <c r="F146" t="s">
        <v>577</v>
      </c>
      <c r="H146">
        <v>0</v>
      </c>
      <c r="I146" t="str">
        <f t="shared" si="4"/>
        <v>DR0000FET05</v>
      </c>
      <c r="J146" t="s">
        <v>3330</v>
      </c>
      <c r="K146" s="431">
        <f>RegionalData!O334+'mort infant'!$BB$286/1000</f>
        <v>7.9370649522799985E-2</v>
      </c>
      <c r="L146" s="412">
        <f>RegionalData!Q334</f>
        <v>1.0195171021041152</v>
      </c>
    </row>
    <row r="147" spans="1:12" x14ac:dyDescent="0.25">
      <c r="A147" t="s">
        <v>3297</v>
      </c>
      <c r="B147" t="s">
        <v>3309</v>
      </c>
      <c r="C147" t="s">
        <v>686</v>
      </c>
      <c r="D147" t="s">
        <v>2878</v>
      </c>
      <c r="E147" t="s">
        <v>2879</v>
      </c>
      <c r="F147" t="s">
        <v>577</v>
      </c>
      <c r="H147">
        <v>0</v>
      </c>
      <c r="I147" t="str">
        <f t="shared" si="4"/>
        <v>DR0000FET06</v>
      </c>
      <c r="J147" t="s">
        <v>3330</v>
      </c>
      <c r="K147" s="431">
        <f>RegionalData!O336+'mort infant'!$BB$286/1000</f>
        <v>8.2370649522799988E-2</v>
      </c>
      <c r="L147" s="412">
        <f>RegionalData!Q336</f>
        <v>0.99098716801275866</v>
      </c>
    </row>
    <row r="148" spans="1:12" x14ac:dyDescent="0.25">
      <c r="A148" t="s">
        <v>3297</v>
      </c>
      <c r="B148" t="s">
        <v>3309</v>
      </c>
      <c r="C148" t="s">
        <v>686</v>
      </c>
      <c r="D148" t="s">
        <v>2880</v>
      </c>
      <c r="E148" t="s">
        <v>2881</v>
      </c>
      <c r="F148" t="s">
        <v>577</v>
      </c>
      <c r="H148">
        <v>0</v>
      </c>
      <c r="I148" t="str">
        <f t="shared" si="4"/>
        <v>DR0000FET07</v>
      </c>
      <c r="J148" t="s">
        <v>3330</v>
      </c>
      <c r="K148" s="431">
        <f>RegionalData!O338+'mort infant'!$BB$286/1000</f>
        <v>4.5370649522799997E-2</v>
      </c>
      <c r="L148" s="412">
        <f>RegionalData!Q338</f>
        <v>0.91098953947204542</v>
      </c>
    </row>
    <row r="149" spans="1:12" x14ac:dyDescent="0.25">
      <c r="A149" t="s">
        <v>3297</v>
      </c>
      <c r="B149" t="s">
        <v>3309</v>
      </c>
      <c r="C149" t="s">
        <v>686</v>
      </c>
      <c r="D149" t="s">
        <v>2882</v>
      </c>
      <c r="E149" t="s">
        <v>2883</v>
      </c>
      <c r="F149" t="s">
        <v>577</v>
      </c>
      <c r="H149">
        <v>0</v>
      </c>
      <c r="I149" t="str">
        <f t="shared" si="4"/>
        <v>DR0000FET12</v>
      </c>
      <c r="J149" t="s">
        <v>3330</v>
      </c>
      <c r="K149" s="431">
        <f>RegionalData!O340+'mort infant'!$BB$286/1000</f>
        <v>5.8370649522800001E-2</v>
      </c>
      <c r="L149" s="412">
        <f>RegionalData!Q340</f>
        <v>0.96292839277708941</v>
      </c>
    </row>
    <row r="150" spans="1:12" x14ac:dyDescent="0.25">
      <c r="A150" t="s">
        <v>3297</v>
      </c>
      <c r="B150" t="s">
        <v>3309</v>
      </c>
      <c r="C150" t="s">
        <v>686</v>
      </c>
      <c r="D150" t="s">
        <v>2884</v>
      </c>
      <c r="E150" t="s">
        <v>2885</v>
      </c>
      <c r="F150" t="s">
        <v>577</v>
      </c>
      <c r="H150">
        <v>0</v>
      </c>
      <c r="I150" t="str">
        <f t="shared" si="4"/>
        <v>DR0000FET13</v>
      </c>
      <c r="J150" t="s">
        <v>3330</v>
      </c>
      <c r="K150" s="431">
        <f>RegionalData!O342+'mort infant'!$BB$286/1000</f>
        <v>5.73706495228E-2</v>
      </c>
      <c r="L150" s="412">
        <f>RegionalData!Q342</f>
        <v>0.95083919302602238</v>
      </c>
    </row>
    <row r="151" spans="1:12" x14ac:dyDescent="0.25">
      <c r="A151" t="s">
        <v>3297</v>
      </c>
      <c r="B151" t="s">
        <v>3309</v>
      </c>
      <c r="C151" t="s">
        <v>686</v>
      </c>
      <c r="D151" t="s">
        <v>2886</v>
      </c>
      <c r="E151" t="s">
        <v>814</v>
      </c>
      <c r="F151" t="s">
        <v>577</v>
      </c>
      <c r="H151">
        <v>0</v>
      </c>
      <c r="I151" t="str">
        <f t="shared" si="4"/>
        <v>DR0000FET14</v>
      </c>
      <c r="J151" t="s">
        <v>3330</v>
      </c>
      <c r="K151" s="431">
        <f>RegionalData!O344+'mort infant'!$BB$286/1000</f>
        <v>2.93706495228E-2</v>
      </c>
      <c r="L151" s="412">
        <f>RegionalData!Q344</f>
        <v>0.90856029641606983</v>
      </c>
    </row>
    <row r="152" spans="1:12" x14ac:dyDescent="0.25">
      <c r="A152" t="s">
        <v>3297</v>
      </c>
      <c r="B152" t="s">
        <v>3309</v>
      </c>
      <c r="C152" t="s">
        <v>686</v>
      </c>
      <c r="D152" t="s">
        <v>2887</v>
      </c>
      <c r="E152" t="s">
        <v>2888</v>
      </c>
      <c r="F152" t="s">
        <v>577</v>
      </c>
      <c r="H152">
        <v>0</v>
      </c>
      <c r="I152" t="str">
        <f t="shared" si="4"/>
        <v>DR0000FET15</v>
      </c>
      <c r="J152" t="s">
        <v>3330</v>
      </c>
      <c r="K152" s="431">
        <f>RegionalData!O346+'mort infant'!$BB$286/1000</f>
        <v>6.9370649522800004E-2</v>
      </c>
      <c r="L152" s="412">
        <f>RegionalData!Q346</f>
        <v>0.96921102145022375</v>
      </c>
    </row>
    <row r="153" spans="1:12" ht="15.75" customHeight="1" x14ac:dyDescent="0.25">
      <c r="A153" t="s">
        <v>3303</v>
      </c>
      <c r="B153" t="s">
        <v>3319</v>
      </c>
      <c r="C153" t="s">
        <v>686</v>
      </c>
      <c r="D153" t="s">
        <v>2870</v>
      </c>
      <c r="E153" t="s">
        <v>806</v>
      </c>
      <c r="F153" t="s">
        <v>576</v>
      </c>
      <c r="H153">
        <v>0</v>
      </c>
      <c r="I153" t="str">
        <f t="shared" si="4"/>
        <v>DR0000MET01</v>
      </c>
      <c r="J153" t="s">
        <v>3329</v>
      </c>
      <c r="K153" s="431">
        <f>K142</f>
        <v>4.6370649522799998E-2</v>
      </c>
      <c r="L153" s="412">
        <f>L142</f>
        <v>0.95963271910581871</v>
      </c>
    </row>
    <row r="154" spans="1:12" x14ac:dyDescent="0.25">
      <c r="A154" t="s">
        <v>3303</v>
      </c>
      <c r="B154" t="s">
        <v>3319</v>
      </c>
      <c r="C154" t="s">
        <v>686</v>
      </c>
      <c r="D154" t="s">
        <v>2871</v>
      </c>
      <c r="E154" t="s">
        <v>2872</v>
      </c>
      <c r="F154" t="s">
        <v>576</v>
      </c>
      <c r="H154">
        <v>0</v>
      </c>
      <c r="I154" t="str">
        <f t="shared" si="4"/>
        <v>DR0000MET02</v>
      </c>
      <c r="J154" t="s">
        <v>3329</v>
      </c>
      <c r="K154" s="431">
        <f t="shared" ref="K154:L163" si="5">K143</f>
        <v>5.4370649522799998E-2</v>
      </c>
      <c r="L154" s="412">
        <f t="shared" si="5"/>
        <v>0.95956021308144634</v>
      </c>
    </row>
    <row r="155" spans="1:12" x14ac:dyDescent="0.25">
      <c r="A155" t="s">
        <v>3303</v>
      </c>
      <c r="B155" t="s">
        <v>3319</v>
      </c>
      <c r="C155" t="s">
        <v>686</v>
      </c>
      <c r="D155" t="s">
        <v>2873</v>
      </c>
      <c r="E155" t="s">
        <v>805</v>
      </c>
      <c r="F155" t="s">
        <v>576</v>
      </c>
      <c r="H155">
        <v>0</v>
      </c>
      <c r="I155" t="str">
        <f t="shared" si="4"/>
        <v>DR0000MET03</v>
      </c>
      <c r="J155" t="s">
        <v>3329</v>
      </c>
      <c r="K155" s="431">
        <f t="shared" si="5"/>
        <v>6.6370649522800002E-2</v>
      </c>
      <c r="L155" s="412">
        <f t="shared" si="5"/>
        <v>0.95305448683546046</v>
      </c>
    </row>
    <row r="156" spans="1:12" x14ac:dyDescent="0.25">
      <c r="A156" t="s">
        <v>3303</v>
      </c>
      <c r="B156" t="s">
        <v>3319</v>
      </c>
      <c r="C156" t="s">
        <v>686</v>
      </c>
      <c r="D156" t="s">
        <v>2874</v>
      </c>
      <c r="E156" t="s">
        <v>809</v>
      </c>
      <c r="F156" t="s">
        <v>576</v>
      </c>
      <c r="H156">
        <v>0</v>
      </c>
      <c r="I156" t="str">
        <f t="shared" si="4"/>
        <v>DR0000MET04</v>
      </c>
      <c r="J156" t="s">
        <v>3329</v>
      </c>
      <c r="K156" s="431">
        <f t="shared" si="5"/>
        <v>7.0370649522800005E-2</v>
      </c>
      <c r="L156" s="412">
        <f t="shared" si="5"/>
        <v>0.97979135601203193</v>
      </c>
    </row>
    <row r="157" spans="1:12" x14ac:dyDescent="0.25">
      <c r="A157" t="s">
        <v>3303</v>
      </c>
      <c r="B157" t="s">
        <v>3319</v>
      </c>
      <c r="C157" t="s">
        <v>686</v>
      </c>
      <c r="D157" t="s">
        <v>2875</v>
      </c>
      <c r="E157" t="s">
        <v>2876</v>
      </c>
      <c r="F157" t="s">
        <v>576</v>
      </c>
      <c r="H157">
        <v>0</v>
      </c>
      <c r="I157" t="str">
        <f t="shared" si="4"/>
        <v>DR0000MET05</v>
      </c>
      <c r="J157" t="s">
        <v>3329</v>
      </c>
      <c r="K157" s="431">
        <f t="shared" si="5"/>
        <v>7.9370649522799985E-2</v>
      </c>
      <c r="L157" s="412">
        <f t="shared" si="5"/>
        <v>1.0195171021041152</v>
      </c>
    </row>
    <row r="158" spans="1:12" x14ac:dyDescent="0.25">
      <c r="A158" t="s">
        <v>3303</v>
      </c>
      <c r="B158" t="s">
        <v>3319</v>
      </c>
      <c r="C158" t="s">
        <v>686</v>
      </c>
      <c r="D158" t="s">
        <v>2878</v>
      </c>
      <c r="E158" t="s">
        <v>2879</v>
      </c>
      <c r="F158" t="s">
        <v>576</v>
      </c>
      <c r="H158">
        <v>0</v>
      </c>
      <c r="I158" t="str">
        <f t="shared" si="4"/>
        <v>DR0000MET06</v>
      </c>
      <c r="J158" t="s">
        <v>3329</v>
      </c>
      <c r="K158" s="431">
        <f t="shared" si="5"/>
        <v>8.2370649522799988E-2</v>
      </c>
      <c r="L158" s="412">
        <f t="shared" si="5"/>
        <v>0.99098716801275866</v>
      </c>
    </row>
    <row r="159" spans="1:12" x14ac:dyDescent="0.25">
      <c r="A159" t="s">
        <v>3303</v>
      </c>
      <c r="B159" t="s">
        <v>3319</v>
      </c>
      <c r="C159" t="s">
        <v>686</v>
      </c>
      <c r="D159" t="s">
        <v>2880</v>
      </c>
      <c r="E159" t="s">
        <v>2881</v>
      </c>
      <c r="F159" t="s">
        <v>576</v>
      </c>
      <c r="H159">
        <v>0</v>
      </c>
      <c r="I159" t="str">
        <f t="shared" si="4"/>
        <v>DR0000MET07</v>
      </c>
      <c r="J159" t="s">
        <v>3329</v>
      </c>
      <c r="K159" s="431">
        <f t="shared" si="5"/>
        <v>4.5370649522799997E-2</v>
      </c>
      <c r="L159" s="412">
        <f t="shared" si="5"/>
        <v>0.91098953947204542</v>
      </c>
    </row>
    <row r="160" spans="1:12" x14ac:dyDescent="0.25">
      <c r="A160" t="s">
        <v>3303</v>
      </c>
      <c r="B160" t="s">
        <v>3319</v>
      </c>
      <c r="C160" t="s">
        <v>686</v>
      </c>
      <c r="D160" t="s">
        <v>2882</v>
      </c>
      <c r="E160" t="s">
        <v>2883</v>
      </c>
      <c r="F160" t="s">
        <v>576</v>
      </c>
      <c r="H160">
        <v>0</v>
      </c>
      <c r="I160" t="str">
        <f t="shared" si="4"/>
        <v>DR0000MET12</v>
      </c>
      <c r="J160" t="s">
        <v>3329</v>
      </c>
      <c r="K160" s="431">
        <f t="shared" si="5"/>
        <v>5.8370649522800001E-2</v>
      </c>
      <c r="L160" s="412">
        <f t="shared" si="5"/>
        <v>0.96292839277708941</v>
      </c>
    </row>
    <row r="161" spans="1:12" x14ac:dyDescent="0.25">
      <c r="A161" t="s">
        <v>3303</v>
      </c>
      <c r="B161" t="s">
        <v>3319</v>
      </c>
      <c r="C161" t="s">
        <v>686</v>
      </c>
      <c r="D161" t="s">
        <v>2884</v>
      </c>
      <c r="E161" t="s">
        <v>2885</v>
      </c>
      <c r="F161" t="s">
        <v>576</v>
      </c>
      <c r="H161">
        <v>0</v>
      </c>
      <c r="I161" t="str">
        <f t="shared" si="4"/>
        <v>DR0000MET13</v>
      </c>
      <c r="J161" t="s">
        <v>3329</v>
      </c>
      <c r="K161" s="431">
        <f t="shared" si="5"/>
        <v>5.73706495228E-2</v>
      </c>
      <c r="L161" s="412">
        <f t="shared" si="5"/>
        <v>0.95083919302602238</v>
      </c>
    </row>
    <row r="162" spans="1:12" x14ac:dyDescent="0.25">
      <c r="A162" t="s">
        <v>3303</v>
      </c>
      <c r="B162" t="s">
        <v>3319</v>
      </c>
      <c r="C162" t="s">
        <v>686</v>
      </c>
      <c r="D162" t="s">
        <v>2886</v>
      </c>
      <c r="E162" t="s">
        <v>814</v>
      </c>
      <c r="F162" t="s">
        <v>576</v>
      </c>
      <c r="H162">
        <v>0</v>
      </c>
      <c r="I162" t="str">
        <f t="shared" si="4"/>
        <v>DR0000MET14</v>
      </c>
      <c r="J162" t="s">
        <v>3329</v>
      </c>
      <c r="K162" s="431">
        <f t="shared" si="5"/>
        <v>2.93706495228E-2</v>
      </c>
      <c r="L162" s="412">
        <f t="shared" si="5"/>
        <v>0.90856029641606983</v>
      </c>
    </row>
    <row r="163" spans="1:12" x14ac:dyDescent="0.25">
      <c r="A163" t="s">
        <v>3303</v>
      </c>
      <c r="B163" t="s">
        <v>3319</v>
      </c>
      <c r="C163" t="s">
        <v>686</v>
      </c>
      <c r="D163" t="s">
        <v>2887</v>
      </c>
      <c r="E163" t="s">
        <v>2888</v>
      </c>
      <c r="F163" t="s">
        <v>576</v>
      </c>
      <c r="H163">
        <v>0</v>
      </c>
      <c r="I163" t="str">
        <f t="shared" si="4"/>
        <v>DR0000MET15</v>
      </c>
      <c r="J163" t="s">
        <v>3329</v>
      </c>
      <c r="K163" s="431">
        <f t="shared" si="5"/>
        <v>6.9370649522800004E-2</v>
      </c>
      <c r="L163" s="412">
        <f t="shared" si="5"/>
        <v>0.96921102145022375</v>
      </c>
    </row>
    <row r="164" spans="1:12" x14ac:dyDescent="0.25">
      <c r="A164" t="s">
        <v>3298</v>
      </c>
      <c r="B164" t="s">
        <v>3310</v>
      </c>
      <c r="C164" t="s">
        <v>686</v>
      </c>
      <c r="D164" t="s">
        <v>2870</v>
      </c>
      <c r="E164" t="s">
        <v>806</v>
      </c>
      <c r="F164" t="s">
        <v>577</v>
      </c>
      <c r="G164">
        <v>1</v>
      </c>
      <c r="H164">
        <v>4</v>
      </c>
      <c r="I164" t="str">
        <f t="shared" si="4"/>
        <v>DR0104FET01</v>
      </c>
      <c r="J164" t="s">
        <v>3279</v>
      </c>
      <c r="K164" s="431">
        <f>RegionalData!O354</f>
        <v>1.5E-3</v>
      </c>
      <c r="L164" s="412">
        <f>RegionalData!Q354</f>
        <v>0.8453818642610138</v>
      </c>
    </row>
    <row r="165" spans="1:12" x14ac:dyDescent="0.25">
      <c r="A165" t="s">
        <v>3298</v>
      </c>
      <c r="B165" t="s">
        <v>3310</v>
      </c>
      <c r="C165" t="s">
        <v>686</v>
      </c>
      <c r="D165" t="s">
        <v>2871</v>
      </c>
      <c r="E165" t="s">
        <v>2872</v>
      </c>
      <c r="F165" t="s">
        <v>577</v>
      </c>
      <c r="G165">
        <v>1</v>
      </c>
      <c r="H165">
        <v>4</v>
      </c>
      <c r="I165" t="str">
        <f t="shared" si="2"/>
        <v>DR0104FET02</v>
      </c>
      <c r="J165" t="s">
        <v>3279</v>
      </c>
      <c r="K165">
        <f>RegionalData!O356</f>
        <v>3.2499999999999999E-3</v>
      </c>
      <c r="L165" s="412">
        <f>RegionalData!Q356</f>
        <v>0.89043035817931426</v>
      </c>
    </row>
    <row r="166" spans="1:12" x14ac:dyDescent="0.25">
      <c r="A166" t="s">
        <v>3298</v>
      </c>
      <c r="B166" t="s">
        <v>3310</v>
      </c>
      <c r="C166" t="s">
        <v>686</v>
      </c>
      <c r="D166" t="s">
        <v>2873</v>
      </c>
      <c r="E166" t="s">
        <v>805</v>
      </c>
      <c r="F166" t="s">
        <v>577</v>
      </c>
      <c r="G166">
        <v>1</v>
      </c>
      <c r="H166">
        <v>4</v>
      </c>
      <c r="I166" t="str">
        <f t="shared" si="2"/>
        <v>DR0104FET03</v>
      </c>
      <c r="J166" t="s">
        <v>3279</v>
      </c>
      <c r="K166">
        <f>RegionalData!O358</f>
        <v>2.7499999999999998E-3</v>
      </c>
      <c r="L166" s="412">
        <f>RegionalData!Q358</f>
        <v>0.83345027598619226</v>
      </c>
    </row>
    <row r="167" spans="1:12" x14ac:dyDescent="0.25">
      <c r="A167" t="s">
        <v>3298</v>
      </c>
      <c r="B167" t="s">
        <v>3310</v>
      </c>
      <c r="C167" t="s">
        <v>686</v>
      </c>
      <c r="D167" t="s">
        <v>2874</v>
      </c>
      <c r="E167" t="s">
        <v>809</v>
      </c>
      <c r="F167" t="s">
        <v>577</v>
      </c>
      <c r="G167">
        <v>1</v>
      </c>
      <c r="H167">
        <v>4</v>
      </c>
      <c r="I167" t="str">
        <f t="shared" si="2"/>
        <v>DR0104FET04</v>
      </c>
      <c r="J167" t="s">
        <v>3279</v>
      </c>
      <c r="K167">
        <f>RegionalData!O360</f>
        <v>2.7499999999999998E-3</v>
      </c>
      <c r="L167" s="412">
        <f>RegionalData!Q360</f>
        <v>0.81932127060064586</v>
      </c>
    </row>
    <row r="168" spans="1:12" x14ac:dyDescent="0.25">
      <c r="A168" t="s">
        <v>3298</v>
      </c>
      <c r="B168" t="s">
        <v>3310</v>
      </c>
      <c r="C168" t="s">
        <v>686</v>
      </c>
      <c r="D168" t="s">
        <v>2875</v>
      </c>
      <c r="E168" t="s">
        <v>2876</v>
      </c>
      <c r="F168" t="s">
        <v>577</v>
      </c>
      <c r="G168">
        <v>1</v>
      </c>
      <c r="H168">
        <v>4</v>
      </c>
      <c r="I168" t="str">
        <f t="shared" si="2"/>
        <v>DR0104FET05</v>
      </c>
      <c r="J168" t="s">
        <v>3279</v>
      </c>
      <c r="K168" s="431">
        <f>RegionalData!O362</f>
        <v>8.0000000000000002E-3</v>
      </c>
      <c r="L168" s="412">
        <f>RegionalData!Q362</f>
        <v>0.98596895543240215</v>
      </c>
    </row>
    <row r="169" spans="1:12" x14ac:dyDescent="0.25">
      <c r="A169" t="s">
        <v>3298</v>
      </c>
      <c r="B169" t="s">
        <v>3310</v>
      </c>
      <c r="C169" t="s">
        <v>686</v>
      </c>
      <c r="D169" t="s">
        <v>2878</v>
      </c>
      <c r="E169" t="s">
        <v>2879</v>
      </c>
      <c r="F169" t="s">
        <v>577</v>
      </c>
      <c r="G169">
        <v>1</v>
      </c>
      <c r="H169">
        <v>4</v>
      </c>
      <c r="I169" t="str">
        <f t="shared" si="2"/>
        <v>DR0104FET06</v>
      </c>
      <c r="J169" t="s">
        <v>3279</v>
      </c>
      <c r="K169" s="431">
        <f>RegionalData!O364</f>
        <v>4.2500000000000003E-3</v>
      </c>
      <c r="L169" s="412">
        <f>RegionalData!Q364</f>
        <v>0.8952703665829439</v>
      </c>
    </row>
    <row r="170" spans="1:12" x14ac:dyDescent="0.25">
      <c r="A170" t="s">
        <v>3298</v>
      </c>
      <c r="B170" t="s">
        <v>3310</v>
      </c>
      <c r="C170" t="s">
        <v>686</v>
      </c>
      <c r="D170" t="s">
        <v>2880</v>
      </c>
      <c r="E170" t="s">
        <v>2881</v>
      </c>
      <c r="F170" t="s">
        <v>577</v>
      </c>
      <c r="G170">
        <v>1</v>
      </c>
      <c r="H170">
        <v>4</v>
      </c>
      <c r="I170" t="str">
        <f t="shared" si="2"/>
        <v>DR0104FET07</v>
      </c>
      <c r="J170" t="s">
        <v>3279</v>
      </c>
      <c r="K170" s="431">
        <f>RegionalData!O366</f>
        <v>5.0000000000000001E-3</v>
      </c>
      <c r="L170" s="412">
        <f>RegionalData!Q366</f>
        <v>0.92831776672255584</v>
      </c>
    </row>
    <row r="171" spans="1:12" x14ac:dyDescent="0.25">
      <c r="A171" t="s">
        <v>3298</v>
      </c>
      <c r="B171" t="s">
        <v>3310</v>
      </c>
      <c r="C171" t="s">
        <v>686</v>
      </c>
      <c r="D171" t="s">
        <v>2882</v>
      </c>
      <c r="E171" t="s">
        <v>2883</v>
      </c>
      <c r="F171" t="s">
        <v>577</v>
      </c>
      <c r="G171">
        <v>1</v>
      </c>
      <c r="H171">
        <v>4</v>
      </c>
      <c r="I171" t="str">
        <f t="shared" si="2"/>
        <v>DR0104FET12</v>
      </c>
      <c r="J171" t="s">
        <v>3279</v>
      </c>
      <c r="K171" s="431">
        <f>RegionalData!O368</f>
        <v>9.4999999999999998E-3</v>
      </c>
      <c r="L171" s="412">
        <f>RegionalData!Q368</f>
        <v>0.96388823091788634</v>
      </c>
    </row>
    <row r="172" spans="1:12" x14ac:dyDescent="0.25">
      <c r="A172" t="s">
        <v>3298</v>
      </c>
      <c r="B172" t="s">
        <v>3310</v>
      </c>
      <c r="C172" t="s">
        <v>686</v>
      </c>
      <c r="D172" t="s">
        <v>2884</v>
      </c>
      <c r="E172" t="s">
        <v>2885</v>
      </c>
      <c r="F172" t="s">
        <v>577</v>
      </c>
      <c r="G172">
        <v>1</v>
      </c>
      <c r="H172">
        <v>4</v>
      </c>
      <c r="I172" t="str">
        <f t="shared" si="2"/>
        <v>DR0104FET13</v>
      </c>
      <c r="J172" t="s">
        <v>3279</v>
      </c>
      <c r="K172" s="431">
        <f>RegionalData!O370</f>
        <v>4.0000000000000001E-3</v>
      </c>
      <c r="L172" s="412">
        <f>RegionalData!Q370</f>
        <v>0.93664649795093002</v>
      </c>
    </row>
    <row r="173" spans="1:12" x14ac:dyDescent="0.25">
      <c r="A173" t="s">
        <v>3298</v>
      </c>
      <c r="B173" t="s">
        <v>3310</v>
      </c>
      <c r="C173" t="s">
        <v>686</v>
      </c>
      <c r="D173" t="s">
        <v>2886</v>
      </c>
      <c r="E173" t="s">
        <v>814</v>
      </c>
      <c r="F173" t="s">
        <v>577</v>
      </c>
      <c r="G173">
        <v>1</v>
      </c>
      <c r="H173">
        <v>4</v>
      </c>
      <c r="I173" t="str">
        <f t="shared" si="2"/>
        <v>DR0104FET14</v>
      </c>
      <c r="J173" t="s">
        <v>3279</v>
      </c>
      <c r="K173" s="431">
        <f>RegionalData!O372</f>
        <v>1.25E-3</v>
      </c>
      <c r="L173" s="412">
        <f>RegionalData!Q372</f>
        <v>0.87923556325591468</v>
      </c>
    </row>
    <row r="174" spans="1:12" x14ac:dyDescent="0.25">
      <c r="A174" t="s">
        <v>3298</v>
      </c>
      <c r="B174" t="s">
        <v>3310</v>
      </c>
      <c r="C174" t="s">
        <v>686</v>
      </c>
      <c r="D174" t="s">
        <v>2887</v>
      </c>
      <c r="E174" t="s">
        <v>2888</v>
      </c>
      <c r="F174" t="s">
        <v>577</v>
      </c>
      <c r="G174">
        <v>1</v>
      </c>
      <c r="H174">
        <v>4</v>
      </c>
      <c r="I174" t="str">
        <f>_xlfn.CONCAT(J174,D174)</f>
        <v>DR0104FET15</v>
      </c>
      <c r="J174" t="s">
        <v>3279</v>
      </c>
      <c r="K174" s="431">
        <f>RegionalData!O374</f>
        <v>5.0000000000000001E-3</v>
      </c>
      <c r="L174" s="412">
        <f>RegionalData!Q374</f>
        <v>0.89390353509656773</v>
      </c>
    </row>
    <row r="175" spans="1:12" x14ac:dyDescent="0.25">
      <c r="A175" t="s">
        <v>3304</v>
      </c>
      <c r="B175" t="s">
        <v>3320</v>
      </c>
      <c r="C175" t="s">
        <v>686</v>
      </c>
      <c r="D175" t="s">
        <v>2870</v>
      </c>
      <c r="E175" t="s">
        <v>806</v>
      </c>
      <c r="F175" t="s">
        <v>576</v>
      </c>
      <c r="G175">
        <v>1</v>
      </c>
      <c r="H175">
        <v>4</v>
      </c>
      <c r="I175" t="str">
        <f>_xlfn.CONCAT(J175,D175)</f>
        <v>DR0104MET01</v>
      </c>
      <c r="J175" t="s">
        <v>3288</v>
      </c>
      <c r="K175" s="431">
        <f>K164</f>
        <v>1.5E-3</v>
      </c>
      <c r="L175" s="412">
        <f>L164</f>
        <v>0.8453818642610138</v>
      </c>
    </row>
    <row r="176" spans="1:12" x14ac:dyDescent="0.25">
      <c r="A176" t="s">
        <v>3304</v>
      </c>
      <c r="B176" t="s">
        <v>3320</v>
      </c>
      <c r="C176" t="s">
        <v>686</v>
      </c>
      <c r="D176" t="s">
        <v>2871</v>
      </c>
      <c r="E176" t="s">
        <v>2872</v>
      </c>
      <c r="F176" t="s">
        <v>576</v>
      </c>
      <c r="G176">
        <v>1</v>
      </c>
      <c r="H176">
        <v>4</v>
      </c>
      <c r="I176" t="str">
        <f t="shared" si="2"/>
        <v>DR0104MET02</v>
      </c>
      <c r="J176" t="s">
        <v>3288</v>
      </c>
      <c r="K176" s="431">
        <f t="shared" ref="K176:L176" si="6">K165</f>
        <v>3.2499999999999999E-3</v>
      </c>
      <c r="L176" s="412">
        <f t="shared" si="6"/>
        <v>0.89043035817931426</v>
      </c>
    </row>
    <row r="177" spans="1:12" x14ac:dyDescent="0.25">
      <c r="A177" t="s">
        <v>3304</v>
      </c>
      <c r="B177" t="s">
        <v>3320</v>
      </c>
      <c r="C177" t="s">
        <v>686</v>
      </c>
      <c r="D177" t="s">
        <v>2873</v>
      </c>
      <c r="E177" t="s">
        <v>805</v>
      </c>
      <c r="F177" t="s">
        <v>576</v>
      </c>
      <c r="G177">
        <v>1</v>
      </c>
      <c r="H177">
        <v>4</v>
      </c>
      <c r="I177" t="str">
        <f t="shared" si="2"/>
        <v>DR0104MET03</v>
      </c>
      <c r="J177" t="s">
        <v>3288</v>
      </c>
      <c r="K177" s="431">
        <f t="shared" ref="K177:L177" si="7">K166</f>
        <v>2.7499999999999998E-3</v>
      </c>
      <c r="L177" s="412">
        <f t="shared" si="7"/>
        <v>0.83345027598619226</v>
      </c>
    </row>
    <row r="178" spans="1:12" x14ac:dyDescent="0.25">
      <c r="A178" t="s">
        <v>3304</v>
      </c>
      <c r="B178" t="s">
        <v>3320</v>
      </c>
      <c r="C178" t="s">
        <v>686</v>
      </c>
      <c r="D178" t="s">
        <v>2874</v>
      </c>
      <c r="E178" t="s">
        <v>809</v>
      </c>
      <c r="F178" t="s">
        <v>576</v>
      </c>
      <c r="G178">
        <v>1</v>
      </c>
      <c r="H178">
        <v>4</v>
      </c>
      <c r="I178" t="str">
        <f t="shared" si="2"/>
        <v>DR0104MET04</v>
      </c>
      <c r="J178" t="s">
        <v>3288</v>
      </c>
      <c r="K178" s="431">
        <f t="shared" ref="K178:L178" si="8">K167</f>
        <v>2.7499999999999998E-3</v>
      </c>
      <c r="L178" s="412">
        <f t="shared" si="8"/>
        <v>0.81932127060064586</v>
      </c>
    </row>
    <row r="179" spans="1:12" x14ac:dyDescent="0.25">
      <c r="A179" t="s">
        <v>3304</v>
      </c>
      <c r="B179" t="s">
        <v>3320</v>
      </c>
      <c r="C179" t="s">
        <v>686</v>
      </c>
      <c r="D179" t="s">
        <v>2875</v>
      </c>
      <c r="E179" t="s">
        <v>2876</v>
      </c>
      <c r="F179" t="s">
        <v>576</v>
      </c>
      <c r="G179">
        <v>1</v>
      </c>
      <c r="H179">
        <v>4</v>
      </c>
      <c r="I179" t="str">
        <f t="shared" si="2"/>
        <v>DR0104MET05</v>
      </c>
      <c r="J179" t="s">
        <v>3288</v>
      </c>
      <c r="K179" s="431">
        <f t="shared" ref="K179:L179" si="9">K168</f>
        <v>8.0000000000000002E-3</v>
      </c>
      <c r="L179" s="412">
        <f t="shared" si="9"/>
        <v>0.98596895543240215</v>
      </c>
    </row>
    <row r="180" spans="1:12" x14ac:dyDescent="0.25">
      <c r="A180" t="s">
        <v>3304</v>
      </c>
      <c r="B180" t="s">
        <v>3320</v>
      </c>
      <c r="C180" t="s">
        <v>686</v>
      </c>
      <c r="D180" t="s">
        <v>2878</v>
      </c>
      <c r="E180" t="s">
        <v>2879</v>
      </c>
      <c r="F180" t="s">
        <v>576</v>
      </c>
      <c r="G180">
        <v>1</v>
      </c>
      <c r="H180">
        <v>4</v>
      </c>
      <c r="I180" t="str">
        <f t="shared" si="2"/>
        <v>DR0104MET06</v>
      </c>
      <c r="J180" t="s">
        <v>3288</v>
      </c>
      <c r="K180" s="431">
        <f t="shared" ref="K180:L180" si="10">K169</f>
        <v>4.2500000000000003E-3</v>
      </c>
      <c r="L180" s="412">
        <f t="shared" si="10"/>
        <v>0.8952703665829439</v>
      </c>
    </row>
    <row r="181" spans="1:12" x14ac:dyDescent="0.25">
      <c r="A181" t="s">
        <v>3304</v>
      </c>
      <c r="B181" t="s">
        <v>3320</v>
      </c>
      <c r="C181" t="s">
        <v>686</v>
      </c>
      <c r="D181" t="s">
        <v>2880</v>
      </c>
      <c r="E181" t="s">
        <v>2881</v>
      </c>
      <c r="F181" t="s">
        <v>576</v>
      </c>
      <c r="G181">
        <v>1</v>
      </c>
      <c r="H181">
        <v>4</v>
      </c>
      <c r="I181" t="str">
        <f t="shared" si="2"/>
        <v>DR0104MET07</v>
      </c>
      <c r="J181" t="s">
        <v>3288</v>
      </c>
      <c r="K181" s="431">
        <f t="shared" ref="K181:L181" si="11">K170</f>
        <v>5.0000000000000001E-3</v>
      </c>
      <c r="L181" s="412">
        <f t="shared" si="11"/>
        <v>0.92831776672255584</v>
      </c>
    </row>
    <row r="182" spans="1:12" x14ac:dyDescent="0.25">
      <c r="A182" t="s">
        <v>3304</v>
      </c>
      <c r="B182" t="s">
        <v>3320</v>
      </c>
      <c r="C182" t="s">
        <v>686</v>
      </c>
      <c r="D182" t="s">
        <v>2882</v>
      </c>
      <c r="E182" t="s">
        <v>2883</v>
      </c>
      <c r="F182" t="s">
        <v>576</v>
      </c>
      <c r="G182">
        <v>1</v>
      </c>
      <c r="H182">
        <v>4</v>
      </c>
      <c r="I182" t="str">
        <f t="shared" si="2"/>
        <v>DR0104MET12</v>
      </c>
      <c r="J182" t="s">
        <v>3288</v>
      </c>
      <c r="K182" s="431">
        <f t="shared" ref="K182:L182" si="12">K171</f>
        <v>9.4999999999999998E-3</v>
      </c>
      <c r="L182" s="412">
        <f t="shared" si="12"/>
        <v>0.96388823091788634</v>
      </c>
    </row>
    <row r="183" spans="1:12" x14ac:dyDescent="0.25">
      <c r="A183" t="s">
        <v>3304</v>
      </c>
      <c r="B183" t="s">
        <v>3320</v>
      </c>
      <c r="C183" t="s">
        <v>686</v>
      </c>
      <c r="D183" t="s">
        <v>2884</v>
      </c>
      <c r="E183" t="s">
        <v>2885</v>
      </c>
      <c r="F183" t="s">
        <v>576</v>
      </c>
      <c r="G183">
        <v>1</v>
      </c>
      <c r="H183">
        <v>4</v>
      </c>
      <c r="I183" t="str">
        <f t="shared" si="2"/>
        <v>DR0104MET13</v>
      </c>
      <c r="J183" t="s">
        <v>3288</v>
      </c>
      <c r="K183" s="431">
        <f t="shared" ref="K183:L183" si="13">K172</f>
        <v>4.0000000000000001E-3</v>
      </c>
      <c r="L183" s="412">
        <f t="shared" si="13"/>
        <v>0.93664649795093002</v>
      </c>
    </row>
    <row r="184" spans="1:12" x14ac:dyDescent="0.25">
      <c r="A184" t="s">
        <v>3304</v>
      </c>
      <c r="B184" t="s">
        <v>3320</v>
      </c>
      <c r="C184" t="s">
        <v>686</v>
      </c>
      <c r="D184" t="s">
        <v>2886</v>
      </c>
      <c r="E184" t="s">
        <v>814</v>
      </c>
      <c r="F184" t="s">
        <v>576</v>
      </c>
      <c r="G184">
        <v>1</v>
      </c>
      <c r="H184">
        <v>4</v>
      </c>
      <c r="I184" t="str">
        <f t="shared" si="2"/>
        <v>DR0104MET14</v>
      </c>
      <c r="J184" t="s">
        <v>3288</v>
      </c>
      <c r="K184" s="431">
        <f>K173</f>
        <v>1.25E-3</v>
      </c>
      <c r="L184" s="412">
        <f>L173</f>
        <v>0.87923556325591468</v>
      </c>
    </row>
    <row r="185" spans="1:12" x14ac:dyDescent="0.25">
      <c r="A185" t="s">
        <v>3304</v>
      </c>
      <c r="B185" t="s">
        <v>3320</v>
      </c>
      <c r="C185" t="s">
        <v>686</v>
      </c>
      <c r="D185" t="s">
        <v>2887</v>
      </c>
      <c r="E185" t="s">
        <v>2888</v>
      </c>
      <c r="F185" t="s">
        <v>576</v>
      </c>
      <c r="G185">
        <v>1</v>
      </c>
      <c r="H185">
        <v>4</v>
      </c>
      <c r="I185" t="str">
        <f t="shared" si="2"/>
        <v>DR0104MET15</v>
      </c>
      <c r="J185" t="s">
        <v>3288</v>
      </c>
      <c r="K185" s="431">
        <f t="shared" ref="K185:L185" si="14">K174</f>
        <v>5.0000000000000001E-3</v>
      </c>
      <c r="L185" s="412">
        <f t="shared" si="14"/>
        <v>0.89390353509656773</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76"/>
  <sheetViews>
    <sheetView zoomScale="90" zoomScaleNormal="90" workbookViewId="0">
      <pane xSplit="7" ySplit="1" topLeftCell="H403" activePane="bottomRight" state="frozen"/>
      <selection pane="topRight" activeCell="E1" sqref="E1"/>
      <selection pane="bottomLeft" activeCell="A2" sqref="A2"/>
      <selection pane="bottomRight" activeCell="O348" sqref="O348"/>
    </sheetView>
  </sheetViews>
  <sheetFormatPr defaultColWidth="15.5703125" defaultRowHeight="15" x14ac:dyDescent="0.25"/>
  <cols>
    <col min="2" max="2" width="9.85546875" customWidth="1"/>
    <col min="3" max="3" width="9.5703125" bestFit="1" customWidth="1"/>
    <col min="5" max="5" width="42.42578125" customWidth="1"/>
    <col min="7" max="7" width="18.5703125" style="411" bestFit="1" customWidth="1"/>
    <col min="8" max="8" width="10.140625" bestFit="1" customWidth="1"/>
    <col min="9" max="9" width="13.85546875" customWidth="1"/>
    <col min="10" max="10" width="15.5703125" customWidth="1"/>
    <col min="11" max="11" width="48.7109375" customWidth="1"/>
    <col min="12" max="12" width="27.85546875" customWidth="1"/>
    <col min="13" max="13" width="12.85546875" customWidth="1"/>
    <col min="14" max="14" width="15.28515625" customWidth="1"/>
    <col min="15" max="16" width="15.5703125" customWidth="1"/>
    <col min="17" max="17" width="15.5703125" style="417" customWidth="1"/>
    <col min="18" max="18" width="17.42578125" customWidth="1"/>
    <col min="19" max="19" width="15.5703125" customWidth="1"/>
    <col min="22" max="22" width="18.5703125" bestFit="1" customWidth="1"/>
  </cols>
  <sheetData>
    <row r="1" spans="1:22" s="404" customFormat="1" x14ac:dyDescent="0.25">
      <c r="A1" s="403" t="s">
        <v>2834</v>
      </c>
      <c r="B1" s="404" t="s">
        <v>2835</v>
      </c>
      <c r="C1" s="404" t="s">
        <v>2836</v>
      </c>
      <c r="D1" s="405" t="s">
        <v>135</v>
      </c>
      <c r="E1" s="405" t="s">
        <v>136</v>
      </c>
      <c r="F1" s="405" t="s">
        <v>139</v>
      </c>
      <c r="G1" s="406" t="s">
        <v>2837</v>
      </c>
      <c r="H1" s="404" t="s">
        <v>2838</v>
      </c>
      <c r="I1" s="404" t="s">
        <v>1965</v>
      </c>
      <c r="J1" s="404" t="s">
        <v>2839</v>
      </c>
      <c r="K1" s="404" t="s">
        <v>2840</v>
      </c>
      <c r="L1" s="404" t="s">
        <v>2841</v>
      </c>
      <c r="M1" s="404" t="s">
        <v>144</v>
      </c>
      <c r="N1" s="404" t="s">
        <v>145</v>
      </c>
      <c r="O1" s="405" t="s">
        <v>142</v>
      </c>
      <c r="P1" s="405" t="s">
        <v>143</v>
      </c>
      <c r="Q1" s="407" t="s">
        <v>146</v>
      </c>
      <c r="R1" s="404" t="s">
        <v>2842</v>
      </c>
      <c r="S1" s="404" t="s">
        <v>2843</v>
      </c>
      <c r="T1" s="404" t="s">
        <v>2844</v>
      </c>
      <c r="U1" s="404" t="s">
        <v>2845</v>
      </c>
      <c r="V1" s="404" t="s">
        <v>2846</v>
      </c>
    </row>
    <row r="2" spans="1:22" s="408" customFormat="1" x14ac:dyDescent="0.25">
      <c r="A2" s="408" t="s">
        <v>2847</v>
      </c>
      <c r="F2" s="408" t="s">
        <v>2848</v>
      </c>
      <c r="G2" s="409" t="s">
        <v>212</v>
      </c>
      <c r="H2" s="408">
        <v>2017</v>
      </c>
      <c r="I2" s="408">
        <v>79.239999999999995</v>
      </c>
      <c r="K2" s="408" t="s">
        <v>2849</v>
      </c>
      <c r="L2" s="408" t="s">
        <v>2850</v>
      </c>
      <c r="Q2" s="410"/>
      <c r="T2" s="408">
        <v>0</v>
      </c>
      <c r="U2" s="408" t="s">
        <v>2851</v>
      </c>
      <c r="V2" s="408" t="s">
        <v>594</v>
      </c>
    </row>
    <row r="3" spans="1:22" x14ac:dyDescent="0.25">
      <c r="A3" t="s">
        <v>2852</v>
      </c>
      <c r="C3" s="53"/>
      <c r="E3" t="s">
        <v>1779</v>
      </c>
      <c r="G3" s="411" t="s">
        <v>2853</v>
      </c>
      <c r="H3">
        <v>2019</v>
      </c>
      <c r="I3">
        <v>72</v>
      </c>
      <c r="K3" t="s">
        <v>2854</v>
      </c>
      <c r="L3" t="s">
        <v>2855</v>
      </c>
      <c r="O3" s="412">
        <f>IF(I3="","NA",I3/1000)</f>
        <v>7.1999999999999995E-2</v>
      </c>
      <c r="Q3" s="413">
        <f t="shared" ref="Q3:Q43" si="0">IFERROR((I3/I4)^(1/(H3-H4)), "")</f>
        <v>0.98846927759109204</v>
      </c>
      <c r="T3">
        <v>1</v>
      </c>
      <c r="U3" t="s">
        <v>2851</v>
      </c>
      <c r="V3" t="s">
        <v>594</v>
      </c>
    </row>
    <row r="4" spans="1:22" x14ac:dyDescent="0.25">
      <c r="A4" t="s">
        <v>2852</v>
      </c>
      <c r="E4" t="s">
        <v>1779</v>
      </c>
      <c r="G4" s="411" t="s">
        <v>2853</v>
      </c>
      <c r="H4">
        <v>2011</v>
      </c>
      <c r="I4">
        <v>79</v>
      </c>
      <c r="K4" t="s">
        <v>2854</v>
      </c>
      <c r="L4" t="s">
        <v>2855</v>
      </c>
      <c r="O4" s="412">
        <f>IF(I4="","NA",I4/1000)</f>
        <v>7.9000000000000001E-2</v>
      </c>
      <c r="Q4" s="414"/>
      <c r="T4">
        <v>1</v>
      </c>
      <c r="U4" t="s">
        <v>2851</v>
      </c>
      <c r="V4" t="s">
        <v>594</v>
      </c>
    </row>
    <row r="5" spans="1:22" x14ac:dyDescent="0.25">
      <c r="A5" t="s">
        <v>2852</v>
      </c>
      <c r="E5" t="s">
        <v>1777</v>
      </c>
      <c r="G5" s="411" t="s">
        <v>2856</v>
      </c>
      <c r="H5">
        <v>2019</v>
      </c>
      <c r="I5">
        <v>195</v>
      </c>
      <c r="K5" t="s">
        <v>2857</v>
      </c>
      <c r="L5" t="s">
        <v>2855</v>
      </c>
      <c r="O5" s="412">
        <f t="shared" ref="O5:O68" si="1">IF(I5="","NA",I5/1000)</f>
        <v>0.19500000000000001</v>
      </c>
      <c r="Q5" s="413">
        <f t="shared" si="0"/>
        <v>0.99316389691241536</v>
      </c>
      <c r="T5">
        <v>1</v>
      </c>
      <c r="U5" t="s">
        <v>2851</v>
      </c>
      <c r="V5" t="s">
        <v>594</v>
      </c>
    </row>
    <row r="6" spans="1:22" x14ac:dyDescent="0.25">
      <c r="A6" t="s">
        <v>2852</v>
      </c>
      <c r="E6" t="s">
        <v>1777</v>
      </c>
      <c r="G6" s="411" t="s">
        <v>2856</v>
      </c>
      <c r="H6">
        <v>2011</v>
      </c>
      <c r="I6">
        <v>206</v>
      </c>
      <c r="K6" t="s">
        <v>2857</v>
      </c>
      <c r="L6" t="s">
        <v>2855</v>
      </c>
      <c r="O6" s="412">
        <f t="shared" si="1"/>
        <v>0.20599999999999999</v>
      </c>
      <c r="Q6" s="414"/>
      <c r="T6">
        <v>1</v>
      </c>
      <c r="U6" t="s">
        <v>2851</v>
      </c>
      <c r="V6" t="s">
        <v>594</v>
      </c>
    </row>
    <row r="7" spans="1:22" x14ac:dyDescent="0.25">
      <c r="A7" t="s">
        <v>2852</v>
      </c>
      <c r="E7" t="s">
        <v>1775</v>
      </c>
      <c r="G7" s="411" t="s">
        <v>2858</v>
      </c>
      <c r="H7">
        <v>2019</v>
      </c>
      <c r="I7">
        <v>202</v>
      </c>
      <c r="K7" t="s">
        <v>2859</v>
      </c>
      <c r="L7" t="s">
        <v>2855</v>
      </c>
      <c r="O7" s="412">
        <f t="shared" si="1"/>
        <v>0.20200000000000001</v>
      </c>
      <c r="Q7" s="413">
        <f t="shared" si="0"/>
        <v>0.98022410443373342</v>
      </c>
      <c r="T7">
        <v>1</v>
      </c>
      <c r="U7" t="s">
        <v>2851</v>
      </c>
      <c r="V7" t="s">
        <v>594</v>
      </c>
    </row>
    <row r="8" spans="1:22" x14ac:dyDescent="0.25">
      <c r="A8" t="s">
        <v>2852</v>
      </c>
      <c r="E8" t="s">
        <v>1775</v>
      </c>
      <c r="G8" s="411" t="s">
        <v>2858</v>
      </c>
      <c r="H8">
        <v>2011</v>
      </c>
      <c r="I8">
        <v>237</v>
      </c>
      <c r="K8" t="s">
        <v>2859</v>
      </c>
      <c r="L8" t="s">
        <v>2855</v>
      </c>
      <c r="O8" s="412">
        <f t="shared" si="1"/>
        <v>0.23699999999999999</v>
      </c>
      <c r="Q8" s="414"/>
      <c r="T8">
        <v>1</v>
      </c>
      <c r="U8" t="s">
        <v>2851</v>
      </c>
      <c r="V8" t="s">
        <v>594</v>
      </c>
    </row>
    <row r="9" spans="1:22" x14ac:dyDescent="0.25">
      <c r="A9" t="s">
        <v>2852</v>
      </c>
      <c r="E9" t="s">
        <v>1773</v>
      </c>
      <c r="G9" s="411" t="s">
        <v>2860</v>
      </c>
      <c r="H9">
        <v>2019</v>
      </c>
      <c r="I9">
        <v>162</v>
      </c>
      <c r="K9" t="s">
        <v>2861</v>
      </c>
      <c r="L9" t="s">
        <v>2855</v>
      </c>
      <c r="O9" s="412">
        <f t="shared" si="1"/>
        <v>0.16200000000000001</v>
      </c>
      <c r="Q9" s="413">
        <f t="shared" si="0"/>
        <v>0.97771923789514636</v>
      </c>
      <c r="T9">
        <v>1</v>
      </c>
      <c r="U9" t="s">
        <v>2851</v>
      </c>
      <c r="V9" t="s">
        <v>594</v>
      </c>
    </row>
    <row r="10" spans="1:22" x14ac:dyDescent="0.25">
      <c r="A10" t="s">
        <v>2852</v>
      </c>
      <c r="E10" t="s">
        <v>1773</v>
      </c>
      <c r="G10" s="411" t="s">
        <v>2860</v>
      </c>
      <c r="H10">
        <v>2011</v>
      </c>
      <c r="I10">
        <v>194</v>
      </c>
      <c r="K10" t="s">
        <v>2861</v>
      </c>
      <c r="L10" t="s">
        <v>2855</v>
      </c>
      <c r="O10" s="412">
        <f t="shared" si="1"/>
        <v>0.19400000000000001</v>
      </c>
      <c r="Q10" s="414"/>
      <c r="T10">
        <v>1</v>
      </c>
      <c r="U10" t="s">
        <v>2851</v>
      </c>
      <c r="V10" t="s">
        <v>594</v>
      </c>
    </row>
    <row r="11" spans="1:22" x14ac:dyDescent="0.25">
      <c r="A11" t="s">
        <v>2852</v>
      </c>
      <c r="E11" t="s">
        <v>1771</v>
      </c>
      <c r="G11" s="411" t="s">
        <v>2862</v>
      </c>
      <c r="H11">
        <v>2019</v>
      </c>
      <c r="I11">
        <v>119</v>
      </c>
      <c r="K11" t="s">
        <v>2863</v>
      </c>
      <c r="L11" t="s">
        <v>2855</v>
      </c>
      <c r="O11" s="412">
        <f t="shared" si="1"/>
        <v>0.11899999999999999</v>
      </c>
      <c r="Q11" s="413">
        <f t="shared" si="0"/>
        <v>0.97393215219000295</v>
      </c>
      <c r="T11">
        <v>1</v>
      </c>
      <c r="U11" t="s">
        <v>2851</v>
      </c>
      <c r="V11" t="s">
        <v>594</v>
      </c>
    </row>
    <row r="12" spans="1:22" x14ac:dyDescent="0.25">
      <c r="A12" t="s">
        <v>2852</v>
      </c>
      <c r="E12" t="s">
        <v>1771</v>
      </c>
      <c r="G12" s="411" t="s">
        <v>2862</v>
      </c>
      <c r="H12">
        <v>2011</v>
      </c>
      <c r="I12">
        <v>147</v>
      </c>
      <c r="K12" t="s">
        <v>2863</v>
      </c>
      <c r="L12" t="s">
        <v>2855</v>
      </c>
      <c r="O12" s="412">
        <f t="shared" si="1"/>
        <v>0.14699999999999999</v>
      </c>
      <c r="Q12" s="414"/>
      <c r="T12">
        <v>1</v>
      </c>
      <c r="U12" t="s">
        <v>2851</v>
      </c>
      <c r="V12" t="s">
        <v>594</v>
      </c>
    </row>
    <row r="13" spans="1:22" x14ac:dyDescent="0.25">
      <c r="A13" t="s">
        <v>2852</v>
      </c>
      <c r="E13" t="s">
        <v>1769</v>
      </c>
      <c r="G13" s="411" t="s">
        <v>2864</v>
      </c>
      <c r="H13">
        <v>2019</v>
      </c>
      <c r="I13">
        <v>49</v>
      </c>
      <c r="K13" t="s">
        <v>2865</v>
      </c>
      <c r="L13" t="s">
        <v>2855</v>
      </c>
      <c r="O13" s="412">
        <f t="shared" si="1"/>
        <v>4.9000000000000002E-2</v>
      </c>
      <c r="Q13" s="413">
        <f t="shared" si="0"/>
        <v>0.95811661983967134</v>
      </c>
      <c r="T13">
        <v>1</v>
      </c>
      <c r="U13" t="s">
        <v>2851</v>
      </c>
      <c r="V13" t="s">
        <v>594</v>
      </c>
    </row>
    <row r="14" spans="1:22" x14ac:dyDescent="0.25">
      <c r="A14" t="s">
        <v>2852</v>
      </c>
      <c r="E14" t="s">
        <v>1769</v>
      </c>
      <c r="G14" s="411" t="s">
        <v>2864</v>
      </c>
      <c r="H14">
        <v>2011</v>
      </c>
      <c r="I14">
        <v>69</v>
      </c>
      <c r="K14" t="s">
        <v>2865</v>
      </c>
      <c r="L14" t="s">
        <v>2855</v>
      </c>
      <c r="O14" s="412">
        <f t="shared" si="1"/>
        <v>6.9000000000000006E-2</v>
      </c>
      <c r="Q14" s="414"/>
      <c r="T14">
        <v>1</v>
      </c>
      <c r="U14" t="s">
        <v>2851</v>
      </c>
      <c r="V14" t="s">
        <v>594</v>
      </c>
    </row>
    <row r="15" spans="1:22" x14ac:dyDescent="0.25">
      <c r="A15" t="s">
        <v>2852</v>
      </c>
      <c r="E15" t="s">
        <v>1767</v>
      </c>
      <c r="G15" s="411" t="s">
        <v>2866</v>
      </c>
      <c r="H15">
        <v>2019</v>
      </c>
      <c r="I15">
        <v>14</v>
      </c>
      <c r="K15" t="s">
        <v>2867</v>
      </c>
      <c r="L15" t="s">
        <v>2855</v>
      </c>
      <c r="O15" s="412">
        <f t="shared" si="1"/>
        <v>1.4E-2</v>
      </c>
      <c r="Q15" s="413">
        <f t="shared" si="0"/>
        <v>0.91700404320467122</v>
      </c>
      <c r="T15">
        <v>1</v>
      </c>
      <c r="U15" t="s">
        <v>2851</v>
      </c>
      <c r="V15" t="s">
        <v>594</v>
      </c>
    </row>
    <row r="16" spans="1:22" x14ac:dyDescent="0.25">
      <c r="A16" t="s">
        <v>2852</v>
      </c>
      <c r="E16" t="s">
        <v>1767</v>
      </c>
      <c r="G16" s="411" t="s">
        <v>2866</v>
      </c>
      <c r="H16">
        <v>2011</v>
      </c>
      <c r="I16">
        <v>28</v>
      </c>
      <c r="K16" t="s">
        <v>2867</v>
      </c>
      <c r="L16" t="s">
        <v>2855</v>
      </c>
      <c r="O16" s="412">
        <f t="shared" si="1"/>
        <v>2.8000000000000001E-2</v>
      </c>
      <c r="Q16" s="414"/>
      <c r="T16">
        <v>1</v>
      </c>
      <c r="U16" t="s">
        <v>2851</v>
      </c>
      <c r="V16" t="s">
        <v>594</v>
      </c>
    </row>
    <row r="17" spans="1:22" x14ac:dyDescent="0.25">
      <c r="A17" t="s">
        <v>2852</v>
      </c>
      <c r="E17" t="s">
        <v>1779</v>
      </c>
      <c r="G17" s="411" t="s">
        <v>2853</v>
      </c>
      <c r="H17">
        <v>2019</v>
      </c>
      <c r="I17">
        <v>83</v>
      </c>
      <c r="K17" t="s">
        <v>2854</v>
      </c>
      <c r="L17" t="s">
        <v>2855</v>
      </c>
      <c r="O17" s="412">
        <f t="shared" si="1"/>
        <v>8.3000000000000004E-2</v>
      </c>
      <c r="Q17" s="413">
        <f t="shared" si="0"/>
        <v>0.97697794903196278</v>
      </c>
      <c r="T17">
        <v>0.5</v>
      </c>
      <c r="U17" t="s">
        <v>2868</v>
      </c>
      <c r="V17" t="s">
        <v>84</v>
      </c>
    </row>
    <row r="18" spans="1:22" x14ac:dyDescent="0.25">
      <c r="A18" t="s">
        <v>2852</v>
      </c>
      <c r="E18" t="s">
        <v>1779</v>
      </c>
      <c r="G18" s="411" t="s">
        <v>2853</v>
      </c>
      <c r="H18">
        <v>2011</v>
      </c>
      <c r="I18">
        <v>100</v>
      </c>
      <c r="K18" t="s">
        <v>2854</v>
      </c>
      <c r="L18" t="s">
        <v>2855</v>
      </c>
      <c r="O18" s="412">
        <f t="shared" si="1"/>
        <v>0.1</v>
      </c>
      <c r="Q18" s="414"/>
      <c r="T18">
        <v>0.5</v>
      </c>
      <c r="U18" t="s">
        <v>2868</v>
      </c>
      <c r="V18" t="s">
        <v>84</v>
      </c>
    </row>
    <row r="19" spans="1:22" x14ac:dyDescent="0.25">
      <c r="A19" t="s">
        <v>2852</v>
      </c>
      <c r="E19" t="s">
        <v>1777</v>
      </c>
      <c r="G19" s="411" t="s">
        <v>2856</v>
      </c>
      <c r="H19">
        <v>2019</v>
      </c>
      <c r="I19">
        <v>219</v>
      </c>
      <c r="K19" t="s">
        <v>2857</v>
      </c>
      <c r="L19" t="s">
        <v>2855</v>
      </c>
      <c r="O19" s="412">
        <f t="shared" si="1"/>
        <v>0.219</v>
      </c>
      <c r="Q19" s="413">
        <f t="shared" si="0"/>
        <v>0.991224508343727</v>
      </c>
      <c r="T19">
        <v>0.5</v>
      </c>
      <c r="U19" t="s">
        <v>2868</v>
      </c>
      <c r="V19" t="s">
        <v>84</v>
      </c>
    </row>
    <row r="20" spans="1:22" x14ac:dyDescent="0.25">
      <c r="A20" t="s">
        <v>2852</v>
      </c>
      <c r="E20" t="s">
        <v>1777</v>
      </c>
      <c r="G20" s="411" t="s">
        <v>2856</v>
      </c>
      <c r="H20">
        <v>2011</v>
      </c>
      <c r="I20">
        <v>235</v>
      </c>
      <c r="K20" t="s">
        <v>2857</v>
      </c>
      <c r="L20" t="s">
        <v>2855</v>
      </c>
      <c r="O20" s="412">
        <f t="shared" si="1"/>
        <v>0.23499999999999999</v>
      </c>
      <c r="Q20" s="414"/>
      <c r="T20">
        <v>0.5</v>
      </c>
      <c r="U20" t="s">
        <v>2868</v>
      </c>
      <c r="V20" t="s">
        <v>84</v>
      </c>
    </row>
    <row r="21" spans="1:22" x14ac:dyDescent="0.25">
      <c r="A21" t="s">
        <v>2852</v>
      </c>
      <c r="E21" t="s">
        <v>1775</v>
      </c>
      <c r="G21" s="411" t="s">
        <v>2858</v>
      </c>
      <c r="H21">
        <v>2019</v>
      </c>
      <c r="I21">
        <v>225</v>
      </c>
      <c r="K21" t="s">
        <v>2859</v>
      </c>
      <c r="L21" t="s">
        <v>2855</v>
      </c>
      <c r="O21" s="412">
        <f t="shared" si="1"/>
        <v>0.22500000000000001</v>
      </c>
      <c r="Q21" s="413">
        <f t="shared" si="0"/>
        <v>0.98068232092078877</v>
      </c>
      <c r="T21">
        <v>0.5</v>
      </c>
      <c r="U21" t="s">
        <v>2868</v>
      </c>
      <c r="V21" t="s">
        <v>84</v>
      </c>
    </row>
    <row r="22" spans="1:22" x14ac:dyDescent="0.25">
      <c r="A22" t="s">
        <v>2852</v>
      </c>
      <c r="E22" t="s">
        <v>1775</v>
      </c>
      <c r="G22" s="411" t="s">
        <v>2858</v>
      </c>
      <c r="H22">
        <v>2011</v>
      </c>
      <c r="I22">
        <v>263</v>
      </c>
      <c r="K22" t="s">
        <v>2859</v>
      </c>
      <c r="L22" t="s">
        <v>2855</v>
      </c>
      <c r="O22" s="412">
        <f t="shared" si="1"/>
        <v>0.26300000000000001</v>
      </c>
      <c r="Q22" s="414"/>
      <c r="T22">
        <v>0.5</v>
      </c>
      <c r="U22" t="s">
        <v>2868</v>
      </c>
      <c r="V22" t="s">
        <v>84</v>
      </c>
    </row>
    <row r="23" spans="1:22" x14ac:dyDescent="0.25">
      <c r="A23" t="s">
        <v>2852</v>
      </c>
      <c r="E23" t="s">
        <v>1773</v>
      </c>
      <c r="G23" s="411" t="s">
        <v>2860</v>
      </c>
      <c r="H23">
        <v>2019</v>
      </c>
      <c r="I23">
        <v>175</v>
      </c>
      <c r="K23" t="s">
        <v>2861</v>
      </c>
      <c r="L23" t="s">
        <v>2855</v>
      </c>
      <c r="O23" s="412">
        <f t="shared" si="1"/>
        <v>0.17499999999999999</v>
      </c>
      <c r="Q23" s="413">
        <f t="shared" si="0"/>
        <v>0.97124930686865607</v>
      </c>
      <c r="T23">
        <v>0.5</v>
      </c>
      <c r="U23" t="s">
        <v>2868</v>
      </c>
      <c r="V23" t="s">
        <v>84</v>
      </c>
    </row>
    <row r="24" spans="1:22" x14ac:dyDescent="0.25">
      <c r="A24" t="s">
        <v>2852</v>
      </c>
      <c r="E24" t="s">
        <v>1773</v>
      </c>
      <c r="G24" s="411" t="s">
        <v>2860</v>
      </c>
      <c r="H24">
        <v>2011</v>
      </c>
      <c r="I24">
        <v>221</v>
      </c>
      <c r="K24" t="s">
        <v>2861</v>
      </c>
      <c r="L24" t="s">
        <v>2855</v>
      </c>
      <c r="O24" s="412">
        <f t="shared" si="1"/>
        <v>0.221</v>
      </c>
      <c r="Q24" s="414"/>
      <c r="T24">
        <v>0.5</v>
      </c>
      <c r="U24" t="s">
        <v>2868</v>
      </c>
      <c r="V24" t="s">
        <v>84</v>
      </c>
    </row>
    <row r="25" spans="1:22" x14ac:dyDescent="0.25">
      <c r="A25" t="s">
        <v>2852</v>
      </c>
      <c r="E25" t="s">
        <v>1771</v>
      </c>
      <c r="G25" s="411" t="s">
        <v>2862</v>
      </c>
      <c r="H25">
        <v>2019</v>
      </c>
      <c r="I25">
        <v>123</v>
      </c>
      <c r="K25" t="s">
        <v>2863</v>
      </c>
      <c r="L25" t="s">
        <v>2855</v>
      </c>
      <c r="O25" s="412">
        <f t="shared" si="1"/>
        <v>0.123</v>
      </c>
      <c r="Q25" s="413">
        <f t="shared" si="0"/>
        <v>0.96249521705067753</v>
      </c>
      <c r="T25">
        <v>0.5</v>
      </c>
      <c r="U25" t="s">
        <v>2868</v>
      </c>
      <c r="V25" t="s">
        <v>84</v>
      </c>
    </row>
    <row r="26" spans="1:22" x14ac:dyDescent="0.25">
      <c r="A26" t="s">
        <v>2852</v>
      </c>
      <c r="E26" t="s">
        <v>1771</v>
      </c>
      <c r="G26" s="411" t="s">
        <v>2862</v>
      </c>
      <c r="H26">
        <v>2011</v>
      </c>
      <c r="I26">
        <v>167</v>
      </c>
      <c r="K26" t="s">
        <v>2863</v>
      </c>
      <c r="L26" t="s">
        <v>2855</v>
      </c>
      <c r="O26" s="412">
        <f t="shared" si="1"/>
        <v>0.16700000000000001</v>
      </c>
      <c r="Q26" s="414"/>
      <c r="T26">
        <v>0.5</v>
      </c>
      <c r="U26" t="s">
        <v>2868</v>
      </c>
      <c r="V26" t="s">
        <v>84</v>
      </c>
    </row>
    <row r="27" spans="1:22" x14ac:dyDescent="0.25">
      <c r="A27" t="s">
        <v>2852</v>
      </c>
      <c r="E27" t="s">
        <v>1769</v>
      </c>
      <c r="G27" s="411" t="s">
        <v>2864</v>
      </c>
      <c r="H27">
        <v>2019</v>
      </c>
      <c r="I27">
        <v>54</v>
      </c>
      <c r="K27" t="s">
        <v>2865</v>
      </c>
      <c r="L27" t="s">
        <v>2855</v>
      </c>
      <c r="O27" s="412">
        <f t="shared" si="1"/>
        <v>5.3999999999999999E-2</v>
      </c>
      <c r="Q27" s="413">
        <f t="shared" si="0"/>
        <v>0.95507481857202581</v>
      </c>
      <c r="T27">
        <v>0.5</v>
      </c>
      <c r="U27" t="s">
        <v>2868</v>
      </c>
      <c r="V27" t="s">
        <v>84</v>
      </c>
    </row>
    <row r="28" spans="1:22" x14ac:dyDescent="0.25">
      <c r="A28" t="s">
        <v>2852</v>
      </c>
      <c r="E28" t="s">
        <v>1769</v>
      </c>
      <c r="G28" s="411" t="s">
        <v>2864</v>
      </c>
      <c r="H28">
        <v>2011</v>
      </c>
      <c r="I28">
        <v>78</v>
      </c>
      <c r="K28" t="s">
        <v>2865</v>
      </c>
      <c r="L28" t="s">
        <v>2855</v>
      </c>
      <c r="O28" s="412">
        <f t="shared" si="1"/>
        <v>7.8E-2</v>
      </c>
      <c r="Q28" s="414"/>
      <c r="T28">
        <v>0.5</v>
      </c>
      <c r="U28" t="s">
        <v>2868</v>
      </c>
      <c r="V28" t="s">
        <v>84</v>
      </c>
    </row>
    <row r="29" spans="1:22" x14ac:dyDescent="0.25">
      <c r="A29" t="s">
        <v>2852</v>
      </c>
      <c r="E29" t="s">
        <v>1767</v>
      </c>
      <c r="G29" s="411" t="s">
        <v>2866</v>
      </c>
      <c r="H29">
        <v>2019</v>
      </c>
      <c r="I29">
        <v>19</v>
      </c>
      <c r="K29" t="s">
        <v>2867</v>
      </c>
      <c r="L29" t="s">
        <v>2855</v>
      </c>
      <c r="O29" s="412">
        <f t="shared" si="1"/>
        <v>1.9E-2</v>
      </c>
      <c r="Q29" s="413">
        <f t="shared" si="0"/>
        <v>0.94851553964424851</v>
      </c>
      <c r="T29">
        <v>0.5</v>
      </c>
      <c r="U29" t="s">
        <v>2868</v>
      </c>
      <c r="V29" t="s">
        <v>84</v>
      </c>
    </row>
    <row r="30" spans="1:22" x14ac:dyDescent="0.25">
      <c r="A30" t="s">
        <v>2852</v>
      </c>
      <c r="E30" t="s">
        <v>1767</v>
      </c>
      <c r="G30" s="411" t="s">
        <v>2866</v>
      </c>
      <c r="H30">
        <v>2011</v>
      </c>
      <c r="I30">
        <v>29</v>
      </c>
      <c r="K30" t="s">
        <v>2867</v>
      </c>
      <c r="L30" t="s">
        <v>2855</v>
      </c>
      <c r="O30" s="412">
        <f t="shared" si="1"/>
        <v>2.9000000000000001E-2</v>
      </c>
      <c r="Q30" s="414"/>
      <c r="T30">
        <v>0.5</v>
      </c>
      <c r="U30" t="s">
        <v>2868</v>
      </c>
      <c r="V30" t="s">
        <v>84</v>
      </c>
    </row>
    <row r="31" spans="1:22" x14ac:dyDescent="0.25">
      <c r="A31" t="s">
        <v>2852</v>
      </c>
      <c r="E31" t="s">
        <v>1779</v>
      </c>
      <c r="G31" s="411" t="s">
        <v>2853</v>
      </c>
      <c r="H31">
        <v>2019</v>
      </c>
      <c r="I31">
        <v>52</v>
      </c>
      <c r="K31" t="s">
        <v>2854</v>
      </c>
      <c r="L31" t="s">
        <v>2855</v>
      </c>
      <c r="O31" s="412">
        <f t="shared" si="1"/>
        <v>5.1999999999999998E-2</v>
      </c>
      <c r="Q31" s="413">
        <f t="shared" si="0"/>
        <v>1.0853753333984508</v>
      </c>
      <c r="T31">
        <v>0.5</v>
      </c>
      <c r="U31" t="s">
        <v>2869</v>
      </c>
      <c r="V31" t="s">
        <v>336</v>
      </c>
    </row>
    <row r="32" spans="1:22" x14ac:dyDescent="0.25">
      <c r="A32" t="s">
        <v>2852</v>
      </c>
      <c r="E32" t="s">
        <v>1779</v>
      </c>
      <c r="G32" s="411" t="s">
        <v>2853</v>
      </c>
      <c r="H32">
        <v>2011</v>
      </c>
      <c r="I32">
        <v>27</v>
      </c>
      <c r="K32" t="s">
        <v>2854</v>
      </c>
      <c r="L32" t="s">
        <v>2855</v>
      </c>
      <c r="O32" s="412">
        <f t="shared" si="1"/>
        <v>2.7E-2</v>
      </c>
      <c r="Q32" s="414"/>
      <c r="T32">
        <v>0.5</v>
      </c>
      <c r="U32" t="s">
        <v>2869</v>
      </c>
      <c r="V32" t="s">
        <v>336</v>
      </c>
    </row>
    <row r="33" spans="1:22" x14ac:dyDescent="0.25">
      <c r="A33" t="s">
        <v>2852</v>
      </c>
      <c r="E33" t="s">
        <v>1777</v>
      </c>
      <c r="G33" s="411" t="s">
        <v>2856</v>
      </c>
      <c r="H33">
        <v>2019</v>
      </c>
      <c r="I33">
        <v>147</v>
      </c>
      <c r="K33" t="s">
        <v>2857</v>
      </c>
      <c r="L33" t="s">
        <v>2855</v>
      </c>
      <c r="O33" s="412">
        <f t="shared" si="1"/>
        <v>0.14699999999999999</v>
      </c>
      <c r="Q33" s="413">
        <f t="shared" si="0"/>
        <v>1.0214966723375731</v>
      </c>
      <c r="T33">
        <v>0.5</v>
      </c>
      <c r="U33" t="s">
        <v>2869</v>
      </c>
      <c r="V33" t="s">
        <v>336</v>
      </c>
    </row>
    <row r="34" spans="1:22" x14ac:dyDescent="0.25">
      <c r="A34" t="s">
        <v>2852</v>
      </c>
      <c r="E34" t="s">
        <v>1777</v>
      </c>
      <c r="G34" s="411" t="s">
        <v>2856</v>
      </c>
      <c r="H34">
        <v>2011</v>
      </c>
      <c r="I34">
        <v>124</v>
      </c>
      <c r="K34" t="s">
        <v>2857</v>
      </c>
      <c r="L34" t="s">
        <v>2855</v>
      </c>
      <c r="O34" s="412">
        <f t="shared" si="1"/>
        <v>0.124</v>
      </c>
      <c r="Q34" s="414"/>
      <c r="T34">
        <v>0.5</v>
      </c>
      <c r="U34" t="s">
        <v>2869</v>
      </c>
      <c r="V34" t="s">
        <v>336</v>
      </c>
    </row>
    <row r="35" spans="1:22" x14ac:dyDescent="0.25">
      <c r="A35" t="s">
        <v>2852</v>
      </c>
      <c r="E35" t="s">
        <v>1775</v>
      </c>
      <c r="G35" s="411" t="s">
        <v>2858</v>
      </c>
      <c r="H35">
        <v>2019</v>
      </c>
      <c r="I35">
        <v>159</v>
      </c>
      <c r="K35" t="s">
        <v>2859</v>
      </c>
      <c r="L35" t="s">
        <v>2855</v>
      </c>
      <c r="O35" s="412">
        <f t="shared" si="1"/>
        <v>0.159</v>
      </c>
      <c r="Q35" s="413">
        <f t="shared" si="0"/>
        <v>1.0007889572122999</v>
      </c>
      <c r="T35">
        <v>0.5</v>
      </c>
      <c r="U35" t="s">
        <v>2869</v>
      </c>
      <c r="V35" t="s">
        <v>336</v>
      </c>
    </row>
    <row r="36" spans="1:22" x14ac:dyDescent="0.25">
      <c r="A36" t="s">
        <v>2852</v>
      </c>
      <c r="E36" t="s">
        <v>1775</v>
      </c>
      <c r="G36" s="411" t="s">
        <v>2858</v>
      </c>
      <c r="H36">
        <v>2011</v>
      </c>
      <c r="I36">
        <v>158</v>
      </c>
      <c r="K36" t="s">
        <v>2859</v>
      </c>
      <c r="L36" t="s">
        <v>2855</v>
      </c>
      <c r="O36" s="412">
        <f t="shared" si="1"/>
        <v>0.158</v>
      </c>
      <c r="Q36" s="414"/>
      <c r="T36">
        <v>0.5</v>
      </c>
      <c r="U36" t="s">
        <v>2869</v>
      </c>
      <c r="V36" t="s">
        <v>336</v>
      </c>
    </row>
    <row r="37" spans="1:22" x14ac:dyDescent="0.25">
      <c r="A37" t="s">
        <v>2852</v>
      </c>
      <c r="E37" t="s">
        <v>1773</v>
      </c>
      <c r="G37" s="411" t="s">
        <v>2860</v>
      </c>
      <c r="H37">
        <v>2019</v>
      </c>
      <c r="I37">
        <v>128</v>
      </c>
      <c r="K37" t="s">
        <v>2861</v>
      </c>
      <c r="L37" t="s">
        <v>2855</v>
      </c>
      <c r="O37" s="412">
        <f t="shared" si="1"/>
        <v>0.128</v>
      </c>
      <c r="Q37" s="413">
        <f t="shared" si="0"/>
        <v>1.0313385377212458</v>
      </c>
      <c r="T37">
        <v>0.5</v>
      </c>
      <c r="U37" t="s">
        <v>2869</v>
      </c>
      <c r="V37" t="s">
        <v>336</v>
      </c>
    </row>
    <row r="38" spans="1:22" x14ac:dyDescent="0.25">
      <c r="A38" t="s">
        <v>2852</v>
      </c>
      <c r="E38" t="s">
        <v>1773</v>
      </c>
      <c r="G38" s="411" t="s">
        <v>2860</v>
      </c>
      <c r="H38">
        <v>2011</v>
      </c>
      <c r="I38">
        <v>100</v>
      </c>
      <c r="K38" t="s">
        <v>2861</v>
      </c>
      <c r="L38" t="s">
        <v>2855</v>
      </c>
      <c r="O38" s="412">
        <f t="shared" si="1"/>
        <v>0.1</v>
      </c>
      <c r="Q38" s="414"/>
      <c r="T38">
        <v>0.5</v>
      </c>
      <c r="U38" t="s">
        <v>2869</v>
      </c>
      <c r="V38" t="s">
        <v>336</v>
      </c>
    </row>
    <row r="39" spans="1:22" x14ac:dyDescent="0.25">
      <c r="A39" t="s">
        <v>2852</v>
      </c>
      <c r="E39" t="s">
        <v>1771</v>
      </c>
      <c r="G39" s="411" t="s">
        <v>2862</v>
      </c>
      <c r="H39">
        <v>2019</v>
      </c>
      <c r="I39">
        <v>109</v>
      </c>
      <c r="K39" t="s">
        <v>2863</v>
      </c>
      <c r="L39" t="s">
        <v>2855</v>
      </c>
      <c r="O39" s="412">
        <f t="shared" si="1"/>
        <v>0.109</v>
      </c>
      <c r="Q39" s="413">
        <f t="shared" si="0"/>
        <v>1.047841643642063</v>
      </c>
      <c r="T39">
        <v>0.5</v>
      </c>
      <c r="U39" t="s">
        <v>2869</v>
      </c>
      <c r="V39" t="s">
        <v>336</v>
      </c>
    </row>
    <row r="40" spans="1:22" x14ac:dyDescent="0.25">
      <c r="A40" t="s">
        <v>2852</v>
      </c>
      <c r="E40" t="s">
        <v>1771</v>
      </c>
      <c r="G40" s="411" t="s">
        <v>2862</v>
      </c>
      <c r="H40">
        <v>2011</v>
      </c>
      <c r="I40">
        <v>75</v>
      </c>
      <c r="K40" t="s">
        <v>2863</v>
      </c>
      <c r="L40" t="s">
        <v>2855</v>
      </c>
      <c r="O40" s="412">
        <f t="shared" si="1"/>
        <v>7.4999999999999997E-2</v>
      </c>
      <c r="Q40" s="414"/>
      <c r="T40">
        <v>0.5</v>
      </c>
      <c r="U40" t="s">
        <v>2869</v>
      </c>
      <c r="V40" t="s">
        <v>336</v>
      </c>
    </row>
    <row r="41" spans="1:22" x14ac:dyDescent="0.25">
      <c r="A41" t="s">
        <v>2852</v>
      </c>
      <c r="E41" t="s">
        <v>1769</v>
      </c>
      <c r="G41" s="411" t="s">
        <v>2864</v>
      </c>
      <c r="H41">
        <v>2019</v>
      </c>
      <c r="I41">
        <v>37</v>
      </c>
      <c r="K41" t="s">
        <v>2865</v>
      </c>
      <c r="L41" t="s">
        <v>2855</v>
      </c>
      <c r="O41" s="412">
        <f t="shared" si="1"/>
        <v>3.6999999999999998E-2</v>
      </c>
      <c r="Q41" s="413">
        <f t="shared" si="0"/>
        <v>1.0733659239599782</v>
      </c>
      <c r="T41">
        <v>0.5</v>
      </c>
      <c r="U41" t="s">
        <v>2869</v>
      </c>
      <c r="V41" t="s">
        <v>336</v>
      </c>
    </row>
    <row r="42" spans="1:22" x14ac:dyDescent="0.25">
      <c r="A42" t="s">
        <v>2852</v>
      </c>
      <c r="E42" t="s">
        <v>1769</v>
      </c>
      <c r="G42" s="411" t="s">
        <v>2864</v>
      </c>
      <c r="H42">
        <v>2011</v>
      </c>
      <c r="I42">
        <v>21</v>
      </c>
      <c r="K42" t="s">
        <v>2865</v>
      </c>
      <c r="L42" t="s">
        <v>2855</v>
      </c>
      <c r="O42" s="412">
        <f t="shared" si="1"/>
        <v>2.1000000000000001E-2</v>
      </c>
      <c r="Q42" s="414"/>
      <c r="T42">
        <v>0.5</v>
      </c>
      <c r="U42" t="s">
        <v>2869</v>
      </c>
      <c r="V42" t="s">
        <v>336</v>
      </c>
    </row>
    <row r="43" spans="1:22" x14ac:dyDescent="0.25">
      <c r="A43" t="s">
        <v>2852</v>
      </c>
      <c r="E43" t="s">
        <v>1767</v>
      </c>
      <c r="G43" s="411" t="s">
        <v>2866</v>
      </c>
      <c r="H43">
        <v>2019</v>
      </c>
      <c r="I43">
        <v>1</v>
      </c>
      <c r="K43" t="s">
        <v>2867</v>
      </c>
      <c r="L43" t="s">
        <v>2855</v>
      </c>
      <c r="O43" s="412">
        <f t="shared" si="1"/>
        <v>1E-3</v>
      </c>
      <c r="Q43" s="413">
        <f t="shared" si="0"/>
        <v>0.67951205356792799</v>
      </c>
      <c r="T43">
        <v>0.5</v>
      </c>
      <c r="U43" t="s">
        <v>2869</v>
      </c>
      <c r="V43" t="s">
        <v>336</v>
      </c>
    </row>
    <row r="44" spans="1:22" x14ac:dyDescent="0.25">
      <c r="A44" t="s">
        <v>2852</v>
      </c>
      <c r="E44" t="s">
        <v>1767</v>
      </c>
      <c r="G44" s="411" t="s">
        <v>2866</v>
      </c>
      <c r="H44">
        <v>2011</v>
      </c>
      <c r="I44">
        <v>22</v>
      </c>
      <c r="K44" t="s">
        <v>2867</v>
      </c>
      <c r="L44" t="s">
        <v>2855</v>
      </c>
      <c r="O44" s="412">
        <f t="shared" si="1"/>
        <v>2.1999999999999999E-2</v>
      </c>
      <c r="Q44" s="414"/>
      <c r="T44">
        <v>0.5</v>
      </c>
      <c r="U44" t="s">
        <v>2869</v>
      </c>
      <c r="V44" t="s">
        <v>336</v>
      </c>
    </row>
    <row r="45" spans="1:22" x14ac:dyDescent="0.25">
      <c r="A45" t="s">
        <v>2852</v>
      </c>
      <c r="E45" t="s">
        <v>1779</v>
      </c>
      <c r="G45" s="411" t="s">
        <v>2853</v>
      </c>
      <c r="H45">
        <v>2019</v>
      </c>
      <c r="I45">
        <v>71</v>
      </c>
      <c r="K45" t="s">
        <v>2854</v>
      </c>
      <c r="L45" t="s">
        <v>2855</v>
      </c>
      <c r="O45" s="412">
        <f t="shared" si="1"/>
        <v>7.0999999999999994E-2</v>
      </c>
      <c r="Q45" s="413">
        <f>IFERROR((I45/I46)^(1/(H45-H46)), "")</f>
        <v>0.98519238249426366</v>
      </c>
      <c r="T45">
        <v>1</v>
      </c>
      <c r="U45" t="s">
        <v>2870</v>
      </c>
      <c r="V45" t="s">
        <v>806</v>
      </c>
    </row>
    <row r="46" spans="1:22" x14ac:dyDescent="0.25">
      <c r="A46" t="s">
        <v>2852</v>
      </c>
      <c r="E46" t="s">
        <v>1779</v>
      </c>
      <c r="G46" s="411" t="s">
        <v>2853</v>
      </c>
      <c r="H46">
        <v>2011</v>
      </c>
      <c r="I46">
        <v>80</v>
      </c>
      <c r="K46" t="s">
        <v>2854</v>
      </c>
      <c r="L46" t="s">
        <v>2855</v>
      </c>
      <c r="O46" s="412">
        <f t="shared" si="1"/>
        <v>0.08</v>
      </c>
      <c r="Q46" s="413"/>
      <c r="T46">
        <v>1</v>
      </c>
      <c r="U46" t="s">
        <v>2870</v>
      </c>
      <c r="V46" t="s">
        <v>806</v>
      </c>
    </row>
    <row r="47" spans="1:22" x14ac:dyDescent="0.25">
      <c r="A47" t="s">
        <v>2852</v>
      </c>
      <c r="E47" t="s">
        <v>1777</v>
      </c>
      <c r="G47" s="411" t="s">
        <v>2856</v>
      </c>
      <c r="H47">
        <v>2019</v>
      </c>
      <c r="I47">
        <v>166</v>
      </c>
      <c r="K47" t="s">
        <v>2857</v>
      </c>
      <c r="L47" t="s">
        <v>2855</v>
      </c>
      <c r="O47" s="412">
        <f t="shared" si="1"/>
        <v>0.16600000000000001</v>
      </c>
      <c r="Q47" s="413">
        <f>IFERROR((I47/I48)^(1/(H47-H48)), "")</f>
        <v>0.99557149880084939</v>
      </c>
      <c r="R47" s="413"/>
      <c r="T47">
        <v>1</v>
      </c>
      <c r="U47" t="s">
        <v>2870</v>
      </c>
      <c r="V47" t="s">
        <v>806</v>
      </c>
    </row>
    <row r="48" spans="1:22" x14ac:dyDescent="0.25">
      <c r="A48" t="s">
        <v>2852</v>
      </c>
      <c r="E48" t="s">
        <v>1777</v>
      </c>
      <c r="G48" s="411" t="s">
        <v>2856</v>
      </c>
      <c r="H48">
        <v>2011</v>
      </c>
      <c r="I48">
        <v>172</v>
      </c>
      <c r="K48" t="s">
        <v>2857</v>
      </c>
      <c r="L48" t="s">
        <v>2855</v>
      </c>
      <c r="O48" s="412">
        <f t="shared" si="1"/>
        <v>0.17199999999999999</v>
      </c>
      <c r="Q48" s="413"/>
      <c r="T48">
        <v>1</v>
      </c>
      <c r="U48" t="s">
        <v>2870</v>
      </c>
      <c r="V48" t="s">
        <v>806</v>
      </c>
    </row>
    <row r="49" spans="1:22" x14ac:dyDescent="0.25">
      <c r="A49" t="s">
        <v>2852</v>
      </c>
      <c r="E49" t="s">
        <v>1775</v>
      </c>
      <c r="G49" s="411" t="s">
        <v>2858</v>
      </c>
      <c r="H49">
        <v>2019</v>
      </c>
      <c r="I49">
        <v>168</v>
      </c>
      <c r="K49" t="s">
        <v>2859</v>
      </c>
      <c r="L49" t="s">
        <v>2855</v>
      </c>
      <c r="O49" s="412">
        <f t="shared" si="1"/>
        <v>0.16800000000000001</v>
      </c>
      <c r="Q49" s="413">
        <f>IFERROR((I49/I50)^(1/(H49-H50)), "")</f>
        <v>0.96097516195175681</v>
      </c>
      <c r="T49">
        <v>1</v>
      </c>
      <c r="U49" t="s">
        <v>2870</v>
      </c>
      <c r="V49" t="s">
        <v>806</v>
      </c>
    </row>
    <row r="50" spans="1:22" x14ac:dyDescent="0.25">
      <c r="A50" t="s">
        <v>2852</v>
      </c>
      <c r="E50" t="s">
        <v>1775</v>
      </c>
      <c r="G50" s="411" t="s">
        <v>2858</v>
      </c>
      <c r="H50">
        <v>2011</v>
      </c>
      <c r="I50">
        <v>231</v>
      </c>
      <c r="K50" t="s">
        <v>2859</v>
      </c>
      <c r="L50" t="s">
        <v>2855</v>
      </c>
      <c r="O50" s="412">
        <f t="shared" si="1"/>
        <v>0.23100000000000001</v>
      </c>
      <c r="Q50"/>
      <c r="T50">
        <v>1</v>
      </c>
      <c r="U50" t="s">
        <v>2870</v>
      </c>
      <c r="V50" t="s">
        <v>806</v>
      </c>
    </row>
    <row r="51" spans="1:22" x14ac:dyDescent="0.25">
      <c r="A51" t="s">
        <v>2852</v>
      </c>
      <c r="E51" t="s">
        <v>1773</v>
      </c>
      <c r="G51" s="411" t="s">
        <v>2860</v>
      </c>
      <c r="H51">
        <v>2019</v>
      </c>
      <c r="I51">
        <v>184</v>
      </c>
      <c r="K51" t="s">
        <v>2861</v>
      </c>
      <c r="L51" t="s">
        <v>2855</v>
      </c>
      <c r="O51" s="412">
        <f t="shared" si="1"/>
        <v>0.184</v>
      </c>
      <c r="Q51" s="413">
        <f>IFERROR((I51/I52)^(1/(H51-H52)), "")</f>
        <v>0.97462752637206918</v>
      </c>
      <c r="T51">
        <v>1</v>
      </c>
      <c r="U51" t="s">
        <v>2870</v>
      </c>
      <c r="V51" t="s">
        <v>806</v>
      </c>
    </row>
    <row r="52" spans="1:22" x14ac:dyDescent="0.25">
      <c r="A52" t="s">
        <v>2852</v>
      </c>
      <c r="E52" t="s">
        <v>1773</v>
      </c>
      <c r="G52" s="411" t="s">
        <v>2860</v>
      </c>
      <c r="H52">
        <v>2011</v>
      </c>
      <c r="I52">
        <v>226</v>
      </c>
      <c r="K52" t="s">
        <v>2861</v>
      </c>
      <c r="L52" t="s">
        <v>2855</v>
      </c>
      <c r="O52" s="412">
        <f t="shared" si="1"/>
        <v>0.22600000000000001</v>
      </c>
      <c r="Q52"/>
      <c r="T52">
        <v>1</v>
      </c>
      <c r="U52" t="s">
        <v>2870</v>
      </c>
      <c r="V52" t="s">
        <v>806</v>
      </c>
    </row>
    <row r="53" spans="1:22" x14ac:dyDescent="0.25">
      <c r="A53" t="s">
        <v>2852</v>
      </c>
      <c r="E53" t="s">
        <v>1771</v>
      </c>
      <c r="G53" s="411" t="s">
        <v>2862</v>
      </c>
      <c r="H53">
        <v>2019</v>
      </c>
      <c r="I53">
        <v>128</v>
      </c>
      <c r="K53" t="s">
        <v>2863</v>
      </c>
      <c r="L53" t="s">
        <v>2855</v>
      </c>
      <c r="O53" s="412">
        <f t="shared" si="1"/>
        <v>0.128</v>
      </c>
      <c r="Q53" s="413">
        <f>IFERROR((I53/I54)^(1/(H53-H54)), "")</f>
        <v>0.97794587092241492</v>
      </c>
      <c r="T53">
        <v>1</v>
      </c>
      <c r="U53" t="s">
        <v>2870</v>
      </c>
      <c r="V53" t="s">
        <v>806</v>
      </c>
    </row>
    <row r="54" spans="1:22" x14ac:dyDescent="0.25">
      <c r="A54" t="s">
        <v>2852</v>
      </c>
      <c r="E54" t="s">
        <v>1771</v>
      </c>
      <c r="G54" s="411" t="s">
        <v>2862</v>
      </c>
      <c r="H54">
        <v>2011</v>
      </c>
      <c r="I54">
        <v>153</v>
      </c>
      <c r="K54" t="s">
        <v>2863</v>
      </c>
      <c r="L54" t="s">
        <v>2855</v>
      </c>
      <c r="O54" s="412">
        <f t="shared" si="1"/>
        <v>0.153</v>
      </c>
      <c r="Q54" s="413"/>
      <c r="T54">
        <v>1</v>
      </c>
      <c r="U54" t="s">
        <v>2870</v>
      </c>
      <c r="V54" t="s">
        <v>806</v>
      </c>
    </row>
    <row r="55" spans="1:22" x14ac:dyDescent="0.25">
      <c r="A55" t="s">
        <v>2852</v>
      </c>
      <c r="E55" t="s">
        <v>1769</v>
      </c>
      <c r="G55" s="411" t="s">
        <v>2864</v>
      </c>
      <c r="H55">
        <v>2019</v>
      </c>
      <c r="I55">
        <v>70</v>
      </c>
      <c r="K55" t="s">
        <v>2865</v>
      </c>
      <c r="L55" t="s">
        <v>2855</v>
      </c>
      <c r="O55" s="412">
        <f t="shared" si="1"/>
        <v>7.0000000000000007E-2</v>
      </c>
      <c r="Q55" s="413">
        <f>IFERROR((I55/I56)^(1/(H55-H56)), "")</f>
        <v>1.0628052671339567</v>
      </c>
      <c r="T55">
        <v>1</v>
      </c>
      <c r="U55" t="s">
        <v>2870</v>
      </c>
      <c r="V55" t="s">
        <v>806</v>
      </c>
    </row>
    <row r="56" spans="1:22" x14ac:dyDescent="0.25">
      <c r="A56" t="s">
        <v>2852</v>
      </c>
      <c r="E56" t="s">
        <v>1769</v>
      </c>
      <c r="G56" s="411" t="s">
        <v>2864</v>
      </c>
      <c r="H56">
        <v>2011</v>
      </c>
      <c r="I56">
        <v>43</v>
      </c>
      <c r="K56" t="s">
        <v>2865</v>
      </c>
      <c r="L56" t="s">
        <v>2855</v>
      </c>
      <c r="O56" s="412">
        <f t="shared" si="1"/>
        <v>4.2999999999999997E-2</v>
      </c>
      <c r="Q56" s="413"/>
      <c r="T56">
        <v>1</v>
      </c>
      <c r="U56" t="s">
        <v>2870</v>
      </c>
      <c r="V56" t="s">
        <v>806</v>
      </c>
    </row>
    <row r="57" spans="1:22" x14ac:dyDescent="0.25">
      <c r="A57" t="s">
        <v>2852</v>
      </c>
      <c r="E57" t="s">
        <v>1767</v>
      </c>
      <c r="G57" s="411" t="s">
        <v>2866</v>
      </c>
      <c r="H57">
        <v>2016</v>
      </c>
      <c r="I57">
        <v>4</v>
      </c>
      <c r="K57" t="s">
        <v>2867</v>
      </c>
      <c r="L57" t="s">
        <v>2855</v>
      </c>
      <c r="O57" s="412">
        <f t="shared" si="1"/>
        <v>4.0000000000000001E-3</v>
      </c>
      <c r="Q57" s="413">
        <f>IFERROR((I57/I58)^(1/(H57-H58)), "")</f>
        <v>0.87055056329612412</v>
      </c>
      <c r="T57">
        <v>1</v>
      </c>
      <c r="U57" t="s">
        <v>2870</v>
      </c>
      <c r="V57" t="s">
        <v>806</v>
      </c>
    </row>
    <row r="58" spans="1:22" x14ac:dyDescent="0.25">
      <c r="A58" t="s">
        <v>2852</v>
      </c>
      <c r="E58" t="s">
        <v>1767</v>
      </c>
      <c r="G58" s="411" t="s">
        <v>2866</v>
      </c>
      <c r="H58">
        <v>2011</v>
      </c>
      <c r="I58">
        <v>8</v>
      </c>
      <c r="K58" t="s">
        <v>2867</v>
      </c>
      <c r="L58" t="s">
        <v>2855</v>
      </c>
      <c r="O58" s="412">
        <f t="shared" si="1"/>
        <v>8.0000000000000002E-3</v>
      </c>
      <c r="Q58" s="413"/>
      <c r="T58">
        <v>1</v>
      </c>
      <c r="U58" t="s">
        <v>2870</v>
      </c>
      <c r="V58" t="s">
        <v>806</v>
      </c>
    </row>
    <row r="59" spans="1:22" x14ac:dyDescent="0.25">
      <c r="A59" t="s">
        <v>2852</v>
      </c>
      <c r="E59" t="s">
        <v>1779</v>
      </c>
      <c r="G59" s="411" t="s">
        <v>2853</v>
      </c>
      <c r="H59">
        <v>2019</v>
      </c>
      <c r="I59">
        <v>204</v>
      </c>
      <c r="K59" t="s">
        <v>2854</v>
      </c>
      <c r="L59" t="s">
        <v>2855</v>
      </c>
      <c r="O59" s="412">
        <f t="shared" si="1"/>
        <v>0.20399999999999999</v>
      </c>
      <c r="Q59" s="413">
        <f>IFERROR((I59/I60)^(1/(H59-H60)), "")</f>
        <v>1.0840037852319913</v>
      </c>
      <c r="R59" s="413"/>
      <c r="T59">
        <v>1</v>
      </c>
      <c r="U59" t="s">
        <v>2871</v>
      </c>
      <c r="V59" t="s">
        <v>2872</v>
      </c>
    </row>
    <row r="60" spans="1:22" x14ac:dyDescent="0.25">
      <c r="A60" t="s">
        <v>2852</v>
      </c>
      <c r="E60" t="s">
        <v>1779</v>
      </c>
      <c r="G60" s="411" t="s">
        <v>2853</v>
      </c>
      <c r="H60">
        <v>2011</v>
      </c>
      <c r="I60">
        <v>107</v>
      </c>
      <c r="K60" t="s">
        <v>2854</v>
      </c>
      <c r="L60" t="s">
        <v>2855</v>
      </c>
      <c r="O60" s="412">
        <f t="shared" si="1"/>
        <v>0.107</v>
      </c>
      <c r="Q60" s="414"/>
      <c r="T60">
        <v>1</v>
      </c>
      <c r="U60" t="s">
        <v>2871</v>
      </c>
      <c r="V60" t="s">
        <v>2872</v>
      </c>
    </row>
    <row r="61" spans="1:22" x14ac:dyDescent="0.25">
      <c r="A61" t="s">
        <v>2852</v>
      </c>
      <c r="E61" t="s">
        <v>1777</v>
      </c>
      <c r="G61" s="411" t="s">
        <v>2856</v>
      </c>
      <c r="H61">
        <v>2019</v>
      </c>
      <c r="I61">
        <v>299</v>
      </c>
      <c r="K61" t="s">
        <v>2857</v>
      </c>
      <c r="L61" t="s">
        <v>2855</v>
      </c>
      <c r="O61" s="412">
        <f t="shared" si="1"/>
        <v>0.29899999999999999</v>
      </c>
      <c r="Q61" s="413">
        <f>IFERROR((I61/I62)^(1/(H61-H62)), "")</f>
        <v>1.0289322483563228</v>
      </c>
      <c r="R61" s="413"/>
      <c r="T61">
        <v>1</v>
      </c>
      <c r="U61" t="s">
        <v>2871</v>
      </c>
      <c r="V61" t="s">
        <v>2872</v>
      </c>
    </row>
    <row r="62" spans="1:22" x14ac:dyDescent="0.25">
      <c r="A62" t="s">
        <v>2852</v>
      </c>
      <c r="E62" t="s">
        <v>1777</v>
      </c>
      <c r="G62" s="411" t="s">
        <v>2856</v>
      </c>
      <c r="H62">
        <v>2011</v>
      </c>
      <c r="I62">
        <v>238</v>
      </c>
      <c r="K62" t="s">
        <v>2857</v>
      </c>
      <c r="L62" t="s">
        <v>2855</v>
      </c>
      <c r="O62" s="412">
        <f t="shared" si="1"/>
        <v>0.23799999999999999</v>
      </c>
      <c r="Q62" s="414"/>
      <c r="T62">
        <v>1</v>
      </c>
      <c r="U62" t="s">
        <v>2871</v>
      </c>
      <c r="V62" t="s">
        <v>2872</v>
      </c>
    </row>
    <row r="63" spans="1:22" x14ac:dyDescent="0.25">
      <c r="A63" t="s">
        <v>2852</v>
      </c>
      <c r="E63" t="s">
        <v>1775</v>
      </c>
      <c r="G63" s="411" t="s">
        <v>2858</v>
      </c>
      <c r="H63">
        <v>2019</v>
      </c>
      <c r="I63">
        <v>278</v>
      </c>
      <c r="K63" t="s">
        <v>2859</v>
      </c>
      <c r="L63" t="s">
        <v>2855</v>
      </c>
      <c r="O63" s="412">
        <f t="shared" si="1"/>
        <v>0.27800000000000002</v>
      </c>
      <c r="Q63" s="413">
        <f>IFERROR((I63/I64)^(1/(H63-H64)), "")</f>
        <v>1.0180133403632152</v>
      </c>
      <c r="R63" s="413"/>
      <c r="T63">
        <v>1</v>
      </c>
      <c r="U63" t="s">
        <v>2871</v>
      </c>
      <c r="V63" t="s">
        <v>2872</v>
      </c>
    </row>
    <row r="64" spans="1:22" x14ac:dyDescent="0.25">
      <c r="A64" t="s">
        <v>2852</v>
      </c>
      <c r="E64" t="s">
        <v>1775</v>
      </c>
      <c r="G64" s="411" t="s">
        <v>2858</v>
      </c>
      <c r="H64">
        <v>2011</v>
      </c>
      <c r="I64">
        <v>241</v>
      </c>
      <c r="K64" t="s">
        <v>2859</v>
      </c>
      <c r="L64" t="s">
        <v>2855</v>
      </c>
      <c r="O64" s="412">
        <f t="shared" si="1"/>
        <v>0.24099999999999999</v>
      </c>
      <c r="Q64" s="414"/>
      <c r="T64">
        <v>1</v>
      </c>
      <c r="U64" t="s">
        <v>2871</v>
      </c>
      <c r="V64" t="s">
        <v>2872</v>
      </c>
    </row>
    <row r="65" spans="1:22" x14ac:dyDescent="0.25">
      <c r="A65" t="s">
        <v>2852</v>
      </c>
      <c r="E65" t="s">
        <v>1773</v>
      </c>
      <c r="G65" s="411" t="s">
        <v>2860</v>
      </c>
      <c r="H65">
        <v>2019</v>
      </c>
      <c r="I65">
        <v>149</v>
      </c>
      <c r="K65" t="s">
        <v>2861</v>
      </c>
      <c r="L65" t="s">
        <v>2855</v>
      </c>
      <c r="O65" s="412">
        <f t="shared" si="1"/>
        <v>0.14899999999999999</v>
      </c>
      <c r="Q65" s="413">
        <f>IFERROR((I65/I66)^(1/(H65-H66)), "")</f>
        <v>0.97530255076662631</v>
      </c>
      <c r="R65" s="413"/>
      <c r="T65">
        <v>1</v>
      </c>
      <c r="U65" t="s">
        <v>2871</v>
      </c>
      <c r="V65" t="s">
        <v>2872</v>
      </c>
    </row>
    <row r="66" spans="1:22" x14ac:dyDescent="0.25">
      <c r="A66" t="s">
        <v>2852</v>
      </c>
      <c r="E66" t="s">
        <v>1773</v>
      </c>
      <c r="G66" s="411" t="s">
        <v>2860</v>
      </c>
      <c r="H66">
        <v>2011</v>
      </c>
      <c r="I66">
        <v>182</v>
      </c>
      <c r="K66" t="s">
        <v>2861</v>
      </c>
      <c r="L66" t="s">
        <v>2855</v>
      </c>
      <c r="O66" s="412">
        <f t="shared" si="1"/>
        <v>0.182</v>
      </c>
      <c r="Q66" s="414"/>
      <c r="T66">
        <v>1</v>
      </c>
      <c r="U66" t="s">
        <v>2871</v>
      </c>
      <c r="V66" t="s">
        <v>2872</v>
      </c>
    </row>
    <row r="67" spans="1:22" x14ac:dyDescent="0.25">
      <c r="A67" t="s">
        <v>2852</v>
      </c>
      <c r="E67" t="s">
        <v>1771</v>
      </c>
      <c r="G67" s="411" t="s">
        <v>2862</v>
      </c>
      <c r="H67">
        <v>2019</v>
      </c>
      <c r="I67">
        <v>112</v>
      </c>
      <c r="K67" t="s">
        <v>2863</v>
      </c>
      <c r="L67" t="s">
        <v>2855</v>
      </c>
      <c r="O67" s="412">
        <f t="shared" si="1"/>
        <v>0.112</v>
      </c>
      <c r="Q67" s="413">
        <f>IFERROR((I67/I68)^(1/(H67-H68)), "")</f>
        <v>0.96907399911139525</v>
      </c>
      <c r="R67" s="413"/>
      <c r="T67">
        <v>1</v>
      </c>
      <c r="U67" t="s">
        <v>2871</v>
      </c>
      <c r="V67" t="s">
        <v>2872</v>
      </c>
    </row>
    <row r="68" spans="1:22" x14ac:dyDescent="0.25">
      <c r="A68" t="s">
        <v>2852</v>
      </c>
      <c r="E68" t="s">
        <v>1771</v>
      </c>
      <c r="G68" s="411" t="s">
        <v>2862</v>
      </c>
      <c r="H68">
        <v>2011</v>
      </c>
      <c r="I68">
        <v>144</v>
      </c>
      <c r="K68" t="s">
        <v>2863</v>
      </c>
      <c r="L68" t="s">
        <v>2855</v>
      </c>
      <c r="O68" s="412">
        <f t="shared" si="1"/>
        <v>0.14399999999999999</v>
      </c>
      <c r="Q68" s="414"/>
      <c r="T68">
        <v>1</v>
      </c>
      <c r="U68" t="s">
        <v>2871</v>
      </c>
      <c r="V68" t="s">
        <v>2872</v>
      </c>
    </row>
    <row r="69" spans="1:22" x14ac:dyDescent="0.25">
      <c r="A69" t="s">
        <v>2852</v>
      </c>
      <c r="E69" t="s">
        <v>1769</v>
      </c>
      <c r="G69" s="411" t="s">
        <v>2864</v>
      </c>
      <c r="H69">
        <v>2016</v>
      </c>
      <c r="I69">
        <v>82</v>
      </c>
      <c r="K69" t="s">
        <v>2865</v>
      </c>
      <c r="L69" t="s">
        <v>2855</v>
      </c>
      <c r="O69" s="412">
        <f t="shared" ref="O69:O132" si="2">IF(I69="","NA",I69/1000)</f>
        <v>8.2000000000000003E-2</v>
      </c>
      <c r="Q69" s="413">
        <f>IFERROR((I69/I70)^(1/(H69-H70)), "")</f>
        <v>1.1325887283887568</v>
      </c>
      <c r="R69" s="413"/>
      <c r="T69">
        <v>1</v>
      </c>
      <c r="U69" t="s">
        <v>2871</v>
      </c>
      <c r="V69" t="s">
        <v>2872</v>
      </c>
    </row>
    <row r="70" spans="1:22" x14ac:dyDescent="0.25">
      <c r="A70" t="s">
        <v>2852</v>
      </c>
      <c r="E70" t="s">
        <v>1769</v>
      </c>
      <c r="G70" s="411" t="s">
        <v>2864</v>
      </c>
      <c r="H70">
        <v>2011</v>
      </c>
      <c r="I70">
        <v>44</v>
      </c>
      <c r="K70" t="s">
        <v>2865</v>
      </c>
      <c r="L70" t="s">
        <v>2855</v>
      </c>
      <c r="O70" s="412">
        <f t="shared" si="2"/>
        <v>4.3999999999999997E-2</v>
      </c>
      <c r="Q70" s="413"/>
      <c r="T70">
        <v>1</v>
      </c>
      <c r="U70" t="s">
        <v>2871</v>
      </c>
      <c r="V70" t="s">
        <v>2872</v>
      </c>
    </row>
    <row r="71" spans="1:22" x14ac:dyDescent="0.25">
      <c r="A71" t="s">
        <v>2852</v>
      </c>
      <c r="E71" t="s">
        <v>1767</v>
      </c>
      <c r="G71" s="411" t="s">
        <v>2866</v>
      </c>
      <c r="H71">
        <v>2016</v>
      </c>
      <c r="I71">
        <v>20</v>
      </c>
      <c r="K71" t="s">
        <v>2867</v>
      </c>
      <c r="L71" t="s">
        <v>2855</v>
      </c>
      <c r="O71" s="412">
        <f t="shared" si="2"/>
        <v>0.02</v>
      </c>
      <c r="Q71" s="413">
        <f>IFERROR((I71/I72)^(1/(H71-H72)), "")</f>
        <v>1.0905077326652577</v>
      </c>
      <c r="R71" s="413"/>
      <c r="T71">
        <v>1</v>
      </c>
      <c r="U71" t="s">
        <v>2871</v>
      </c>
      <c r="V71" t="s">
        <v>2872</v>
      </c>
    </row>
    <row r="72" spans="1:22" x14ac:dyDescent="0.25">
      <c r="A72" t="s">
        <v>2852</v>
      </c>
      <c r="E72" t="s">
        <v>1767</v>
      </c>
      <c r="G72" s="411" t="s">
        <v>2866</v>
      </c>
      <c r="H72">
        <v>2000</v>
      </c>
      <c r="I72" s="415">
        <v>5</v>
      </c>
      <c r="K72" t="s">
        <v>2867</v>
      </c>
      <c r="L72" t="s">
        <v>2855</v>
      </c>
      <c r="O72" s="412">
        <f t="shared" si="2"/>
        <v>5.0000000000000001E-3</v>
      </c>
      <c r="Q72" s="414"/>
      <c r="T72">
        <v>1</v>
      </c>
      <c r="U72" t="s">
        <v>2871</v>
      </c>
      <c r="V72" t="s">
        <v>2872</v>
      </c>
    </row>
    <row r="73" spans="1:22" x14ac:dyDescent="0.25">
      <c r="A73" t="s">
        <v>2852</v>
      </c>
      <c r="E73" t="s">
        <v>1779</v>
      </c>
      <c r="G73" s="411" t="s">
        <v>2853</v>
      </c>
      <c r="H73">
        <v>2019</v>
      </c>
      <c r="I73" s="415">
        <v>42</v>
      </c>
      <c r="K73" t="s">
        <v>2854</v>
      </c>
      <c r="L73" t="s">
        <v>2855</v>
      </c>
      <c r="O73" s="412">
        <f t="shared" si="2"/>
        <v>4.2000000000000003E-2</v>
      </c>
      <c r="Q73" s="413">
        <f>IFERROR((I73/I74)^(1/(H73-H74)), "")</f>
        <v>0.95442088007831283</v>
      </c>
      <c r="R73" s="413"/>
      <c r="T73">
        <v>1</v>
      </c>
      <c r="U73" t="s">
        <v>2873</v>
      </c>
      <c r="V73" t="s">
        <v>805</v>
      </c>
    </row>
    <row r="74" spans="1:22" x14ac:dyDescent="0.25">
      <c r="A74" t="s">
        <v>2852</v>
      </c>
      <c r="E74" t="s">
        <v>1779</v>
      </c>
      <c r="G74" s="411" t="s">
        <v>2853</v>
      </c>
      <c r="H74">
        <v>2011</v>
      </c>
      <c r="I74" s="415">
        <v>61</v>
      </c>
      <c r="K74" t="s">
        <v>2854</v>
      </c>
      <c r="L74" t="s">
        <v>2855</v>
      </c>
      <c r="O74" s="412">
        <f t="shared" si="2"/>
        <v>6.0999999999999999E-2</v>
      </c>
      <c r="Q74" s="414"/>
      <c r="T74">
        <v>1</v>
      </c>
      <c r="U74" t="s">
        <v>2873</v>
      </c>
      <c r="V74" t="s">
        <v>805</v>
      </c>
    </row>
    <row r="75" spans="1:22" x14ac:dyDescent="0.25">
      <c r="A75" t="s">
        <v>2852</v>
      </c>
      <c r="E75" t="s">
        <v>1777</v>
      </c>
      <c r="G75" s="411" t="s">
        <v>2856</v>
      </c>
      <c r="H75">
        <v>2019</v>
      </c>
      <c r="I75" s="415">
        <v>157</v>
      </c>
      <c r="K75" t="s">
        <v>2857</v>
      </c>
      <c r="L75" t="s">
        <v>2855</v>
      </c>
      <c r="O75" s="412">
        <f t="shared" si="2"/>
        <v>0.157</v>
      </c>
      <c r="Q75" s="413">
        <f>IFERROR((I75/I76)^(1/(H75-H76)), "")</f>
        <v>0.96779569432634627</v>
      </c>
      <c r="R75" s="413"/>
      <c r="T75">
        <v>1</v>
      </c>
      <c r="U75" t="s">
        <v>2873</v>
      </c>
      <c r="V75" t="s">
        <v>805</v>
      </c>
    </row>
    <row r="76" spans="1:22" x14ac:dyDescent="0.25">
      <c r="A76" t="s">
        <v>2852</v>
      </c>
      <c r="E76" t="s">
        <v>1777</v>
      </c>
      <c r="G76" s="411" t="s">
        <v>2856</v>
      </c>
      <c r="H76">
        <v>2011</v>
      </c>
      <c r="I76" s="415">
        <v>204</v>
      </c>
      <c r="K76" t="s">
        <v>2857</v>
      </c>
      <c r="L76" t="s">
        <v>2855</v>
      </c>
      <c r="O76" s="412">
        <f t="shared" si="2"/>
        <v>0.20399999999999999</v>
      </c>
      <c r="Q76" s="414"/>
      <c r="T76">
        <v>1</v>
      </c>
      <c r="U76" t="s">
        <v>2873</v>
      </c>
      <c r="V76" t="s">
        <v>805</v>
      </c>
    </row>
    <row r="77" spans="1:22" x14ac:dyDescent="0.25">
      <c r="A77" t="s">
        <v>2852</v>
      </c>
      <c r="E77" t="s">
        <v>1775</v>
      </c>
      <c r="G77" s="411" t="s">
        <v>2858</v>
      </c>
      <c r="H77">
        <v>2019</v>
      </c>
      <c r="I77" s="415">
        <v>195</v>
      </c>
      <c r="K77" t="s">
        <v>2859</v>
      </c>
      <c r="L77" t="s">
        <v>2855</v>
      </c>
      <c r="O77" s="412">
        <f t="shared" si="2"/>
        <v>0.19500000000000001</v>
      </c>
      <c r="Q77" s="413">
        <f>IFERROR((I77/I78)^(1/(H77-H78)), "")</f>
        <v>1.0059240890265411</v>
      </c>
      <c r="R77" s="413"/>
      <c r="T77">
        <v>1</v>
      </c>
      <c r="U77" t="s">
        <v>2873</v>
      </c>
      <c r="V77" t="s">
        <v>805</v>
      </c>
    </row>
    <row r="78" spans="1:22" x14ac:dyDescent="0.25">
      <c r="A78" t="s">
        <v>2852</v>
      </c>
      <c r="E78" t="s">
        <v>1775</v>
      </c>
      <c r="G78" s="411" t="s">
        <v>2858</v>
      </c>
      <c r="H78">
        <v>2011</v>
      </c>
      <c r="I78" s="415">
        <v>186</v>
      </c>
      <c r="K78" t="s">
        <v>2859</v>
      </c>
      <c r="L78" t="s">
        <v>2855</v>
      </c>
      <c r="O78" s="412">
        <f t="shared" si="2"/>
        <v>0.186</v>
      </c>
      <c r="Q78" s="414"/>
      <c r="T78">
        <v>1</v>
      </c>
      <c r="U78" t="s">
        <v>2873</v>
      </c>
      <c r="V78" t="s">
        <v>805</v>
      </c>
    </row>
    <row r="79" spans="1:22" x14ac:dyDescent="0.25">
      <c r="A79" t="s">
        <v>2852</v>
      </c>
      <c r="E79" t="s">
        <v>1773</v>
      </c>
      <c r="G79" s="411" t="s">
        <v>2860</v>
      </c>
      <c r="H79">
        <v>2019</v>
      </c>
      <c r="I79" s="415">
        <v>144</v>
      </c>
      <c r="K79" t="s">
        <v>2861</v>
      </c>
      <c r="L79" t="s">
        <v>2855</v>
      </c>
      <c r="O79" s="412">
        <f t="shared" si="2"/>
        <v>0.14399999999999999</v>
      </c>
      <c r="Q79" s="413">
        <f>IFERROR((I79/I80)^(1/(H79-H80)), "")</f>
        <v>0.99164270513184261</v>
      </c>
      <c r="R79" s="413"/>
      <c r="T79">
        <v>1</v>
      </c>
      <c r="U79" t="s">
        <v>2873</v>
      </c>
      <c r="V79" t="s">
        <v>805</v>
      </c>
    </row>
    <row r="80" spans="1:22" x14ac:dyDescent="0.25">
      <c r="A80" t="s">
        <v>2852</v>
      </c>
      <c r="E80" t="s">
        <v>1773</v>
      </c>
      <c r="G80" s="411" t="s">
        <v>2860</v>
      </c>
      <c r="H80">
        <v>2011</v>
      </c>
      <c r="I80" s="415">
        <v>154</v>
      </c>
      <c r="K80" t="s">
        <v>2861</v>
      </c>
      <c r="L80" t="s">
        <v>2855</v>
      </c>
      <c r="O80" s="412">
        <f t="shared" si="2"/>
        <v>0.154</v>
      </c>
      <c r="Q80" s="414"/>
      <c r="T80">
        <v>1</v>
      </c>
      <c r="U80" t="s">
        <v>2873</v>
      </c>
      <c r="V80" t="s">
        <v>805</v>
      </c>
    </row>
    <row r="81" spans="1:22" x14ac:dyDescent="0.25">
      <c r="A81" t="s">
        <v>2852</v>
      </c>
      <c r="E81" t="s">
        <v>1771</v>
      </c>
      <c r="G81" s="411" t="s">
        <v>2862</v>
      </c>
      <c r="H81">
        <v>2019</v>
      </c>
      <c r="I81" s="415">
        <v>118</v>
      </c>
      <c r="K81" t="s">
        <v>2863</v>
      </c>
      <c r="L81" t="s">
        <v>2855</v>
      </c>
      <c r="O81" s="412">
        <f t="shared" si="2"/>
        <v>0.11799999999999999</v>
      </c>
      <c r="Q81" s="413">
        <f>IFERROR((I81/I82)^(1/(H81-H82)), "")</f>
        <v>0.98151101994666412</v>
      </c>
      <c r="R81" s="413"/>
      <c r="T81">
        <v>1</v>
      </c>
      <c r="U81" t="s">
        <v>2873</v>
      </c>
      <c r="V81" t="s">
        <v>805</v>
      </c>
    </row>
    <row r="82" spans="1:22" x14ac:dyDescent="0.25">
      <c r="A82" t="s">
        <v>2852</v>
      </c>
      <c r="E82" t="s">
        <v>1771</v>
      </c>
      <c r="G82" s="411" t="s">
        <v>2862</v>
      </c>
      <c r="H82">
        <v>2011</v>
      </c>
      <c r="I82" s="415">
        <v>137</v>
      </c>
      <c r="K82" t="s">
        <v>2863</v>
      </c>
      <c r="L82" t="s">
        <v>2855</v>
      </c>
      <c r="O82" s="412">
        <f t="shared" si="2"/>
        <v>0.13700000000000001</v>
      </c>
      <c r="Q82" s="414"/>
      <c r="T82">
        <v>1</v>
      </c>
      <c r="U82" t="s">
        <v>2873</v>
      </c>
      <c r="V82" t="s">
        <v>805</v>
      </c>
    </row>
    <row r="83" spans="1:22" x14ac:dyDescent="0.25">
      <c r="A83" t="s">
        <v>2852</v>
      </c>
      <c r="E83" t="s">
        <v>1769</v>
      </c>
      <c r="G83" s="411" t="s">
        <v>2864</v>
      </c>
      <c r="H83">
        <v>2019</v>
      </c>
      <c r="I83" s="415">
        <v>46</v>
      </c>
      <c r="K83" t="s">
        <v>2865</v>
      </c>
      <c r="L83" t="s">
        <v>2855</v>
      </c>
      <c r="O83" s="412">
        <f t="shared" si="2"/>
        <v>4.5999999999999999E-2</v>
      </c>
      <c r="Q83" s="413">
        <f>IFERROR((I83/I84)^(1/(H83-H84)), "")</f>
        <v>0.95231607419425801</v>
      </c>
      <c r="R83" s="413"/>
      <c r="T83">
        <v>1</v>
      </c>
      <c r="U83" t="s">
        <v>2873</v>
      </c>
      <c r="V83" t="s">
        <v>805</v>
      </c>
    </row>
    <row r="84" spans="1:22" x14ac:dyDescent="0.25">
      <c r="A84" t="s">
        <v>2852</v>
      </c>
      <c r="E84" t="s">
        <v>1769</v>
      </c>
      <c r="G84" s="411" t="s">
        <v>2864</v>
      </c>
      <c r="H84">
        <v>2011</v>
      </c>
      <c r="I84" s="415">
        <v>68</v>
      </c>
      <c r="K84" t="s">
        <v>2865</v>
      </c>
      <c r="L84" t="s">
        <v>2855</v>
      </c>
      <c r="O84" s="412">
        <f t="shared" si="2"/>
        <v>6.8000000000000005E-2</v>
      </c>
      <c r="Q84" s="413"/>
      <c r="T84">
        <v>1</v>
      </c>
      <c r="U84" t="s">
        <v>2873</v>
      </c>
      <c r="V84" t="s">
        <v>805</v>
      </c>
    </row>
    <row r="85" spans="1:22" x14ac:dyDescent="0.25">
      <c r="A85" t="s">
        <v>2852</v>
      </c>
      <c r="E85" t="s">
        <v>1767</v>
      </c>
      <c r="G85" s="411" t="s">
        <v>2866</v>
      </c>
      <c r="H85">
        <v>2016</v>
      </c>
      <c r="I85" s="415">
        <v>27</v>
      </c>
      <c r="K85" t="s">
        <v>2867</v>
      </c>
      <c r="L85" t="s">
        <v>2855</v>
      </c>
      <c r="O85" s="412">
        <f t="shared" si="2"/>
        <v>2.7E-2</v>
      </c>
      <c r="Q85" s="413">
        <f>IFERROR((I85/I86)^(1/(H85-H86)), "")</f>
        <v>1.0618587587949346</v>
      </c>
      <c r="T85">
        <v>1</v>
      </c>
      <c r="U85" t="s">
        <v>2873</v>
      </c>
      <c r="V85" t="s">
        <v>805</v>
      </c>
    </row>
    <row r="86" spans="1:22" x14ac:dyDescent="0.25">
      <c r="A86" t="s">
        <v>2852</v>
      </c>
      <c r="E86" t="s">
        <v>1767</v>
      </c>
      <c r="G86" s="411" t="s">
        <v>2866</v>
      </c>
      <c r="H86">
        <v>2011</v>
      </c>
      <c r="I86" s="415">
        <v>20</v>
      </c>
      <c r="K86" t="s">
        <v>2867</v>
      </c>
      <c r="L86" t="s">
        <v>2855</v>
      </c>
      <c r="O86" s="412">
        <f t="shared" si="2"/>
        <v>0.02</v>
      </c>
      <c r="Q86" s="414"/>
      <c r="T86">
        <v>1</v>
      </c>
      <c r="U86" t="s">
        <v>2873</v>
      </c>
      <c r="V86" t="s">
        <v>805</v>
      </c>
    </row>
    <row r="87" spans="1:22" x14ac:dyDescent="0.25">
      <c r="A87" t="s">
        <v>2852</v>
      </c>
      <c r="E87" t="s">
        <v>1779</v>
      </c>
      <c r="G87" s="411" t="s">
        <v>2853</v>
      </c>
      <c r="H87">
        <v>2019</v>
      </c>
      <c r="I87" s="415">
        <v>89</v>
      </c>
      <c r="K87" t="s">
        <v>2854</v>
      </c>
      <c r="L87" t="s">
        <v>2855</v>
      </c>
      <c r="O87" s="412">
        <f t="shared" si="2"/>
        <v>8.8999999999999996E-2</v>
      </c>
      <c r="Q87" s="413">
        <f>IFERROR((I87/I88)^(1/(H87-H88)), "")</f>
        <v>0.97723897298610929</v>
      </c>
      <c r="R87" s="413"/>
      <c r="T87">
        <v>1</v>
      </c>
      <c r="U87" t="s">
        <v>2874</v>
      </c>
      <c r="V87" t="s">
        <v>809</v>
      </c>
    </row>
    <row r="88" spans="1:22" x14ac:dyDescent="0.25">
      <c r="A88" t="s">
        <v>2852</v>
      </c>
      <c r="E88" t="s">
        <v>1779</v>
      </c>
      <c r="G88" s="411" t="s">
        <v>2853</v>
      </c>
      <c r="H88">
        <v>2011</v>
      </c>
      <c r="I88" s="415">
        <v>107</v>
      </c>
      <c r="K88" t="s">
        <v>2854</v>
      </c>
      <c r="L88" t="s">
        <v>2855</v>
      </c>
      <c r="O88" s="412">
        <f t="shared" si="2"/>
        <v>0.107</v>
      </c>
      <c r="Q88" s="414"/>
      <c r="T88">
        <v>1</v>
      </c>
      <c r="U88" t="s">
        <v>2874</v>
      </c>
      <c r="V88" t="s">
        <v>809</v>
      </c>
    </row>
    <row r="89" spans="1:22" x14ac:dyDescent="0.25">
      <c r="A89" t="s">
        <v>2852</v>
      </c>
      <c r="E89" t="s">
        <v>1777</v>
      </c>
      <c r="G89" s="411" t="s">
        <v>2856</v>
      </c>
      <c r="H89">
        <v>2019</v>
      </c>
      <c r="I89" s="415">
        <v>235</v>
      </c>
      <c r="K89" t="s">
        <v>2857</v>
      </c>
      <c r="L89" t="s">
        <v>2855</v>
      </c>
      <c r="O89" s="412">
        <f t="shared" si="2"/>
        <v>0.23499999999999999</v>
      </c>
      <c r="Q89" s="413">
        <f>IFERROR((I89/I90)^(1/(H89-H90)), "")</f>
        <v>0.99685353311678415</v>
      </c>
      <c r="R89" s="413"/>
      <c r="T89">
        <v>1</v>
      </c>
      <c r="U89" t="s">
        <v>2874</v>
      </c>
      <c r="V89" t="s">
        <v>809</v>
      </c>
    </row>
    <row r="90" spans="1:22" x14ac:dyDescent="0.25">
      <c r="A90" t="s">
        <v>2852</v>
      </c>
      <c r="E90" t="s">
        <v>1777</v>
      </c>
      <c r="G90" s="411" t="s">
        <v>2856</v>
      </c>
      <c r="H90">
        <v>2011</v>
      </c>
      <c r="I90" s="415">
        <v>241</v>
      </c>
      <c r="K90" t="s">
        <v>2857</v>
      </c>
      <c r="L90" t="s">
        <v>2855</v>
      </c>
      <c r="O90" s="412">
        <f t="shared" si="2"/>
        <v>0.24099999999999999</v>
      </c>
      <c r="Q90" s="414"/>
      <c r="T90">
        <v>1</v>
      </c>
      <c r="U90" t="s">
        <v>2874</v>
      </c>
      <c r="V90" t="s">
        <v>809</v>
      </c>
    </row>
    <row r="91" spans="1:22" x14ac:dyDescent="0.25">
      <c r="A91" t="s">
        <v>2852</v>
      </c>
      <c r="E91" t="s">
        <v>1775</v>
      </c>
      <c r="G91" s="411" t="s">
        <v>2858</v>
      </c>
      <c r="H91">
        <v>2019</v>
      </c>
      <c r="I91" s="415">
        <v>205</v>
      </c>
      <c r="K91" t="s">
        <v>2859</v>
      </c>
      <c r="L91" t="s">
        <v>2855</v>
      </c>
      <c r="O91" s="412">
        <f t="shared" si="2"/>
        <v>0.20499999999999999</v>
      </c>
      <c r="Q91" s="413">
        <f>IFERROR((I91/I92)^(1/(H91-H92)), "")</f>
        <v>0.95923160261985096</v>
      </c>
      <c r="R91" s="413"/>
      <c r="T91">
        <v>1</v>
      </c>
      <c r="U91" t="s">
        <v>2874</v>
      </c>
      <c r="V91" t="s">
        <v>809</v>
      </c>
    </row>
    <row r="92" spans="1:22" x14ac:dyDescent="0.25">
      <c r="A92" t="s">
        <v>2852</v>
      </c>
      <c r="E92" t="s">
        <v>1775</v>
      </c>
      <c r="G92" s="411" t="s">
        <v>2858</v>
      </c>
      <c r="H92">
        <v>2011</v>
      </c>
      <c r="I92" s="415">
        <v>286</v>
      </c>
      <c r="K92" t="s">
        <v>2859</v>
      </c>
      <c r="L92" t="s">
        <v>2855</v>
      </c>
      <c r="O92" s="412">
        <f t="shared" si="2"/>
        <v>0.28599999999999998</v>
      </c>
      <c r="Q92" s="414"/>
      <c r="T92">
        <v>1</v>
      </c>
      <c r="U92" t="s">
        <v>2874</v>
      </c>
      <c r="V92" t="s">
        <v>809</v>
      </c>
    </row>
    <row r="93" spans="1:22" x14ac:dyDescent="0.25">
      <c r="A93" t="s">
        <v>2852</v>
      </c>
      <c r="E93" t="s">
        <v>1773</v>
      </c>
      <c r="G93" s="411" t="s">
        <v>2860</v>
      </c>
      <c r="H93">
        <v>2019</v>
      </c>
      <c r="I93" s="415">
        <v>163</v>
      </c>
      <c r="K93" t="s">
        <v>2861</v>
      </c>
      <c r="L93" t="s">
        <v>2855</v>
      </c>
      <c r="O93" s="412">
        <f t="shared" si="2"/>
        <v>0.16300000000000001</v>
      </c>
      <c r="Q93" s="413">
        <f>IFERROR((I93/I94)^(1/(H93-H94)), "")</f>
        <v>0.96266330219938556</v>
      </c>
      <c r="R93" s="413"/>
      <c r="T93">
        <v>1</v>
      </c>
      <c r="U93" t="s">
        <v>2874</v>
      </c>
      <c r="V93" t="s">
        <v>809</v>
      </c>
    </row>
    <row r="94" spans="1:22" x14ac:dyDescent="0.25">
      <c r="A94" t="s">
        <v>2852</v>
      </c>
      <c r="E94" t="s">
        <v>1773</v>
      </c>
      <c r="G94" s="411" t="s">
        <v>2860</v>
      </c>
      <c r="H94">
        <v>2011</v>
      </c>
      <c r="I94" s="415">
        <v>221</v>
      </c>
      <c r="K94" t="s">
        <v>2861</v>
      </c>
      <c r="L94" t="s">
        <v>2855</v>
      </c>
      <c r="O94" s="412">
        <f t="shared" si="2"/>
        <v>0.221</v>
      </c>
      <c r="Q94" s="414"/>
      <c r="T94">
        <v>1</v>
      </c>
      <c r="U94" t="s">
        <v>2874</v>
      </c>
      <c r="V94" t="s">
        <v>809</v>
      </c>
    </row>
    <row r="95" spans="1:22" x14ac:dyDescent="0.25">
      <c r="A95" t="s">
        <v>2852</v>
      </c>
      <c r="E95" t="s">
        <v>1771</v>
      </c>
      <c r="G95" s="411" t="s">
        <v>2862</v>
      </c>
      <c r="H95">
        <v>2019</v>
      </c>
      <c r="I95" s="415">
        <v>113</v>
      </c>
      <c r="K95" t="s">
        <v>2863</v>
      </c>
      <c r="L95" t="s">
        <v>2855</v>
      </c>
      <c r="O95" s="412">
        <f t="shared" si="2"/>
        <v>0.113</v>
      </c>
      <c r="Q95" s="413">
        <f>IFERROR((I95/I96)^(1/(H95-H96)), "")</f>
        <v>0.95745816617065971</v>
      </c>
      <c r="R95" s="413"/>
      <c r="T95">
        <v>1</v>
      </c>
      <c r="U95" t="s">
        <v>2874</v>
      </c>
      <c r="V95" t="s">
        <v>809</v>
      </c>
    </row>
    <row r="96" spans="1:22" x14ac:dyDescent="0.25">
      <c r="A96" t="s">
        <v>2852</v>
      </c>
      <c r="E96" t="s">
        <v>1771</v>
      </c>
      <c r="G96" s="411" t="s">
        <v>2862</v>
      </c>
      <c r="H96">
        <v>2011</v>
      </c>
      <c r="I96" s="415">
        <v>160</v>
      </c>
      <c r="K96" t="s">
        <v>2863</v>
      </c>
      <c r="L96" t="s">
        <v>2855</v>
      </c>
      <c r="O96" s="412">
        <f t="shared" si="2"/>
        <v>0.16</v>
      </c>
      <c r="Q96" s="414"/>
      <c r="T96">
        <v>1</v>
      </c>
      <c r="U96" t="s">
        <v>2874</v>
      </c>
      <c r="V96" t="s">
        <v>809</v>
      </c>
    </row>
    <row r="97" spans="1:22" x14ac:dyDescent="0.25">
      <c r="A97" t="s">
        <v>2852</v>
      </c>
      <c r="E97" t="s">
        <v>1769</v>
      </c>
      <c r="G97" s="411" t="s">
        <v>2864</v>
      </c>
      <c r="H97">
        <v>2019</v>
      </c>
      <c r="I97" s="415">
        <v>54</v>
      </c>
      <c r="K97" t="s">
        <v>2865</v>
      </c>
      <c r="L97" t="s">
        <v>2855</v>
      </c>
      <c r="O97" s="412">
        <f t="shared" si="2"/>
        <v>5.3999999999999999E-2</v>
      </c>
      <c r="Q97" s="413">
        <f>IFERROR((I97/I98)^(1/(H97-H98)), "")</f>
        <v>0.95976865458264549</v>
      </c>
      <c r="R97" s="413"/>
      <c r="T97">
        <v>1</v>
      </c>
      <c r="U97" t="s">
        <v>2874</v>
      </c>
      <c r="V97" t="s">
        <v>809</v>
      </c>
    </row>
    <row r="98" spans="1:22" x14ac:dyDescent="0.25">
      <c r="A98" t="s">
        <v>2852</v>
      </c>
      <c r="E98" t="s">
        <v>1769</v>
      </c>
      <c r="G98" s="411" t="s">
        <v>2864</v>
      </c>
      <c r="H98">
        <v>2011</v>
      </c>
      <c r="I98" s="415">
        <v>75</v>
      </c>
      <c r="K98" t="s">
        <v>2865</v>
      </c>
      <c r="L98" t="s">
        <v>2855</v>
      </c>
      <c r="O98" s="412">
        <f t="shared" si="2"/>
        <v>7.4999999999999997E-2</v>
      </c>
      <c r="Q98" s="413"/>
      <c r="T98">
        <v>1</v>
      </c>
      <c r="U98" t="s">
        <v>2874</v>
      </c>
      <c r="V98" t="s">
        <v>809</v>
      </c>
    </row>
    <row r="99" spans="1:22" x14ac:dyDescent="0.25">
      <c r="A99" t="s">
        <v>2852</v>
      </c>
      <c r="E99" t="s">
        <v>1767</v>
      </c>
      <c r="G99" s="411" t="s">
        <v>2866</v>
      </c>
      <c r="H99">
        <v>2016</v>
      </c>
      <c r="I99" s="415">
        <v>25</v>
      </c>
      <c r="K99" t="s">
        <v>2867</v>
      </c>
      <c r="L99" t="s">
        <v>2855</v>
      </c>
      <c r="O99" s="412">
        <f t="shared" si="2"/>
        <v>2.5000000000000001E-2</v>
      </c>
      <c r="Q99" s="413">
        <f>IFERROR((I99/I100)^(1/(H99-H100)), "")</f>
        <v>0.92458673196759678</v>
      </c>
      <c r="T99">
        <v>1</v>
      </c>
      <c r="U99" t="s">
        <v>2874</v>
      </c>
      <c r="V99" t="s">
        <v>809</v>
      </c>
    </row>
    <row r="100" spans="1:22" x14ac:dyDescent="0.25">
      <c r="A100" t="s">
        <v>2852</v>
      </c>
      <c r="E100" t="s">
        <v>1767</v>
      </c>
      <c r="G100" s="411" t="s">
        <v>2866</v>
      </c>
      <c r="H100">
        <v>2011</v>
      </c>
      <c r="I100" s="415">
        <v>37</v>
      </c>
      <c r="K100" t="s">
        <v>2867</v>
      </c>
      <c r="L100" t="s">
        <v>2855</v>
      </c>
      <c r="O100" s="412">
        <f t="shared" si="2"/>
        <v>3.6999999999999998E-2</v>
      </c>
      <c r="Q100" s="414"/>
      <c r="T100">
        <v>1</v>
      </c>
      <c r="U100" t="s">
        <v>2874</v>
      </c>
      <c r="V100" t="s">
        <v>809</v>
      </c>
    </row>
    <row r="101" spans="1:22" x14ac:dyDescent="0.25">
      <c r="A101" t="s">
        <v>2852</v>
      </c>
      <c r="E101" t="s">
        <v>1779</v>
      </c>
      <c r="G101" s="411" t="s">
        <v>2853</v>
      </c>
      <c r="H101">
        <v>2019</v>
      </c>
      <c r="I101" s="415">
        <v>95</v>
      </c>
      <c r="K101" t="s">
        <v>2854</v>
      </c>
      <c r="L101" t="s">
        <v>2855</v>
      </c>
      <c r="O101" s="412">
        <f t="shared" si="2"/>
        <v>9.5000000000000001E-2</v>
      </c>
      <c r="Q101" s="413">
        <f>IFERROR((I101/I102)^(1/(H101-H102)), "")</f>
        <v>0.97429891282911052</v>
      </c>
      <c r="R101" s="413"/>
      <c r="T101">
        <v>1</v>
      </c>
      <c r="U101" t="s">
        <v>2875</v>
      </c>
      <c r="V101" t="s">
        <v>2876</v>
      </c>
    </row>
    <row r="102" spans="1:22" x14ac:dyDescent="0.25">
      <c r="A102" t="s">
        <v>2852</v>
      </c>
      <c r="E102" t="s">
        <v>1779</v>
      </c>
      <c r="G102" s="411" t="s">
        <v>2853</v>
      </c>
      <c r="H102">
        <v>2011</v>
      </c>
      <c r="I102" s="415">
        <v>117</v>
      </c>
      <c r="K102" t="s">
        <v>2854</v>
      </c>
      <c r="L102" t="s">
        <v>2855</v>
      </c>
      <c r="O102" s="412">
        <f t="shared" si="2"/>
        <v>0.11700000000000001</v>
      </c>
      <c r="Q102" s="414"/>
      <c r="T102">
        <v>1</v>
      </c>
      <c r="U102" t="s">
        <v>2875</v>
      </c>
      <c r="V102" t="s">
        <v>2876</v>
      </c>
    </row>
    <row r="103" spans="1:22" x14ac:dyDescent="0.25">
      <c r="A103" t="s">
        <v>2852</v>
      </c>
      <c r="E103" t="s">
        <v>1777</v>
      </c>
      <c r="G103" s="411" t="s">
        <v>2856</v>
      </c>
      <c r="H103">
        <v>2019</v>
      </c>
      <c r="I103" s="415">
        <v>264</v>
      </c>
      <c r="K103" t="s">
        <v>2857</v>
      </c>
      <c r="L103" t="s">
        <v>2855</v>
      </c>
      <c r="O103" s="412">
        <f t="shared" si="2"/>
        <v>0.26400000000000001</v>
      </c>
      <c r="Q103" s="413">
        <f>IFERROR((I103/I104)^(1/(H103-H104)), "")</f>
        <v>0.98373852368882952</v>
      </c>
      <c r="R103" s="413"/>
      <c r="T103">
        <v>1</v>
      </c>
      <c r="U103" t="s">
        <v>2875</v>
      </c>
      <c r="V103" t="s">
        <v>2876</v>
      </c>
    </row>
    <row r="104" spans="1:22" x14ac:dyDescent="0.25">
      <c r="A104" t="s">
        <v>2852</v>
      </c>
      <c r="E104" t="s">
        <v>1777</v>
      </c>
      <c r="G104" s="411" t="s">
        <v>2856</v>
      </c>
      <c r="H104">
        <v>2011</v>
      </c>
      <c r="I104" s="415">
        <v>301</v>
      </c>
      <c r="K104" t="s">
        <v>2857</v>
      </c>
      <c r="L104" t="s">
        <v>2855</v>
      </c>
      <c r="O104" s="412">
        <f t="shared" si="2"/>
        <v>0.30099999999999999</v>
      </c>
      <c r="Q104" s="414"/>
      <c r="T104">
        <v>1</v>
      </c>
      <c r="U104" t="s">
        <v>2875</v>
      </c>
      <c r="V104" t="s">
        <v>2876</v>
      </c>
    </row>
    <row r="105" spans="1:22" x14ac:dyDescent="0.25">
      <c r="A105" t="s">
        <v>2852</v>
      </c>
      <c r="E105" t="s">
        <v>1775</v>
      </c>
      <c r="G105" s="411" t="s">
        <v>2858</v>
      </c>
      <c r="H105">
        <v>2019</v>
      </c>
      <c r="I105" s="415">
        <v>274</v>
      </c>
      <c r="K105" t="s">
        <v>2859</v>
      </c>
      <c r="L105" t="s">
        <v>2855</v>
      </c>
      <c r="O105" s="412">
        <f t="shared" si="2"/>
        <v>0.27400000000000002</v>
      </c>
      <c r="Q105" s="413">
        <f>IFERROR((I105/I106)^(1/(H105-H106)), "")</f>
        <v>0.98078784072945902</v>
      </c>
      <c r="R105" s="413"/>
      <c r="T105">
        <v>1</v>
      </c>
      <c r="U105" t="s">
        <v>2875</v>
      </c>
      <c r="V105" t="s">
        <v>2876</v>
      </c>
    </row>
    <row r="106" spans="1:22" x14ac:dyDescent="0.25">
      <c r="A106" t="s">
        <v>2852</v>
      </c>
      <c r="E106" t="s">
        <v>1775</v>
      </c>
      <c r="G106" s="411" t="s">
        <v>2858</v>
      </c>
      <c r="H106">
        <v>2011</v>
      </c>
      <c r="I106" s="415">
        <v>320</v>
      </c>
      <c r="K106" t="s">
        <v>2859</v>
      </c>
      <c r="L106" t="s">
        <v>2855</v>
      </c>
      <c r="O106" s="412">
        <f t="shared" si="2"/>
        <v>0.32</v>
      </c>
      <c r="Q106" s="414"/>
      <c r="T106">
        <v>1</v>
      </c>
      <c r="U106" t="s">
        <v>2875</v>
      </c>
      <c r="V106" t="s">
        <v>2876</v>
      </c>
    </row>
    <row r="107" spans="1:22" x14ac:dyDescent="0.25">
      <c r="A107" t="s">
        <v>2852</v>
      </c>
      <c r="E107" t="s">
        <v>1773</v>
      </c>
      <c r="G107" s="411" t="s">
        <v>2860</v>
      </c>
      <c r="H107">
        <v>2019</v>
      </c>
      <c r="I107" s="415">
        <v>243</v>
      </c>
      <c r="K107" t="s">
        <v>2861</v>
      </c>
      <c r="L107" t="s">
        <v>2855</v>
      </c>
      <c r="O107" s="412">
        <f t="shared" si="2"/>
        <v>0.24299999999999999</v>
      </c>
      <c r="Q107" s="413">
        <f>IFERROR((I107/I108)^(1/(H107-H108)), "")</f>
        <v>0.97319510609944904</v>
      </c>
      <c r="R107" s="413"/>
      <c r="T107">
        <v>1</v>
      </c>
      <c r="U107" t="s">
        <v>2875</v>
      </c>
      <c r="V107" t="s">
        <v>2876</v>
      </c>
    </row>
    <row r="108" spans="1:22" x14ac:dyDescent="0.25">
      <c r="A108" t="s">
        <v>2852</v>
      </c>
      <c r="E108" t="s">
        <v>1773</v>
      </c>
      <c r="G108" s="411" t="s">
        <v>2860</v>
      </c>
      <c r="H108">
        <v>2011</v>
      </c>
      <c r="I108" s="415">
        <v>302</v>
      </c>
      <c r="K108" t="s">
        <v>2861</v>
      </c>
      <c r="L108" t="s">
        <v>2855</v>
      </c>
      <c r="O108" s="412">
        <f t="shared" si="2"/>
        <v>0.30199999999999999</v>
      </c>
      <c r="Q108" s="414"/>
      <c r="T108">
        <v>1</v>
      </c>
      <c r="U108" t="s">
        <v>2875</v>
      </c>
      <c r="V108" t="s">
        <v>2876</v>
      </c>
    </row>
    <row r="109" spans="1:22" x14ac:dyDescent="0.25">
      <c r="A109" t="s">
        <v>2852</v>
      </c>
      <c r="E109" t="s">
        <v>1771</v>
      </c>
      <c r="G109" s="411" t="s">
        <v>2862</v>
      </c>
      <c r="H109">
        <v>2019</v>
      </c>
      <c r="I109" s="415">
        <v>194</v>
      </c>
      <c r="K109" t="s">
        <v>2863</v>
      </c>
      <c r="L109" t="s">
        <v>2855</v>
      </c>
      <c r="O109" s="412">
        <f t="shared" si="2"/>
        <v>0.19400000000000001</v>
      </c>
      <c r="Q109" s="413">
        <f>IFERROR((I109/I110)^(1/(H109-H110)), "")</f>
        <v>1.0012961877055229</v>
      </c>
      <c r="R109" s="413"/>
      <c r="T109">
        <v>1</v>
      </c>
      <c r="U109" t="s">
        <v>2875</v>
      </c>
      <c r="V109" t="s">
        <v>2876</v>
      </c>
    </row>
    <row r="110" spans="1:22" x14ac:dyDescent="0.25">
      <c r="A110" t="s">
        <v>2852</v>
      </c>
      <c r="E110" t="s">
        <v>1771</v>
      </c>
      <c r="G110" s="411" t="s">
        <v>2862</v>
      </c>
      <c r="H110">
        <v>2011</v>
      </c>
      <c r="I110" s="415">
        <v>192</v>
      </c>
      <c r="K110" t="s">
        <v>2863</v>
      </c>
      <c r="L110" t="s">
        <v>2855</v>
      </c>
      <c r="O110" s="412">
        <f t="shared" si="2"/>
        <v>0.192</v>
      </c>
      <c r="Q110" s="414"/>
      <c r="T110">
        <v>1</v>
      </c>
      <c r="U110" t="s">
        <v>2875</v>
      </c>
      <c r="V110" t="s">
        <v>2876</v>
      </c>
    </row>
    <row r="111" spans="1:22" x14ac:dyDescent="0.25">
      <c r="A111" t="s">
        <v>2852</v>
      </c>
      <c r="E111" t="s">
        <v>1769</v>
      </c>
      <c r="G111" s="411" t="s">
        <v>2864</v>
      </c>
      <c r="H111">
        <v>2016</v>
      </c>
      <c r="I111" s="415">
        <v>85</v>
      </c>
      <c r="K111" t="s">
        <v>2865</v>
      </c>
      <c r="L111" t="s">
        <v>2855</v>
      </c>
      <c r="O111" s="412">
        <f t="shared" si="2"/>
        <v>8.5000000000000006E-2</v>
      </c>
      <c r="Q111" s="413">
        <f>IFERROR((I111/I112)^(1/(H111-H112)), "")</f>
        <v>0.8974561003782201</v>
      </c>
      <c r="T111">
        <v>1</v>
      </c>
      <c r="U111" t="s">
        <v>2875</v>
      </c>
      <c r="V111" t="s">
        <v>2876</v>
      </c>
    </row>
    <row r="112" spans="1:22" x14ac:dyDescent="0.25">
      <c r="A112" t="s">
        <v>2852</v>
      </c>
      <c r="E112" t="s">
        <v>1769</v>
      </c>
      <c r="G112" s="411" t="s">
        <v>2864</v>
      </c>
      <c r="H112">
        <v>2011</v>
      </c>
      <c r="I112" s="415">
        <v>146</v>
      </c>
      <c r="K112" t="s">
        <v>2865</v>
      </c>
      <c r="L112" t="s">
        <v>2855</v>
      </c>
      <c r="O112" s="412">
        <f t="shared" si="2"/>
        <v>0.14599999999999999</v>
      </c>
      <c r="Q112" s="414"/>
      <c r="T112">
        <v>1</v>
      </c>
      <c r="U112" t="s">
        <v>2875</v>
      </c>
      <c r="V112" t="s">
        <v>2876</v>
      </c>
    </row>
    <row r="113" spans="1:22" x14ac:dyDescent="0.25">
      <c r="A113" t="s">
        <v>2852</v>
      </c>
      <c r="E113" t="s">
        <v>1767</v>
      </c>
      <c r="G113" s="411" t="s">
        <v>2866</v>
      </c>
      <c r="H113">
        <v>2016</v>
      </c>
      <c r="I113" s="415">
        <v>0</v>
      </c>
      <c r="K113" t="s">
        <v>2877</v>
      </c>
      <c r="L113" t="s">
        <v>2855</v>
      </c>
      <c r="O113" s="412">
        <f t="shared" si="2"/>
        <v>0</v>
      </c>
      <c r="Q113" s="414">
        <v>1</v>
      </c>
      <c r="T113">
        <v>1</v>
      </c>
      <c r="U113" t="s">
        <v>2875</v>
      </c>
      <c r="V113" t="s">
        <v>2876</v>
      </c>
    </row>
    <row r="114" spans="1:22" x14ac:dyDescent="0.25">
      <c r="A114" t="s">
        <v>2852</v>
      </c>
      <c r="E114" t="s">
        <v>1779</v>
      </c>
      <c r="G114" s="411" t="s">
        <v>2853</v>
      </c>
      <c r="H114">
        <v>2019</v>
      </c>
      <c r="I114" s="415">
        <v>73</v>
      </c>
      <c r="K114" t="s">
        <v>2854</v>
      </c>
      <c r="L114" t="s">
        <v>2855</v>
      </c>
      <c r="O114" s="412">
        <f t="shared" si="2"/>
        <v>7.2999999999999995E-2</v>
      </c>
      <c r="Q114" s="413">
        <f>IFERROR((I114/I115)^(1/(H114-H115)), "")</f>
        <v>0.92100707936104054</v>
      </c>
      <c r="R114" s="413"/>
      <c r="T114">
        <v>1</v>
      </c>
      <c r="U114" t="s">
        <v>2878</v>
      </c>
      <c r="V114" t="s">
        <v>2879</v>
      </c>
    </row>
    <row r="115" spans="1:22" x14ac:dyDescent="0.25">
      <c r="A115" t="s">
        <v>2852</v>
      </c>
      <c r="E115" t="s">
        <v>1779</v>
      </c>
      <c r="G115" s="411" t="s">
        <v>2853</v>
      </c>
      <c r="H115">
        <v>2011</v>
      </c>
      <c r="I115" s="415">
        <v>141</v>
      </c>
      <c r="K115" t="s">
        <v>2854</v>
      </c>
      <c r="L115" t="s">
        <v>2855</v>
      </c>
      <c r="O115" s="412">
        <f t="shared" si="2"/>
        <v>0.14099999999999999</v>
      </c>
      <c r="Q115" s="414"/>
      <c r="T115">
        <v>1</v>
      </c>
      <c r="U115" t="s">
        <v>2878</v>
      </c>
      <c r="V115" t="s">
        <v>2879</v>
      </c>
    </row>
    <row r="116" spans="1:22" x14ac:dyDescent="0.25">
      <c r="A116" t="s">
        <v>2852</v>
      </c>
      <c r="E116" t="s">
        <v>1777</v>
      </c>
      <c r="G116" s="411" t="s">
        <v>2856</v>
      </c>
      <c r="H116">
        <v>2019</v>
      </c>
      <c r="I116" s="415">
        <v>248</v>
      </c>
      <c r="K116" t="s">
        <v>2857</v>
      </c>
      <c r="L116" t="s">
        <v>2855</v>
      </c>
      <c r="O116" s="412">
        <f t="shared" si="2"/>
        <v>0.248</v>
      </c>
      <c r="Q116" s="413">
        <f>IFERROR((I116/I117)^(1/(H116-H117)), "")</f>
        <v>1.0122403503324773</v>
      </c>
      <c r="R116" s="413"/>
      <c r="T116">
        <v>1</v>
      </c>
      <c r="U116" t="s">
        <v>2878</v>
      </c>
      <c r="V116" t="s">
        <v>2879</v>
      </c>
    </row>
    <row r="117" spans="1:22" x14ac:dyDescent="0.25">
      <c r="A117" t="s">
        <v>2852</v>
      </c>
      <c r="E117" t="s">
        <v>1777</v>
      </c>
      <c r="G117" s="411" t="s">
        <v>2856</v>
      </c>
      <c r="H117">
        <v>2011</v>
      </c>
      <c r="I117" s="415">
        <v>225</v>
      </c>
      <c r="K117" t="s">
        <v>2857</v>
      </c>
      <c r="L117" t="s">
        <v>2855</v>
      </c>
      <c r="O117" s="412">
        <f t="shared" si="2"/>
        <v>0.22500000000000001</v>
      </c>
      <c r="Q117" s="414"/>
      <c r="T117">
        <v>1</v>
      </c>
      <c r="U117" t="s">
        <v>2878</v>
      </c>
      <c r="V117" t="s">
        <v>2879</v>
      </c>
    </row>
    <row r="118" spans="1:22" x14ac:dyDescent="0.25">
      <c r="A118" t="s">
        <v>2852</v>
      </c>
      <c r="E118" t="s">
        <v>1775</v>
      </c>
      <c r="G118" s="411" t="s">
        <v>2858</v>
      </c>
      <c r="H118">
        <v>2019</v>
      </c>
      <c r="I118" s="415">
        <v>214</v>
      </c>
      <c r="K118" t="s">
        <v>2859</v>
      </c>
      <c r="L118" t="s">
        <v>2855</v>
      </c>
      <c r="O118" s="412">
        <f t="shared" si="2"/>
        <v>0.214</v>
      </c>
      <c r="Q118" s="413">
        <f>IFERROR((I118/I119)^(1/(H118-H119)), "")</f>
        <v>0.99102758280210379</v>
      </c>
      <c r="R118" s="413"/>
      <c r="T118">
        <v>1</v>
      </c>
      <c r="U118" t="s">
        <v>2878</v>
      </c>
      <c r="V118" t="s">
        <v>2879</v>
      </c>
    </row>
    <row r="119" spans="1:22" x14ac:dyDescent="0.25">
      <c r="A119" t="s">
        <v>2852</v>
      </c>
      <c r="E119" t="s">
        <v>1775</v>
      </c>
      <c r="G119" s="411" t="s">
        <v>2858</v>
      </c>
      <c r="H119">
        <v>2011</v>
      </c>
      <c r="I119" s="415">
        <v>230</v>
      </c>
      <c r="K119" t="s">
        <v>2859</v>
      </c>
      <c r="L119" t="s">
        <v>2855</v>
      </c>
      <c r="O119" s="412">
        <f t="shared" si="2"/>
        <v>0.23</v>
      </c>
      <c r="Q119" s="414"/>
      <c r="T119">
        <v>1</v>
      </c>
      <c r="U119" t="s">
        <v>2878</v>
      </c>
      <c r="V119" t="s">
        <v>2879</v>
      </c>
    </row>
    <row r="120" spans="1:22" x14ac:dyDescent="0.25">
      <c r="A120" t="s">
        <v>2852</v>
      </c>
      <c r="E120" t="s">
        <v>1773</v>
      </c>
      <c r="G120" s="411" t="s">
        <v>2860</v>
      </c>
      <c r="H120">
        <v>2019</v>
      </c>
      <c r="I120" s="415">
        <v>169</v>
      </c>
      <c r="K120" t="s">
        <v>2861</v>
      </c>
      <c r="L120" t="s">
        <v>2855</v>
      </c>
      <c r="O120" s="412">
        <f t="shared" si="2"/>
        <v>0.16900000000000001</v>
      </c>
      <c r="Q120" s="413">
        <f>IFERROR((I120/I121)^(1/(H120-H121)), "")</f>
        <v>0.96812252252223585</v>
      </c>
      <c r="R120" s="413"/>
      <c r="T120">
        <v>1</v>
      </c>
      <c r="U120" t="s">
        <v>2878</v>
      </c>
      <c r="V120" t="s">
        <v>2879</v>
      </c>
    </row>
    <row r="121" spans="1:22" x14ac:dyDescent="0.25">
      <c r="A121" t="s">
        <v>2852</v>
      </c>
      <c r="E121" t="s">
        <v>1773</v>
      </c>
      <c r="G121" s="411" t="s">
        <v>2860</v>
      </c>
      <c r="H121">
        <v>2011</v>
      </c>
      <c r="I121" s="415">
        <v>219</v>
      </c>
      <c r="K121" t="s">
        <v>2861</v>
      </c>
      <c r="L121" t="s">
        <v>2855</v>
      </c>
      <c r="O121" s="412">
        <f t="shared" si="2"/>
        <v>0.219</v>
      </c>
      <c r="Q121" s="414"/>
      <c r="T121">
        <v>1</v>
      </c>
      <c r="U121" t="s">
        <v>2878</v>
      </c>
      <c r="V121" t="s">
        <v>2879</v>
      </c>
    </row>
    <row r="122" spans="1:22" x14ac:dyDescent="0.25">
      <c r="A122" t="s">
        <v>2852</v>
      </c>
      <c r="E122" t="s">
        <v>1771</v>
      </c>
      <c r="G122" s="411" t="s">
        <v>2862</v>
      </c>
      <c r="H122">
        <v>2019</v>
      </c>
      <c r="I122" s="415">
        <v>127</v>
      </c>
      <c r="K122" t="s">
        <v>2863</v>
      </c>
      <c r="L122" t="s">
        <v>2855</v>
      </c>
      <c r="O122" s="412">
        <f t="shared" si="2"/>
        <v>0.127</v>
      </c>
      <c r="Q122" s="413">
        <f>IFERROR((I122/I123)^(1/(H122-H123)), "")</f>
        <v>0.99902008324967195</v>
      </c>
      <c r="R122" s="413"/>
      <c r="T122">
        <v>1</v>
      </c>
      <c r="U122" t="s">
        <v>2878</v>
      </c>
      <c r="V122" t="s">
        <v>2879</v>
      </c>
    </row>
    <row r="123" spans="1:22" x14ac:dyDescent="0.25">
      <c r="A123" t="s">
        <v>2852</v>
      </c>
      <c r="E123" t="s">
        <v>1771</v>
      </c>
      <c r="G123" s="411" t="s">
        <v>2862</v>
      </c>
      <c r="H123">
        <v>2011</v>
      </c>
      <c r="I123" s="415">
        <v>128</v>
      </c>
      <c r="K123" t="s">
        <v>2863</v>
      </c>
      <c r="L123" t="s">
        <v>2855</v>
      </c>
      <c r="O123" s="412">
        <f t="shared" si="2"/>
        <v>0.128</v>
      </c>
      <c r="Q123" s="414"/>
      <c r="T123">
        <v>1</v>
      </c>
      <c r="U123" t="s">
        <v>2878</v>
      </c>
      <c r="V123" t="s">
        <v>2879</v>
      </c>
    </row>
    <row r="124" spans="1:22" x14ac:dyDescent="0.25">
      <c r="A124" t="s">
        <v>2852</v>
      </c>
      <c r="E124" t="s">
        <v>1769</v>
      </c>
      <c r="G124" s="411" t="s">
        <v>2864</v>
      </c>
      <c r="H124">
        <v>2019</v>
      </c>
      <c r="I124" s="415">
        <v>66</v>
      </c>
      <c r="K124" t="s">
        <v>2865</v>
      </c>
      <c r="L124" t="s">
        <v>2855</v>
      </c>
      <c r="O124" s="412">
        <f t="shared" si="2"/>
        <v>6.6000000000000003E-2</v>
      </c>
      <c r="Q124" s="413">
        <f>IFERROR((I124/I125)^(1/(H124-H125)), "")</f>
        <v>0.98747846761616642</v>
      </c>
      <c r="R124" s="413"/>
      <c r="T124">
        <v>1</v>
      </c>
      <c r="U124" t="s">
        <v>2878</v>
      </c>
      <c r="V124" t="s">
        <v>2879</v>
      </c>
    </row>
    <row r="125" spans="1:22" x14ac:dyDescent="0.25">
      <c r="A125" t="s">
        <v>2852</v>
      </c>
      <c r="E125" t="s">
        <v>1769</v>
      </c>
      <c r="G125" s="411" t="s">
        <v>2864</v>
      </c>
      <c r="H125">
        <v>2011</v>
      </c>
      <c r="I125" s="415">
        <v>73</v>
      </c>
      <c r="K125" t="s">
        <v>2865</v>
      </c>
      <c r="L125" t="s">
        <v>2855</v>
      </c>
      <c r="O125" s="412">
        <f t="shared" si="2"/>
        <v>7.2999999999999995E-2</v>
      </c>
      <c r="Q125" s="414"/>
      <c r="T125">
        <v>1</v>
      </c>
      <c r="U125" t="s">
        <v>2878</v>
      </c>
      <c r="V125" t="s">
        <v>2879</v>
      </c>
    </row>
    <row r="126" spans="1:22" x14ac:dyDescent="0.25">
      <c r="A126" t="s">
        <v>2852</v>
      </c>
      <c r="E126" t="s">
        <v>1767</v>
      </c>
      <c r="G126" s="411" t="s">
        <v>2866</v>
      </c>
      <c r="H126">
        <v>2011</v>
      </c>
      <c r="I126" s="415">
        <v>22</v>
      </c>
      <c r="K126" t="s">
        <v>2867</v>
      </c>
      <c r="L126" t="s">
        <v>2855</v>
      </c>
      <c r="O126" s="412">
        <f t="shared" si="2"/>
        <v>2.1999999999999999E-2</v>
      </c>
      <c r="Q126" s="413">
        <v>1</v>
      </c>
      <c r="T126">
        <v>1</v>
      </c>
      <c r="U126" t="s">
        <v>2878</v>
      </c>
      <c r="V126" t="s">
        <v>2879</v>
      </c>
    </row>
    <row r="127" spans="1:22" x14ac:dyDescent="0.25">
      <c r="A127" t="s">
        <v>2852</v>
      </c>
      <c r="E127" t="s">
        <v>1779</v>
      </c>
      <c r="G127" s="411" t="s">
        <v>2853</v>
      </c>
      <c r="H127">
        <v>2019</v>
      </c>
      <c r="I127" s="415">
        <v>73</v>
      </c>
      <c r="K127" t="s">
        <v>2854</v>
      </c>
      <c r="L127" t="s">
        <v>2855</v>
      </c>
      <c r="O127" s="412">
        <f t="shared" si="2"/>
        <v>7.2999999999999995E-2</v>
      </c>
      <c r="Q127" s="413">
        <f>IFERROR((I127/I128)^(1/(H127-H128)), "")</f>
        <v>1.0146147881626517</v>
      </c>
      <c r="R127" s="413"/>
      <c r="T127">
        <v>1</v>
      </c>
      <c r="U127" t="s">
        <v>2880</v>
      </c>
      <c r="V127" t="s">
        <v>2881</v>
      </c>
    </row>
    <row r="128" spans="1:22" x14ac:dyDescent="0.25">
      <c r="A128" t="s">
        <v>2852</v>
      </c>
      <c r="E128" t="s">
        <v>1779</v>
      </c>
      <c r="G128" s="411" t="s">
        <v>2853</v>
      </c>
      <c r="H128">
        <v>2011</v>
      </c>
      <c r="I128" s="415">
        <v>65</v>
      </c>
      <c r="K128" t="s">
        <v>2854</v>
      </c>
      <c r="L128" t="s">
        <v>2855</v>
      </c>
      <c r="O128" s="412">
        <f t="shared" si="2"/>
        <v>6.5000000000000002E-2</v>
      </c>
      <c r="Q128" s="414"/>
      <c r="T128">
        <v>1</v>
      </c>
      <c r="U128" t="s">
        <v>2880</v>
      </c>
      <c r="V128" t="s">
        <v>2881</v>
      </c>
    </row>
    <row r="129" spans="1:22" x14ac:dyDescent="0.25">
      <c r="A129" t="s">
        <v>2852</v>
      </c>
      <c r="E129" t="s">
        <v>1777</v>
      </c>
      <c r="G129" s="411" t="s">
        <v>2856</v>
      </c>
      <c r="H129">
        <v>2019</v>
      </c>
      <c r="I129" s="415">
        <v>181</v>
      </c>
      <c r="K129" t="s">
        <v>2857</v>
      </c>
      <c r="L129" t="s">
        <v>2855</v>
      </c>
      <c r="O129" s="412">
        <f t="shared" si="2"/>
        <v>0.18099999999999999</v>
      </c>
      <c r="Q129" s="413">
        <f>IFERROR((I129/I130)^(1/(H129-H130)), "")</f>
        <v>1.0020913689895239</v>
      </c>
      <c r="R129" s="413"/>
      <c r="T129">
        <v>1</v>
      </c>
      <c r="U129" t="s">
        <v>2880</v>
      </c>
      <c r="V129" t="s">
        <v>2881</v>
      </c>
    </row>
    <row r="130" spans="1:22" x14ac:dyDescent="0.25">
      <c r="A130" t="s">
        <v>2852</v>
      </c>
      <c r="E130" t="s">
        <v>1777</v>
      </c>
      <c r="G130" s="411" t="s">
        <v>2856</v>
      </c>
      <c r="H130">
        <v>2011</v>
      </c>
      <c r="I130" s="415">
        <v>178</v>
      </c>
      <c r="K130" t="s">
        <v>2857</v>
      </c>
      <c r="L130" t="s">
        <v>2855</v>
      </c>
      <c r="O130" s="412">
        <f t="shared" si="2"/>
        <v>0.17799999999999999</v>
      </c>
      <c r="Q130" s="414"/>
      <c r="T130">
        <v>1</v>
      </c>
      <c r="U130" t="s">
        <v>2880</v>
      </c>
      <c r="V130" t="s">
        <v>2881</v>
      </c>
    </row>
    <row r="131" spans="1:22" x14ac:dyDescent="0.25">
      <c r="A131" t="s">
        <v>2852</v>
      </c>
      <c r="E131" t="s">
        <v>1775</v>
      </c>
      <c r="G131" s="411" t="s">
        <v>2858</v>
      </c>
      <c r="H131">
        <v>2019</v>
      </c>
      <c r="I131" s="415">
        <v>214</v>
      </c>
      <c r="K131" t="s">
        <v>2859</v>
      </c>
      <c r="L131" t="s">
        <v>2855</v>
      </c>
      <c r="O131" s="412">
        <f t="shared" si="2"/>
        <v>0.214</v>
      </c>
      <c r="Q131" s="413">
        <f>IFERROR((I131/I132)^(1/(H131-H132)), "")</f>
        <v>0.98124352348206356</v>
      </c>
      <c r="R131" s="413"/>
      <c r="T131">
        <v>1</v>
      </c>
      <c r="U131" t="s">
        <v>2880</v>
      </c>
      <c r="V131" t="s">
        <v>2881</v>
      </c>
    </row>
    <row r="132" spans="1:22" x14ac:dyDescent="0.25">
      <c r="A132" t="s">
        <v>2852</v>
      </c>
      <c r="E132" t="s">
        <v>1775</v>
      </c>
      <c r="G132" s="411" t="s">
        <v>2858</v>
      </c>
      <c r="H132">
        <v>2011</v>
      </c>
      <c r="I132" s="415">
        <v>249</v>
      </c>
      <c r="K132" t="s">
        <v>2859</v>
      </c>
      <c r="L132" t="s">
        <v>2855</v>
      </c>
      <c r="O132" s="412">
        <f t="shared" si="2"/>
        <v>0.249</v>
      </c>
      <c r="Q132" s="414"/>
      <c r="T132">
        <v>1</v>
      </c>
      <c r="U132" t="s">
        <v>2880</v>
      </c>
      <c r="V132" t="s">
        <v>2881</v>
      </c>
    </row>
    <row r="133" spans="1:22" x14ac:dyDescent="0.25">
      <c r="A133" t="s">
        <v>2852</v>
      </c>
      <c r="E133" t="s">
        <v>1773</v>
      </c>
      <c r="G133" s="411" t="s">
        <v>2860</v>
      </c>
      <c r="H133">
        <v>2019</v>
      </c>
      <c r="I133" s="415">
        <v>161</v>
      </c>
      <c r="K133" t="s">
        <v>2861</v>
      </c>
      <c r="L133" t="s">
        <v>2855</v>
      </c>
      <c r="O133" s="412">
        <f t="shared" ref="O133:O193" si="3">IF(I133="","NA",I133/1000)</f>
        <v>0.161</v>
      </c>
      <c r="Q133" s="413">
        <f>IFERROR((I133/I134)^(1/(H133-H134)), "")</f>
        <v>0.96733259669911176</v>
      </c>
      <c r="R133" s="413"/>
      <c r="T133">
        <v>1</v>
      </c>
      <c r="U133" t="s">
        <v>2880</v>
      </c>
      <c r="V133" t="s">
        <v>2881</v>
      </c>
    </row>
    <row r="134" spans="1:22" x14ac:dyDescent="0.25">
      <c r="A134" t="s">
        <v>2852</v>
      </c>
      <c r="E134" t="s">
        <v>1773</v>
      </c>
      <c r="G134" s="411" t="s">
        <v>2860</v>
      </c>
      <c r="H134">
        <v>2011</v>
      </c>
      <c r="I134" s="415">
        <v>210</v>
      </c>
      <c r="K134" t="s">
        <v>2861</v>
      </c>
      <c r="L134" t="s">
        <v>2855</v>
      </c>
      <c r="O134" s="412">
        <f t="shared" si="3"/>
        <v>0.21</v>
      </c>
      <c r="Q134" s="414"/>
      <c r="T134">
        <v>1</v>
      </c>
      <c r="U134" t="s">
        <v>2880</v>
      </c>
      <c r="V134" t="s">
        <v>2881</v>
      </c>
    </row>
    <row r="135" spans="1:22" x14ac:dyDescent="0.25">
      <c r="A135" t="s">
        <v>2852</v>
      </c>
      <c r="E135" t="s">
        <v>1771</v>
      </c>
      <c r="G135" s="411" t="s">
        <v>2862</v>
      </c>
      <c r="H135">
        <v>2019</v>
      </c>
      <c r="I135" s="415">
        <v>130</v>
      </c>
      <c r="K135" t="s">
        <v>2863</v>
      </c>
      <c r="L135" t="s">
        <v>2855</v>
      </c>
      <c r="O135" s="412">
        <f t="shared" si="3"/>
        <v>0.13</v>
      </c>
      <c r="Q135" s="413">
        <f>IFERROR((I135/I136)^(1/(H135-H136)), "")</f>
        <v>0.97437901304265118</v>
      </c>
      <c r="R135" s="413"/>
      <c r="T135">
        <v>1</v>
      </c>
      <c r="U135" t="s">
        <v>2880</v>
      </c>
      <c r="V135" t="s">
        <v>2881</v>
      </c>
    </row>
    <row r="136" spans="1:22" x14ac:dyDescent="0.25">
      <c r="A136" t="s">
        <v>2852</v>
      </c>
      <c r="E136" t="s">
        <v>1771</v>
      </c>
      <c r="G136" s="411" t="s">
        <v>2862</v>
      </c>
      <c r="H136">
        <v>2011</v>
      </c>
      <c r="I136" s="415">
        <v>160</v>
      </c>
      <c r="K136" t="s">
        <v>2863</v>
      </c>
      <c r="L136" t="s">
        <v>2855</v>
      </c>
      <c r="O136" s="412">
        <f t="shared" si="3"/>
        <v>0.16</v>
      </c>
      <c r="Q136" s="414"/>
      <c r="T136">
        <v>1</v>
      </c>
      <c r="U136" t="s">
        <v>2880</v>
      </c>
      <c r="V136" t="s">
        <v>2881</v>
      </c>
    </row>
    <row r="137" spans="1:22" x14ac:dyDescent="0.25">
      <c r="A137" t="s">
        <v>2852</v>
      </c>
      <c r="E137" t="s">
        <v>1769</v>
      </c>
      <c r="G137" s="411" t="s">
        <v>2864</v>
      </c>
      <c r="H137">
        <v>2019</v>
      </c>
      <c r="I137" s="415">
        <v>38</v>
      </c>
      <c r="K137" t="s">
        <v>2865</v>
      </c>
      <c r="L137" t="s">
        <v>2855</v>
      </c>
      <c r="O137" s="412">
        <f t="shared" si="3"/>
        <v>3.7999999999999999E-2</v>
      </c>
      <c r="Q137" s="413">
        <f>IFERROR((I137/I138)^(1/(H137-H138)), "")</f>
        <v>0.91852354154919258</v>
      </c>
      <c r="R137" s="413"/>
      <c r="T137">
        <v>1</v>
      </c>
      <c r="U137" t="s">
        <v>2880</v>
      </c>
      <c r="V137" t="s">
        <v>2881</v>
      </c>
    </row>
    <row r="138" spans="1:22" x14ac:dyDescent="0.25">
      <c r="A138" t="s">
        <v>2852</v>
      </c>
      <c r="E138" t="s">
        <v>1769</v>
      </c>
      <c r="G138" s="411" t="s">
        <v>2864</v>
      </c>
      <c r="H138">
        <v>2011</v>
      </c>
      <c r="I138" s="415">
        <v>75</v>
      </c>
      <c r="K138" t="s">
        <v>2865</v>
      </c>
      <c r="L138" t="s">
        <v>2855</v>
      </c>
      <c r="O138" s="412">
        <f t="shared" si="3"/>
        <v>7.4999999999999997E-2</v>
      </c>
      <c r="Q138" s="413"/>
      <c r="T138">
        <v>1</v>
      </c>
      <c r="U138" t="s">
        <v>2880</v>
      </c>
      <c r="V138" t="s">
        <v>2881</v>
      </c>
    </row>
    <row r="139" spans="1:22" x14ac:dyDescent="0.25">
      <c r="A139" t="s">
        <v>2852</v>
      </c>
      <c r="E139" t="s">
        <v>1767</v>
      </c>
      <c r="G139" s="411" t="s">
        <v>2866</v>
      </c>
      <c r="H139">
        <v>2016</v>
      </c>
      <c r="I139" s="415">
        <v>27</v>
      </c>
      <c r="K139" t="s">
        <v>2867</v>
      </c>
      <c r="L139" t="s">
        <v>2855</v>
      </c>
      <c r="O139" s="412">
        <f t="shared" si="3"/>
        <v>2.7E-2</v>
      </c>
      <c r="Q139" s="413">
        <f>IFERROR((I139/I140)^(1/(H139-H140)), "")</f>
        <v>0.92909437646256021</v>
      </c>
      <c r="T139">
        <v>1</v>
      </c>
      <c r="U139" t="s">
        <v>2880</v>
      </c>
      <c r="V139" t="s">
        <v>2881</v>
      </c>
    </row>
    <row r="140" spans="1:22" x14ac:dyDescent="0.25">
      <c r="A140" t="s">
        <v>2852</v>
      </c>
      <c r="E140" t="s">
        <v>1767</v>
      </c>
      <c r="G140" s="411" t="s">
        <v>2866</v>
      </c>
      <c r="H140">
        <v>2011</v>
      </c>
      <c r="I140" s="415">
        <v>39</v>
      </c>
      <c r="K140" t="s">
        <v>2867</v>
      </c>
      <c r="L140" t="s">
        <v>2855</v>
      </c>
      <c r="O140" s="412">
        <f t="shared" si="3"/>
        <v>3.9E-2</v>
      </c>
      <c r="Q140" s="413"/>
      <c r="T140">
        <v>1</v>
      </c>
      <c r="U140" t="s">
        <v>2880</v>
      </c>
      <c r="V140" t="s">
        <v>2881</v>
      </c>
    </row>
    <row r="141" spans="1:22" x14ac:dyDescent="0.25">
      <c r="A141" t="s">
        <v>2852</v>
      </c>
      <c r="E141" t="s">
        <v>1779</v>
      </c>
      <c r="G141" s="411" t="s">
        <v>2853</v>
      </c>
      <c r="H141">
        <v>2019</v>
      </c>
      <c r="I141" s="415">
        <v>124</v>
      </c>
      <c r="K141" t="s">
        <v>2854</v>
      </c>
      <c r="L141" t="s">
        <v>2855</v>
      </c>
      <c r="O141" s="412">
        <f t="shared" si="3"/>
        <v>0.124</v>
      </c>
      <c r="Q141" s="413">
        <f>IFERROR((I141/I142)^(1/(H141-H142)), "")</f>
        <v>1.0613689296226481</v>
      </c>
      <c r="R141" s="413"/>
      <c r="T141">
        <v>1</v>
      </c>
      <c r="U141" t="s">
        <v>2882</v>
      </c>
      <c r="V141" t="s">
        <v>2883</v>
      </c>
    </row>
    <row r="142" spans="1:22" x14ac:dyDescent="0.25">
      <c r="A142" t="s">
        <v>2852</v>
      </c>
      <c r="E142" t="s">
        <v>1779</v>
      </c>
      <c r="G142" s="411" t="s">
        <v>2853</v>
      </c>
      <c r="H142">
        <v>2011</v>
      </c>
      <c r="I142" s="415">
        <v>77</v>
      </c>
      <c r="K142" t="s">
        <v>2854</v>
      </c>
      <c r="L142" t="s">
        <v>2855</v>
      </c>
      <c r="O142" s="412">
        <f t="shared" si="3"/>
        <v>7.6999999999999999E-2</v>
      </c>
      <c r="Q142" s="413"/>
      <c r="T142">
        <v>1</v>
      </c>
      <c r="U142" t="s">
        <v>2882</v>
      </c>
      <c r="V142" t="s">
        <v>2883</v>
      </c>
    </row>
    <row r="143" spans="1:22" x14ac:dyDescent="0.25">
      <c r="A143" t="s">
        <v>2852</v>
      </c>
      <c r="E143" t="s">
        <v>1777</v>
      </c>
      <c r="G143" s="411" t="s">
        <v>2856</v>
      </c>
      <c r="H143">
        <v>2019</v>
      </c>
      <c r="I143" s="415">
        <v>161</v>
      </c>
      <c r="K143" t="s">
        <v>2857</v>
      </c>
      <c r="L143" t="s">
        <v>2855</v>
      </c>
      <c r="O143" s="412">
        <f t="shared" si="3"/>
        <v>0.161</v>
      </c>
      <c r="Q143" s="413">
        <f>IFERROR((I143/I144)^(1/(H143-H144)), "")</f>
        <v>1.0185360018582728</v>
      </c>
      <c r="R143" s="413"/>
      <c r="T143">
        <v>1</v>
      </c>
      <c r="U143" t="s">
        <v>2882</v>
      </c>
      <c r="V143" t="s">
        <v>2883</v>
      </c>
    </row>
    <row r="144" spans="1:22" x14ac:dyDescent="0.25">
      <c r="A144" t="s">
        <v>2852</v>
      </c>
      <c r="E144" t="s">
        <v>1777</v>
      </c>
      <c r="G144" s="411" t="s">
        <v>2856</v>
      </c>
      <c r="H144">
        <v>2011</v>
      </c>
      <c r="I144" s="415">
        <v>139</v>
      </c>
      <c r="K144" t="s">
        <v>2857</v>
      </c>
      <c r="L144" t="s">
        <v>2855</v>
      </c>
      <c r="O144" s="412">
        <f t="shared" si="3"/>
        <v>0.13900000000000001</v>
      </c>
      <c r="Q144" s="413"/>
      <c r="T144">
        <v>1</v>
      </c>
      <c r="U144" t="s">
        <v>2882</v>
      </c>
      <c r="V144" t="s">
        <v>2883</v>
      </c>
    </row>
    <row r="145" spans="1:22" x14ac:dyDescent="0.25">
      <c r="A145" t="s">
        <v>2852</v>
      </c>
      <c r="E145" t="s">
        <v>1775</v>
      </c>
      <c r="G145" s="411" t="s">
        <v>2858</v>
      </c>
      <c r="H145">
        <v>2019</v>
      </c>
      <c r="I145" s="415">
        <v>175</v>
      </c>
      <c r="K145" t="s">
        <v>2859</v>
      </c>
      <c r="L145" t="s">
        <v>2855</v>
      </c>
      <c r="O145" s="412">
        <f t="shared" si="3"/>
        <v>0.17499999999999999</v>
      </c>
      <c r="Q145" s="413">
        <f>IFERROR((I145/I146)^(1/(H145-H146)), "")</f>
        <v>0.99858053855846252</v>
      </c>
      <c r="R145" s="413"/>
      <c r="T145">
        <v>1</v>
      </c>
      <c r="U145" t="s">
        <v>2882</v>
      </c>
      <c r="V145" t="s">
        <v>2883</v>
      </c>
    </row>
    <row r="146" spans="1:22" x14ac:dyDescent="0.25">
      <c r="A146" t="s">
        <v>2852</v>
      </c>
      <c r="E146" t="s">
        <v>1775</v>
      </c>
      <c r="G146" s="411" t="s">
        <v>2858</v>
      </c>
      <c r="H146">
        <v>2011</v>
      </c>
      <c r="I146" s="415">
        <v>177</v>
      </c>
      <c r="K146" t="s">
        <v>2859</v>
      </c>
      <c r="L146" t="s">
        <v>2855</v>
      </c>
      <c r="O146" s="412">
        <f t="shared" si="3"/>
        <v>0.17699999999999999</v>
      </c>
      <c r="Q146" s="413"/>
      <c r="R146" s="413"/>
      <c r="T146">
        <v>1</v>
      </c>
      <c r="U146" t="s">
        <v>2882</v>
      </c>
      <c r="V146" t="s">
        <v>2883</v>
      </c>
    </row>
    <row r="147" spans="1:22" x14ac:dyDescent="0.25">
      <c r="A147" t="s">
        <v>2852</v>
      </c>
      <c r="E147" t="s">
        <v>1773</v>
      </c>
      <c r="G147" s="411" t="s">
        <v>2860</v>
      </c>
      <c r="H147">
        <v>2019</v>
      </c>
      <c r="I147" s="415">
        <v>135</v>
      </c>
      <c r="K147" t="s">
        <v>2861</v>
      </c>
      <c r="L147" t="s">
        <v>2855</v>
      </c>
      <c r="O147" s="412">
        <f t="shared" si="3"/>
        <v>0.13500000000000001</v>
      </c>
      <c r="Q147" s="413">
        <f>IFERROR((I147/I148)^(1/(H147-H148)), "")</f>
        <v>0.9752281484642602</v>
      </c>
      <c r="R147" s="413"/>
      <c r="T147">
        <v>1</v>
      </c>
      <c r="U147" t="s">
        <v>2882</v>
      </c>
      <c r="V147" t="s">
        <v>2883</v>
      </c>
    </row>
    <row r="148" spans="1:22" x14ac:dyDescent="0.25">
      <c r="A148" t="s">
        <v>2852</v>
      </c>
      <c r="E148" t="s">
        <v>1773</v>
      </c>
      <c r="G148" s="411" t="s">
        <v>2860</v>
      </c>
      <c r="H148">
        <v>2011</v>
      </c>
      <c r="I148" s="415">
        <v>165</v>
      </c>
      <c r="K148" t="s">
        <v>2861</v>
      </c>
      <c r="L148" t="s">
        <v>2855</v>
      </c>
      <c r="O148" s="412">
        <f t="shared" si="3"/>
        <v>0.16500000000000001</v>
      </c>
      <c r="Q148" s="413"/>
      <c r="T148">
        <v>1</v>
      </c>
      <c r="U148" t="s">
        <v>2882</v>
      </c>
      <c r="V148" t="s">
        <v>2883</v>
      </c>
    </row>
    <row r="149" spans="1:22" x14ac:dyDescent="0.25">
      <c r="A149" t="s">
        <v>2852</v>
      </c>
      <c r="E149" t="s">
        <v>1771</v>
      </c>
      <c r="G149" s="411" t="s">
        <v>2862</v>
      </c>
      <c r="H149">
        <v>2019</v>
      </c>
      <c r="I149" s="415">
        <v>64</v>
      </c>
      <c r="K149" t="s">
        <v>2863</v>
      </c>
      <c r="L149" t="s">
        <v>2855</v>
      </c>
      <c r="O149" s="412">
        <f t="shared" si="3"/>
        <v>6.4000000000000001E-2</v>
      </c>
      <c r="Q149" s="413">
        <f>IFERROR((I149/I150)^(1/(H149-H150)), "")</f>
        <v>0.90360200360984488</v>
      </c>
      <c r="R149" s="413"/>
      <c r="T149">
        <v>1</v>
      </c>
      <c r="U149" t="s">
        <v>2882</v>
      </c>
      <c r="V149" t="s">
        <v>2883</v>
      </c>
    </row>
    <row r="150" spans="1:22" x14ac:dyDescent="0.25">
      <c r="A150" t="s">
        <v>2852</v>
      </c>
      <c r="E150" t="s">
        <v>1771</v>
      </c>
      <c r="G150" s="411" t="s">
        <v>2862</v>
      </c>
      <c r="H150">
        <v>2011</v>
      </c>
      <c r="I150" s="415">
        <v>144</v>
      </c>
      <c r="K150" t="s">
        <v>2863</v>
      </c>
      <c r="L150" t="s">
        <v>2855</v>
      </c>
      <c r="O150" s="412">
        <f t="shared" si="3"/>
        <v>0.14399999999999999</v>
      </c>
      <c r="Q150" s="413"/>
      <c r="T150">
        <v>1</v>
      </c>
      <c r="U150" t="s">
        <v>2882</v>
      </c>
      <c r="V150" t="s">
        <v>2883</v>
      </c>
    </row>
    <row r="151" spans="1:22" x14ac:dyDescent="0.25">
      <c r="A151" t="s">
        <v>2852</v>
      </c>
      <c r="E151" t="s">
        <v>1769</v>
      </c>
      <c r="G151" s="411" t="s">
        <v>2864</v>
      </c>
      <c r="H151">
        <v>2016</v>
      </c>
      <c r="I151" s="415">
        <v>13</v>
      </c>
      <c r="K151" t="s">
        <v>2865</v>
      </c>
      <c r="L151" t="s">
        <v>2855</v>
      </c>
      <c r="O151" s="412">
        <f t="shared" si="3"/>
        <v>1.2999999999999999E-2</v>
      </c>
      <c r="Q151" s="413">
        <f>IFERROR((I151/I152)^(1/(H151-H152)), "")</f>
        <v>0.77667102633024399</v>
      </c>
      <c r="T151">
        <v>1</v>
      </c>
      <c r="U151" t="s">
        <v>2882</v>
      </c>
      <c r="V151" t="s">
        <v>2883</v>
      </c>
    </row>
    <row r="152" spans="1:22" x14ac:dyDescent="0.25">
      <c r="A152" t="s">
        <v>2852</v>
      </c>
      <c r="E152" t="s">
        <v>1769</v>
      </c>
      <c r="G152" s="411" t="s">
        <v>2864</v>
      </c>
      <c r="H152">
        <v>2011</v>
      </c>
      <c r="I152" s="415">
        <v>46</v>
      </c>
      <c r="K152" t="s">
        <v>2865</v>
      </c>
      <c r="L152" t="s">
        <v>2855</v>
      </c>
      <c r="O152" s="412">
        <f t="shared" si="3"/>
        <v>4.5999999999999999E-2</v>
      </c>
      <c r="Q152" s="413"/>
      <c r="T152">
        <v>1</v>
      </c>
      <c r="U152" t="s">
        <v>2882</v>
      </c>
      <c r="V152" t="s">
        <v>2883</v>
      </c>
    </row>
    <row r="153" spans="1:22" x14ac:dyDescent="0.25">
      <c r="A153" t="s">
        <v>2852</v>
      </c>
      <c r="E153" t="s">
        <v>1767</v>
      </c>
      <c r="G153" s="411" t="s">
        <v>2866</v>
      </c>
      <c r="H153">
        <v>2011</v>
      </c>
      <c r="I153" s="415">
        <v>42</v>
      </c>
      <c r="K153" t="s">
        <v>2867</v>
      </c>
      <c r="L153" t="s">
        <v>2855</v>
      </c>
      <c r="O153" s="412">
        <f t="shared" si="3"/>
        <v>4.2000000000000003E-2</v>
      </c>
      <c r="Q153" s="413">
        <f>1</f>
        <v>1</v>
      </c>
      <c r="T153">
        <v>1</v>
      </c>
      <c r="U153" t="s">
        <v>2882</v>
      </c>
      <c r="V153" t="s">
        <v>2883</v>
      </c>
    </row>
    <row r="154" spans="1:22" x14ac:dyDescent="0.25">
      <c r="A154" t="s">
        <v>2852</v>
      </c>
      <c r="E154" t="s">
        <v>1779</v>
      </c>
      <c r="G154" s="411" t="s">
        <v>2853</v>
      </c>
      <c r="H154">
        <v>2019</v>
      </c>
      <c r="I154" s="415">
        <v>78</v>
      </c>
      <c r="K154" t="s">
        <v>2854</v>
      </c>
      <c r="L154" t="s">
        <v>2855</v>
      </c>
      <c r="O154" s="412">
        <f t="shared" si="3"/>
        <v>7.8E-2</v>
      </c>
      <c r="Q154" s="413">
        <f>IFERROR((I154/I155)^(1/(H154-H155)), "")</f>
        <v>0.95578359599616292</v>
      </c>
      <c r="R154" s="413"/>
      <c r="T154">
        <v>1</v>
      </c>
      <c r="U154" t="s">
        <v>2884</v>
      </c>
      <c r="V154" t="s">
        <v>2885</v>
      </c>
    </row>
    <row r="155" spans="1:22" x14ac:dyDescent="0.25">
      <c r="A155" t="s">
        <v>2852</v>
      </c>
      <c r="E155" t="s">
        <v>1779</v>
      </c>
      <c r="G155" s="411" t="s">
        <v>2853</v>
      </c>
      <c r="H155">
        <v>2011</v>
      </c>
      <c r="I155" s="415">
        <v>112</v>
      </c>
      <c r="K155" t="s">
        <v>2854</v>
      </c>
      <c r="L155" t="s">
        <v>2855</v>
      </c>
      <c r="O155" s="412">
        <f t="shared" si="3"/>
        <v>0.112</v>
      </c>
      <c r="Q155" s="413"/>
      <c r="T155">
        <v>1</v>
      </c>
      <c r="U155" t="s">
        <v>2884</v>
      </c>
      <c r="V155" t="s">
        <v>2885</v>
      </c>
    </row>
    <row r="156" spans="1:22" x14ac:dyDescent="0.25">
      <c r="A156" t="s">
        <v>2852</v>
      </c>
      <c r="E156" t="s">
        <v>1777</v>
      </c>
      <c r="G156" s="411" t="s">
        <v>2856</v>
      </c>
      <c r="H156">
        <v>2019</v>
      </c>
      <c r="I156" s="415">
        <v>164</v>
      </c>
      <c r="K156" t="s">
        <v>2857</v>
      </c>
      <c r="L156" t="s">
        <v>2855</v>
      </c>
      <c r="O156" s="412">
        <f t="shared" si="3"/>
        <v>0.16400000000000001</v>
      </c>
      <c r="Q156" s="413">
        <f>IFERROR((I156/I157)^(1/(H156-H157)), "")</f>
        <v>0.99406418087663018</v>
      </c>
      <c r="R156" s="413"/>
      <c r="T156">
        <v>1</v>
      </c>
      <c r="U156" t="s">
        <v>2884</v>
      </c>
      <c r="V156" t="s">
        <v>2885</v>
      </c>
    </row>
    <row r="157" spans="1:22" x14ac:dyDescent="0.25">
      <c r="A157" t="s">
        <v>2852</v>
      </c>
      <c r="E157" t="s">
        <v>1777</v>
      </c>
      <c r="G157" s="411" t="s">
        <v>2856</v>
      </c>
      <c r="H157">
        <v>2011</v>
      </c>
      <c r="I157" s="415">
        <v>172</v>
      </c>
      <c r="K157" t="s">
        <v>2857</v>
      </c>
      <c r="L157" t="s">
        <v>2855</v>
      </c>
      <c r="O157" s="412">
        <f t="shared" si="3"/>
        <v>0.17199999999999999</v>
      </c>
      <c r="Q157" s="413"/>
      <c r="T157">
        <v>1</v>
      </c>
      <c r="U157" t="s">
        <v>2884</v>
      </c>
      <c r="V157" t="s">
        <v>2885</v>
      </c>
    </row>
    <row r="158" spans="1:22" x14ac:dyDescent="0.25">
      <c r="A158" t="s">
        <v>2852</v>
      </c>
      <c r="E158" t="s">
        <v>1775</v>
      </c>
      <c r="G158" s="411" t="s">
        <v>2858</v>
      </c>
      <c r="H158">
        <v>2019</v>
      </c>
      <c r="I158" s="415">
        <v>208</v>
      </c>
      <c r="K158" t="s">
        <v>2859</v>
      </c>
      <c r="L158" t="s">
        <v>2855</v>
      </c>
      <c r="O158" s="412">
        <f t="shared" si="3"/>
        <v>0.20799999999999999</v>
      </c>
      <c r="Q158" s="413">
        <f>IFERROR((I158/I159)^(1/(H158-H159)), "")</f>
        <v>1.0068149104070221</v>
      </c>
      <c r="R158" s="413"/>
      <c r="T158">
        <v>1</v>
      </c>
      <c r="U158" t="s">
        <v>2884</v>
      </c>
      <c r="V158" t="s">
        <v>2885</v>
      </c>
    </row>
    <row r="159" spans="1:22" x14ac:dyDescent="0.25">
      <c r="A159" t="s">
        <v>2852</v>
      </c>
      <c r="E159" t="s">
        <v>1775</v>
      </c>
      <c r="G159" s="411" t="s">
        <v>2858</v>
      </c>
      <c r="H159">
        <v>2011</v>
      </c>
      <c r="I159" s="415">
        <v>197</v>
      </c>
      <c r="K159" t="s">
        <v>2859</v>
      </c>
      <c r="L159" t="s">
        <v>2855</v>
      </c>
      <c r="O159" s="412">
        <f t="shared" si="3"/>
        <v>0.19700000000000001</v>
      </c>
      <c r="Q159" s="413"/>
      <c r="T159">
        <v>1</v>
      </c>
      <c r="U159" t="s">
        <v>2884</v>
      </c>
      <c r="V159" t="s">
        <v>2885</v>
      </c>
    </row>
    <row r="160" spans="1:22" x14ac:dyDescent="0.25">
      <c r="A160" t="s">
        <v>2852</v>
      </c>
      <c r="E160" t="s">
        <v>1773</v>
      </c>
      <c r="G160" s="411" t="s">
        <v>2860</v>
      </c>
      <c r="H160">
        <v>2019</v>
      </c>
      <c r="I160" s="415">
        <v>164</v>
      </c>
      <c r="K160" t="s">
        <v>2861</v>
      </c>
      <c r="L160" t="s">
        <v>2855</v>
      </c>
      <c r="O160" s="412">
        <f t="shared" si="3"/>
        <v>0.16400000000000001</v>
      </c>
      <c r="Q160" s="413">
        <f>IFERROR((I160/I161)^(1/(H160-H161)), "")</f>
        <v>1.007895232440303</v>
      </c>
      <c r="R160" s="413"/>
      <c r="T160">
        <v>1</v>
      </c>
      <c r="U160" t="s">
        <v>2884</v>
      </c>
      <c r="V160" t="s">
        <v>2885</v>
      </c>
    </row>
    <row r="161" spans="1:22" x14ac:dyDescent="0.25">
      <c r="A161" t="s">
        <v>2852</v>
      </c>
      <c r="E161" t="s">
        <v>1773</v>
      </c>
      <c r="G161" s="411" t="s">
        <v>2860</v>
      </c>
      <c r="H161">
        <v>2011</v>
      </c>
      <c r="I161" s="415">
        <v>154</v>
      </c>
      <c r="K161" t="s">
        <v>2861</v>
      </c>
      <c r="L161" t="s">
        <v>2855</v>
      </c>
      <c r="O161" s="412">
        <f t="shared" si="3"/>
        <v>0.154</v>
      </c>
      <c r="Q161" s="413"/>
      <c r="T161">
        <v>1</v>
      </c>
      <c r="U161" t="s">
        <v>2884</v>
      </c>
      <c r="V161" t="s">
        <v>2885</v>
      </c>
    </row>
    <row r="162" spans="1:22" x14ac:dyDescent="0.25">
      <c r="A162" t="s">
        <v>2852</v>
      </c>
      <c r="E162" t="s">
        <v>1771</v>
      </c>
      <c r="G162" s="411" t="s">
        <v>2862</v>
      </c>
      <c r="H162">
        <v>2019</v>
      </c>
      <c r="I162" s="415">
        <v>72</v>
      </c>
      <c r="K162" t="s">
        <v>2863</v>
      </c>
      <c r="L162" t="s">
        <v>2855</v>
      </c>
      <c r="O162" s="412">
        <f t="shared" si="3"/>
        <v>7.1999999999999995E-2</v>
      </c>
      <c r="Q162" s="413">
        <f>IFERROR((I162/I163)^(1/(H162-H163)), "")</f>
        <v>1.001749809379741</v>
      </c>
      <c r="R162" s="413"/>
      <c r="T162">
        <v>1</v>
      </c>
      <c r="U162" t="s">
        <v>2884</v>
      </c>
      <c r="V162" t="s">
        <v>2885</v>
      </c>
    </row>
    <row r="163" spans="1:22" x14ac:dyDescent="0.25">
      <c r="A163" t="s">
        <v>2852</v>
      </c>
      <c r="E163" t="s">
        <v>1771</v>
      </c>
      <c r="G163" s="411" t="s">
        <v>2862</v>
      </c>
      <c r="H163">
        <v>2011</v>
      </c>
      <c r="I163" s="415">
        <v>71</v>
      </c>
      <c r="K163" t="s">
        <v>2863</v>
      </c>
      <c r="L163" t="s">
        <v>2855</v>
      </c>
      <c r="O163" s="412">
        <f t="shared" si="3"/>
        <v>7.0999999999999994E-2</v>
      </c>
      <c r="Q163" s="413"/>
      <c r="T163">
        <v>1</v>
      </c>
      <c r="U163" t="s">
        <v>2884</v>
      </c>
      <c r="V163" t="s">
        <v>2885</v>
      </c>
    </row>
    <row r="164" spans="1:22" x14ac:dyDescent="0.25">
      <c r="A164" t="s">
        <v>2852</v>
      </c>
      <c r="E164" t="s">
        <v>1769</v>
      </c>
      <c r="G164" s="411" t="s">
        <v>2864</v>
      </c>
      <c r="H164">
        <v>2016</v>
      </c>
      <c r="I164" s="415">
        <v>41</v>
      </c>
      <c r="K164" t="s">
        <v>2865</v>
      </c>
      <c r="L164" t="s">
        <v>2855</v>
      </c>
      <c r="O164" s="412">
        <f t="shared" si="3"/>
        <v>4.1000000000000002E-2</v>
      </c>
      <c r="Q164" s="413">
        <f>IFERROR((I164/I165)^(1/(H164-H165)), "")</f>
        <v>0.93622837654917168</v>
      </c>
      <c r="R164" s="413"/>
      <c r="T164">
        <v>1</v>
      </c>
      <c r="U164" t="s">
        <v>2884</v>
      </c>
      <c r="V164" t="s">
        <v>2885</v>
      </c>
    </row>
    <row r="165" spans="1:22" x14ac:dyDescent="0.25">
      <c r="A165" t="s">
        <v>2852</v>
      </c>
      <c r="E165" t="s">
        <v>1769</v>
      </c>
      <c r="G165" s="411" t="s">
        <v>2864</v>
      </c>
      <c r="H165">
        <v>2011</v>
      </c>
      <c r="I165" s="415">
        <v>57</v>
      </c>
      <c r="K165" t="s">
        <v>2865</v>
      </c>
      <c r="L165" t="s">
        <v>2855</v>
      </c>
      <c r="O165" s="412">
        <f t="shared" si="3"/>
        <v>5.7000000000000002E-2</v>
      </c>
      <c r="Q165" s="413"/>
      <c r="T165">
        <v>1</v>
      </c>
      <c r="U165" t="s">
        <v>2884</v>
      </c>
      <c r="V165" t="s">
        <v>2885</v>
      </c>
    </row>
    <row r="166" spans="1:22" x14ac:dyDescent="0.25">
      <c r="A166" t="s">
        <v>2852</v>
      </c>
      <c r="E166" t="s">
        <v>1767</v>
      </c>
      <c r="G166" s="411" t="s">
        <v>2866</v>
      </c>
      <c r="H166">
        <v>2000</v>
      </c>
      <c r="I166" s="415">
        <v>14</v>
      </c>
      <c r="K166" t="s">
        <v>2867</v>
      </c>
      <c r="L166" t="s">
        <v>2855</v>
      </c>
      <c r="O166" s="412">
        <f t="shared" si="3"/>
        <v>1.4E-2</v>
      </c>
      <c r="Q166" s="413">
        <v>1</v>
      </c>
      <c r="T166">
        <v>1</v>
      </c>
      <c r="U166" t="s">
        <v>2884</v>
      </c>
      <c r="V166" t="s">
        <v>2885</v>
      </c>
    </row>
    <row r="167" spans="1:22" x14ac:dyDescent="0.25">
      <c r="A167" t="s">
        <v>2852</v>
      </c>
      <c r="E167" t="s">
        <v>1779</v>
      </c>
      <c r="G167" s="411" t="s">
        <v>2853</v>
      </c>
      <c r="H167">
        <v>2019</v>
      </c>
      <c r="I167" s="415">
        <v>14</v>
      </c>
      <c r="K167" t="s">
        <v>2854</v>
      </c>
      <c r="L167" t="s">
        <v>2855</v>
      </c>
      <c r="O167" s="412">
        <f t="shared" si="3"/>
        <v>1.4E-2</v>
      </c>
      <c r="Q167" s="413">
        <f>IFERROR((I167/I168)^(1/(H167-H168)), "")</f>
        <v>0.99141297201830614</v>
      </c>
      <c r="R167" s="413"/>
      <c r="T167">
        <v>1</v>
      </c>
      <c r="U167" t="s">
        <v>2886</v>
      </c>
      <c r="V167" t="s">
        <v>814</v>
      </c>
    </row>
    <row r="168" spans="1:22" x14ac:dyDescent="0.25">
      <c r="A168" t="s">
        <v>2852</v>
      </c>
      <c r="E168" t="s">
        <v>1779</v>
      </c>
      <c r="G168" s="411" t="s">
        <v>2853</v>
      </c>
      <c r="H168">
        <v>2011</v>
      </c>
      <c r="I168" s="415">
        <v>15</v>
      </c>
      <c r="K168" t="s">
        <v>2854</v>
      </c>
      <c r="L168" t="s">
        <v>2855</v>
      </c>
      <c r="O168" s="412">
        <f t="shared" si="3"/>
        <v>1.4999999999999999E-2</v>
      </c>
      <c r="Q168" s="413"/>
      <c r="T168">
        <v>1</v>
      </c>
      <c r="U168" t="s">
        <v>2886</v>
      </c>
      <c r="V168" t="s">
        <v>814</v>
      </c>
    </row>
    <row r="169" spans="1:22" x14ac:dyDescent="0.25">
      <c r="A169" t="s">
        <v>2852</v>
      </c>
      <c r="E169" t="s">
        <v>1777</v>
      </c>
      <c r="G169" s="411" t="s">
        <v>2856</v>
      </c>
      <c r="H169">
        <v>2019</v>
      </c>
      <c r="I169" s="415">
        <v>100</v>
      </c>
      <c r="K169" t="s">
        <v>2857</v>
      </c>
      <c r="L169" t="s">
        <v>2855</v>
      </c>
      <c r="O169" s="412">
        <f t="shared" si="3"/>
        <v>0.1</v>
      </c>
      <c r="Q169" s="413">
        <f>IFERROR((I169/I170)^(1/(H169-H170)), "")</f>
        <v>1.0161075211279298</v>
      </c>
      <c r="R169" s="413"/>
      <c r="T169">
        <v>1</v>
      </c>
      <c r="U169" t="s">
        <v>2886</v>
      </c>
      <c r="V169" t="s">
        <v>814</v>
      </c>
    </row>
    <row r="170" spans="1:22" x14ac:dyDescent="0.25">
      <c r="A170" t="s">
        <v>2852</v>
      </c>
      <c r="E170" t="s">
        <v>1777</v>
      </c>
      <c r="G170" s="411" t="s">
        <v>2856</v>
      </c>
      <c r="H170">
        <v>2011</v>
      </c>
      <c r="I170" s="415">
        <v>88</v>
      </c>
      <c r="K170" t="s">
        <v>2857</v>
      </c>
      <c r="L170" t="s">
        <v>2855</v>
      </c>
      <c r="O170" s="412">
        <f t="shared" si="3"/>
        <v>8.7999999999999995E-2</v>
      </c>
      <c r="Q170" s="413"/>
      <c r="T170">
        <v>1</v>
      </c>
      <c r="U170" t="s">
        <v>2886</v>
      </c>
      <c r="V170" t="s">
        <v>814</v>
      </c>
    </row>
    <row r="171" spans="1:22" x14ac:dyDescent="0.25">
      <c r="A171" t="s">
        <v>2852</v>
      </c>
      <c r="E171" t="s">
        <v>1775</v>
      </c>
      <c r="G171" s="411" t="s">
        <v>2858</v>
      </c>
      <c r="H171">
        <v>2019</v>
      </c>
      <c r="I171" s="415">
        <v>129</v>
      </c>
      <c r="K171" t="s">
        <v>2859</v>
      </c>
      <c r="L171" t="s">
        <v>2855</v>
      </c>
      <c r="O171" s="412">
        <f t="shared" si="3"/>
        <v>0.129</v>
      </c>
      <c r="Q171" s="413">
        <f>IFERROR((I171/I172)^(1/(H171-H172)), "")</f>
        <v>1.0431583419164847</v>
      </c>
      <c r="R171" s="413"/>
      <c r="T171">
        <v>1</v>
      </c>
      <c r="U171" t="s">
        <v>2886</v>
      </c>
      <c r="V171" t="s">
        <v>814</v>
      </c>
    </row>
    <row r="172" spans="1:22" x14ac:dyDescent="0.25">
      <c r="A172" t="s">
        <v>2852</v>
      </c>
      <c r="E172" t="s">
        <v>1775</v>
      </c>
      <c r="G172" s="411" t="s">
        <v>2858</v>
      </c>
      <c r="H172">
        <v>2011</v>
      </c>
      <c r="I172" s="415">
        <v>92</v>
      </c>
      <c r="K172" t="s">
        <v>2859</v>
      </c>
      <c r="L172" t="s">
        <v>2855</v>
      </c>
      <c r="O172" s="412">
        <f t="shared" si="3"/>
        <v>9.1999999999999998E-2</v>
      </c>
      <c r="Q172" s="413"/>
      <c r="T172">
        <v>1</v>
      </c>
      <c r="U172" t="s">
        <v>2886</v>
      </c>
      <c r="V172" t="s">
        <v>814</v>
      </c>
    </row>
    <row r="173" spans="1:22" x14ac:dyDescent="0.25">
      <c r="A173" t="s">
        <v>2852</v>
      </c>
      <c r="E173" t="s">
        <v>1773</v>
      </c>
      <c r="G173" s="411" t="s">
        <v>2860</v>
      </c>
      <c r="H173">
        <v>2019</v>
      </c>
      <c r="I173" s="415">
        <v>113</v>
      </c>
      <c r="K173" t="s">
        <v>2861</v>
      </c>
      <c r="L173" t="s">
        <v>2855</v>
      </c>
      <c r="O173" s="412">
        <f t="shared" si="3"/>
        <v>0.113</v>
      </c>
      <c r="Q173" s="413">
        <f>IFERROR((I173/I174)^(1/(H173-H174)), "")</f>
        <v>1.0655435176512793</v>
      </c>
      <c r="R173" s="413"/>
      <c r="T173">
        <v>1</v>
      </c>
      <c r="U173" t="s">
        <v>2886</v>
      </c>
      <c r="V173" t="s">
        <v>814</v>
      </c>
    </row>
    <row r="174" spans="1:22" x14ac:dyDescent="0.25">
      <c r="A174" t="s">
        <v>2852</v>
      </c>
      <c r="E174" t="s">
        <v>1773</v>
      </c>
      <c r="G174" s="411" t="s">
        <v>2860</v>
      </c>
      <c r="H174">
        <v>2011</v>
      </c>
      <c r="I174" s="415">
        <v>68</v>
      </c>
      <c r="K174" t="s">
        <v>2861</v>
      </c>
      <c r="L174" t="s">
        <v>2855</v>
      </c>
      <c r="O174" s="412">
        <f t="shared" si="3"/>
        <v>6.8000000000000005E-2</v>
      </c>
      <c r="Q174" s="413"/>
      <c r="T174">
        <v>1</v>
      </c>
      <c r="U174" t="s">
        <v>2886</v>
      </c>
      <c r="V174" t="s">
        <v>814</v>
      </c>
    </row>
    <row r="175" spans="1:22" x14ac:dyDescent="0.25">
      <c r="A175" t="s">
        <v>2852</v>
      </c>
      <c r="E175" t="s">
        <v>1771</v>
      </c>
      <c r="G175" s="411" t="s">
        <v>2862</v>
      </c>
      <c r="H175">
        <v>2019</v>
      </c>
      <c r="I175" s="415">
        <v>76</v>
      </c>
      <c r="K175" t="s">
        <v>2863</v>
      </c>
      <c r="L175" t="s">
        <v>2855</v>
      </c>
      <c r="O175" s="412">
        <f t="shared" si="3"/>
        <v>7.5999999999999998E-2</v>
      </c>
      <c r="Q175" s="413">
        <f>IFERROR((I175/I176)^(1/(H175-H176)), "")</f>
        <v>1.1057751717923328</v>
      </c>
      <c r="R175" s="413"/>
      <c r="T175">
        <v>1</v>
      </c>
      <c r="U175" t="s">
        <v>2886</v>
      </c>
      <c r="V175" t="s">
        <v>814</v>
      </c>
    </row>
    <row r="176" spans="1:22" x14ac:dyDescent="0.25">
      <c r="A176" t="s">
        <v>2852</v>
      </c>
      <c r="E176" t="s">
        <v>1771</v>
      </c>
      <c r="G176" s="411" t="s">
        <v>2862</v>
      </c>
      <c r="H176">
        <v>2011</v>
      </c>
      <c r="I176" s="415">
        <v>34</v>
      </c>
      <c r="K176" t="s">
        <v>2863</v>
      </c>
      <c r="L176" t="s">
        <v>2855</v>
      </c>
      <c r="O176" s="412">
        <f t="shared" si="3"/>
        <v>3.4000000000000002E-2</v>
      </c>
      <c r="Q176" s="413"/>
      <c r="T176">
        <v>1</v>
      </c>
      <c r="U176" t="s">
        <v>2886</v>
      </c>
      <c r="V176" t="s">
        <v>814</v>
      </c>
    </row>
    <row r="177" spans="1:22" x14ac:dyDescent="0.25">
      <c r="A177" t="s">
        <v>2852</v>
      </c>
      <c r="E177" t="s">
        <v>1769</v>
      </c>
      <c r="G177" s="411" t="s">
        <v>2864</v>
      </c>
      <c r="H177">
        <v>2016</v>
      </c>
      <c r="I177" s="415">
        <v>13</v>
      </c>
      <c r="K177" t="s">
        <v>2865</v>
      </c>
      <c r="L177" t="s">
        <v>2855</v>
      </c>
      <c r="O177" s="412">
        <f t="shared" si="3"/>
        <v>1.2999999999999999E-2</v>
      </c>
      <c r="Q177" s="413">
        <f>IFERROR((I177/I178)^(1/(H177-H178)), "")</f>
        <v>1.2658337541579836</v>
      </c>
      <c r="T177">
        <v>1</v>
      </c>
      <c r="U177" t="s">
        <v>2886</v>
      </c>
      <c r="V177" t="s">
        <v>814</v>
      </c>
    </row>
    <row r="178" spans="1:22" x14ac:dyDescent="0.25">
      <c r="A178" t="s">
        <v>2852</v>
      </c>
      <c r="E178" t="s">
        <v>1769</v>
      </c>
      <c r="G178" s="411" t="s">
        <v>2864</v>
      </c>
      <c r="H178">
        <v>2011</v>
      </c>
      <c r="I178" s="415">
        <v>4</v>
      </c>
      <c r="K178" t="s">
        <v>2865</v>
      </c>
      <c r="L178" t="s">
        <v>2855</v>
      </c>
      <c r="O178" s="412">
        <f t="shared" si="3"/>
        <v>4.0000000000000001E-3</v>
      </c>
      <c r="Q178" s="413"/>
      <c r="T178">
        <v>1</v>
      </c>
      <c r="U178" t="s">
        <v>2886</v>
      </c>
      <c r="V178" t="s">
        <v>814</v>
      </c>
    </row>
    <row r="179" spans="1:22" x14ac:dyDescent="0.25">
      <c r="A179" t="s">
        <v>2852</v>
      </c>
      <c r="E179" t="s">
        <v>1767</v>
      </c>
      <c r="G179" s="411" t="s">
        <v>2866</v>
      </c>
      <c r="H179">
        <v>2016</v>
      </c>
      <c r="I179" s="415">
        <v>0</v>
      </c>
      <c r="K179" t="s">
        <v>2867</v>
      </c>
      <c r="L179" t="s">
        <v>2855</v>
      </c>
      <c r="O179" s="412">
        <f t="shared" si="3"/>
        <v>0</v>
      </c>
      <c r="Q179" s="413">
        <v>1</v>
      </c>
      <c r="T179">
        <v>1</v>
      </c>
      <c r="U179" t="s">
        <v>2886</v>
      </c>
      <c r="V179" t="s">
        <v>814</v>
      </c>
    </row>
    <row r="180" spans="1:22" x14ac:dyDescent="0.25">
      <c r="A180" t="s">
        <v>2852</v>
      </c>
      <c r="E180" t="s">
        <v>1767</v>
      </c>
      <c r="G180" s="411" t="s">
        <v>2866</v>
      </c>
      <c r="H180">
        <v>2011</v>
      </c>
      <c r="I180" s="415">
        <v>0</v>
      </c>
      <c r="K180" t="s">
        <v>2867</v>
      </c>
      <c r="L180" t="s">
        <v>2855</v>
      </c>
      <c r="O180" s="412">
        <f t="shared" si="3"/>
        <v>0</v>
      </c>
      <c r="Q180" s="413"/>
      <c r="T180">
        <v>1</v>
      </c>
      <c r="U180" t="s">
        <v>2886</v>
      </c>
      <c r="V180" t="s">
        <v>814</v>
      </c>
    </row>
    <row r="181" spans="1:22" x14ac:dyDescent="0.25">
      <c r="A181" t="s">
        <v>2852</v>
      </c>
      <c r="E181" t="s">
        <v>1779</v>
      </c>
      <c r="G181" s="411" t="s">
        <v>2853</v>
      </c>
      <c r="H181">
        <v>2019</v>
      </c>
      <c r="I181" s="415">
        <v>69</v>
      </c>
      <c r="K181" t="s">
        <v>2854</v>
      </c>
      <c r="L181" t="s">
        <v>2855</v>
      </c>
      <c r="O181" s="412">
        <f t="shared" si="3"/>
        <v>6.9000000000000006E-2</v>
      </c>
      <c r="Q181" s="413">
        <f>IFERROR((I181/I182)^(1/(H181-H182)), "")</f>
        <v>1.0385080428502595</v>
      </c>
      <c r="R181" s="413"/>
      <c r="T181">
        <v>1</v>
      </c>
      <c r="U181" t="s">
        <v>2887</v>
      </c>
      <c r="V181" t="s">
        <v>2888</v>
      </c>
    </row>
    <row r="182" spans="1:22" x14ac:dyDescent="0.25">
      <c r="A182" t="s">
        <v>2852</v>
      </c>
      <c r="E182" t="s">
        <v>1779</v>
      </c>
      <c r="G182" s="411" t="s">
        <v>2853</v>
      </c>
      <c r="H182">
        <v>2011</v>
      </c>
      <c r="I182" s="415">
        <v>51</v>
      </c>
      <c r="K182" t="s">
        <v>2854</v>
      </c>
      <c r="L182" t="s">
        <v>2855</v>
      </c>
      <c r="O182" s="412">
        <f t="shared" si="3"/>
        <v>5.0999999999999997E-2</v>
      </c>
      <c r="Q182" s="413"/>
      <c r="T182">
        <v>1</v>
      </c>
      <c r="U182" t="s">
        <v>2887</v>
      </c>
      <c r="V182" t="s">
        <v>2888</v>
      </c>
    </row>
    <row r="183" spans="1:22" x14ac:dyDescent="0.25">
      <c r="A183" t="s">
        <v>2852</v>
      </c>
      <c r="E183" t="s">
        <v>1777</v>
      </c>
      <c r="G183" s="411" t="s">
        <v>2856</v>
      </c>
      <c r="H183">
        <v>2019</v>
      </c>
      <c r="I183" s="415">
        <v>142</v>
      </c>
      <c r="K183" t="s">
        <v>2857</v>
      </c>
      <c r="L183" t="s">
        <v>2855</v>
      </c>
      <c r="O183" s="412">
        <f t="shared" si="3"/>
        <v>0.14199999999999999</v>
      </c>
      <c r="Q183" s="413">
        <f>IFERROR((I183/I184)^(1/(H183-H184)), "")</f>
        <v>0.98141016077034371</v>
      </c>
      <c r="R183" s="413"/>
      <c r="T183">
        <v>1</v>
      </c>
      <c r="U183" t="s">
        <v>2887</v>
      </c>
      <c r="V183" t="s">
        <v>2888</v>
      </c>
    </row>
    <row r="184" spans="1:22" x14ac:dyDescent="0.25">
      <c r="A184" t="s">
        <v>2852</v>
      </c>
      <c r="E184" t="s">
        <v>1777</v>
      </c>
      <c r="G184" s="411" t="s">
        <v>2856</v>
      </c>
      <c r="H184">
        <v>2011</v>
      </c>
      <c r="I184" s="415">
        <v>165</v>
      </c>
      <c r="K184" t="s">
        <v>2857</v>
      </c>
      <c r="L184" t="s">
        <v>2855</v>
      </c>
      <c r="O184" s="412">
        <f t="shared" si="3"/>
        <v>0.16500000000000001</v>
      </c>
      <c r="Q184" s="413"/>
      <c r="T184">
        <v>1</v>
      </c>
      <c r="U184" t="s">
        <v>2887</v>
      </c>
      <c r="V184" t="s">
        <v>2888</v>
      </c>
    </row>
    <row r="185" spans="1:22" x14ac:dyDescent="0.25">
      <c r="A185" t="s">
        <v>2852</v>
      </c>
      <c r="E185" t="s">
        <v>1775</v>
      </c>
      <c r="G185" s="411" t="s">
        <v>2858</v>
      </c>
      <c r="H185">
        <v>2019</v>
      </c>
      <c r="I185" s="415">
        <v>170</v>
      </c>
      <c r="K185" t="s">
        <v>2859</v>
      </c>
      <c r="L185" t="s">
        <v>2855</v>
      </c>
      <c r="O185" s="412">
        <f t="shared" si="3"/>
        <v>0.17</v>
      </c>
      <c r="Q185" s="413">
        <f>IFERROR((I185/I186)^(1/(H185-H186)), "")</f>
        <v>1.0083968366764735</v>
      </c>
      <c r="R185" s="413"/>
      <c r="T185">
        <v>1</v>
      </c>
      <c r="U185" t="s">
        <v>2887</v>
      </c>
      <c r="V185" t="s">
        <v>2888</v>
      </c>
    </row>
    <row r="186" spans="1:22" x14ac:dyDescent="0.25">
      <c r="A186" t="s">
        <v>2852</v>
      </c>
      <c r="E186" t="s">
        <v>1775</v>
      </c>
      <c r="G186" s="411" t="s">
        <v>2858</v>
      </c>
      <c r="H186">
        <v>2011</v>
      </c>
      <c r="I186" s="415">
        <v>159</v>
      </c>
      <c r="K186" t="s">
        <v>2859</v>
      </c>
      <c r="L186" t="s">
        <v>2855</v>
      </c>
      <c r="O186" s="412">
        <f t="shared" si="3"/>
        <v>0.159</v>
      </c>
      <c r="Q186" s="413"/>
      <c r="T186">
        <v>1</v>
      </c>
      <c r="U186" t="s">
        <v>2887</v>
      </c>
      <c r="V186" t="s">
        <v>2888</v>
      </c>
    </row>
    <row r="187" spans="1:22" x14ac:dyDescent="0.25">
      <c r="A187" t="s">
        <v>2852</v>
      </c>
      <c r="E187" t="s">
        <v>1773</v>
      </c>
      <c r="G187" s="411" t="s">
        <v>2860</v>
      </c>
      <c r="H187">
        <v>2019</v>
      </c>
      <c r="I187" s="415">
        <v>151</v>
      </c>
      <c r="K187" t="s">
        <v>2861</v>
      </c>
      <c r="L187" t="s">
        <v>2855</v>
      </c>
      <c r="O187" s="412">
        <f t="shared" si="3"/>
        <v>0.151</v>
      </c>
      <c r="Q187" s="413">
        <f>IFERROR((I187/I188)^(1/(H187-H188)), "")</f>
        <v>0.97626053215902431</v>
      </c>
      <c r="R187" s="413"/>
      <c r="T187">
        <v>1</v>
      </c>
      <c r="U187" t="s">
        <v>2887</v>
      </c>
      <c r="V187" t="s">
        <v>2888</v>
      </c>
    </row>
    <row r="188" spans="1:22" x14ac:dyDescent="0.25">
      <c r="A188" t="s">
        <v>2852</v>
      </c>
      <c r="E188" t="s">
        <v>1773</v>
      </c>
      <c r="G188" s="411" t="s">
        <v>2860</v>
      </c>
      <c r="H188">
        <v>2011</v>
      </c>
      <c r="I188" s="415">
        <v>183</v>
      </c>
      <c r="K188" t="s">
        <v>2861</v>
      </c>
      <c r="L188" t="s">
        <v>2855</v>
      </c>
      <c r="O188" s="412">
        <f t="shared" si="3"/>
        <v>0.183</v>
      </c>
      <c r="Q188" s="413"/>
      <c r="T188">
        <v>1</v>
      </c>
      <c r="U188" t="s">
        <v>2887</v>
      </c>
      <c r="V188" t="s">
        <v>2888</v>
      </c>
    </row>
    <row r="189" spans="1:22" x14ac:dyDescent="0.25">
      <c r="A189" t="s">
        <v>2852</v>
      </c>
      <c r="E189" t="s">
        <v>1771</v>
      </c>
      <c r="G189" s="411" t="s">
        <v>2862</v>
      </c>
      <c r="H189">
        <v>2019</v>
      </c>
      <c r="I189" s="415">
        <v>64</v>
      </c>
      <c r="K189" t="s">
        <v>2863</v>
      </c>
      <c r="L189" t="s">
        <v>2855</v>
      </c>
      <c r="O189" s="412">
        <f t="shared" si="3"/>
        <v>6.4000000000000001E-2</v>
      </c>
      <c r="Q189" s="413">
        <f>IFERROR((I189/I190)^(1/(H189-H190)), "")</f>
        <v>0.94456603500022185</v>
      </c>
      <c r="R189" s="413"/>
      <c r="T189">
        <v>1</v>
      </c>
      <c r="U189" t="s">
        <v>2887</v>
      </c>
      <c r="V189" t="s">
        <v>2888</v>
      </c>
    </row>
    <row r="190" spans="1:22" x14ac:dyDescent="0.25">
      <c r="A190" t="s">
        <v>2852</v>
      </c>
      <c r="E190" t="s">
        <v>1771</v>
      </c>
      <c r="G190" s="411" t="s">
        <v>2862</v>
      </c>
      <c r="H190">
        <v>2011</v>
      </c>
      <c r="I190" s="415">
        <v>101</v>
      </c>
      <c r="K190" t="s">
        <v>2863</v>
      </c>
      <c r="L190" t="s">
        <v>2855</v>
      </c>
      <c r="O190" s="412">
        <f t="shared" si="3"/>
        <v>0.10100000000000001</v>
      </c>
      <c r="Q190" s="413"/>
      <c r="T190">
        <v>1</v>
      </c>
      <c r="U190" t="s">
        <v>2887</v>
      </c>
      <c r="V190" t="s">
        <v>2888</v>
      </c>
    </row>
    <row r="191" spans="1:22" x14ac:dyDescent="0.25">
      <c r="A191" t="s">
        <v>2852</v>
      </c>
      <c r="E191" t="s">
        <v>1769</v>
      </c>
      <c r="G191" s="411" t="s">
        <v>2864</v>
      </c>
      <c r="H191">
        <v>2019</v>
      </c>
      <c r="I191" s="415">
        <v>23</v>
      </c>
      <c r="K191" t="s">
        <v>2865</v>
      </c>
      <c r="L191" t="s">
        <v>2855</v>
      </c>
      <c r="O191" s="412">
        <f t="shared" si="3"/>
        <v>2.3E-2</v>
      </c>
      <c r="Q191" s="413">
        <f>IFERROR((I191/I192)^(1/(H191-H192)), "")</f>
        <v>1.0847216884718311</v>
      </c>
      <c r="R191" s="413"/>
      <c r="T191">
        <v>1</v>
      </c>
      <c r="U191" t="s">
        <v>2887</v>
      </c>
      <c r="V191" t="s">
        <v>2888</v>
      </c>
    </row>
    <row r="192" spans="1:22" x14ac:dyDescent="0.25">
      <c r="A192" t="s">
        <v>2852</v>
      </c>
      <c r="E192" t="s">
        <v>1769</v>
      </c>
      <c r="G192" s="411" t="s">
        <v>2864</v>
      </c>
      <c r="H192">
        <v>2011</v>
      </c>
      <c r="I192" s="415">
        <v>12</v>
      </c>
      <c r="K192" t="s">
        <v>2865</v>
      </c>
      <c r="L192" t="s">
        <v>2855</v>
      </c>
      <c r="O192" s="412">
        <f t="shared" si="3"/>
        <v>1.2E-2</v>
      </c>
      <c r="Q192" s="413" t="str">
        <f>IFERROR((I192/#REF!)^(1/(H192-#REF!)), "")</f>
        <v/>
      </c>
      <c r="T192">
        <v>1</v>
      </c>
      <c r="U192" t="s">
        <v>2887</v>
      </c>
      <c r="V192" t="s">
        <v>2888</v>
      </c>
    </row>
    <row r="193" spans="1:22" x14ac:dyDescent="0.25">
      <c r="A193" t="s">
        <v>2852</v>
      </c>
      <c r="E193" t="s">
        <v>1767</v>
      </c>
      <c r="G193" s="411" t="s">
        <v>2866</v>
      </c>
      <c r="H193">
        <v>2016</v>
      </c>
      <c r="I193" s="415">
        <v>0</v>
      </c>
      <c r="K193" t="s">
        <v>2877</v>
      </c>
      <c r="L193" t="s">
        <v>2855</v>
      </c>
      <c r="O193" s="412">
        <f t="shared" si="3"/>
        <v>0</v>
      </c>
      <c r="Q193" s="414">
        <v>1</v>
      </c>
      <c r="T193">
        <v>1</v>
      </c>
      <c r="U193" t="s">
        <v>2887</v>
      </c>
      <c r="V193" t="s">
        <v>2888</v>
      </c>
    </row>
    <row r="194" spans="1:22" x14ac:dyDescent="0.25">
      <c r="A194" t="s">
        <v>2889</v>
      </c>
      <c r="B194" t="s">
        <v>2890</v>
      </c>
      <c r="C194" t="str">
        <f>_xlfn.CONCAT(B194,U194)</f>
        <v>VC1ET</v>
      </c>
      <c r="D194" t="s">
        <v>2182</v>
      </c>
      <c r="E194" t="s">
        <v>2178</v>
      </c>
      <c r="F194" t="s">
        <v>65</v>
      </c>
      <c r="G194" s="411" t="s">
        <v>2891</v>
      </c>
      <c r="H194">
        <v>2015</v>
      </c>
      <c r="I194" s="416">
        <f>68002-2811-1460</f>
        <v>63731</v>
      </c>
      <c r="J194" s="413"/>
      <c r="K194" t="s">
        <v>2892</v>
      </c>
      <c r="L194" t="s">
        <v>2893</v>
      </c>
      <c r="O194" s="412">
        <f>I194/I206</f>
        <v>0.1902111301461854</v>
      </c>
      <c r="T194">
        <v>0</v>
      </c>
      <c r="U194" t="s">
        <v>2851</v>
      </c>
      <c r="V194" t="s">
        <v>594</v>
      </c>
    </row>
    <row r="195" spans="1:22" x14ac:dyDescent="0.25">
      <c r="A195" t="s">
        <v>2889</v>
      </c>
      <c r="B195" t="s">
        <v>2890</v>
      </c>
      <c r="C195" t="str">
        <f t="shared" ref="C195:C205" si="4">_xlfn.CONCAT(B195,U195)</f>
        <v>VC1ET14</v>
      </c>
      <c r="E195" t="s">
        <v>2178</v>
      </c>
      <c r="F195" t="s">
        <v>65</v>
      </c>
      <c r="G195" s="411" t="s">
        <v>2891</v>
      </c>
      <c r="H195">
        <v>2015</v>
      </c>
      <c r="I195" s="416">
        <v>14453</v>
      </c>
      <c r="J195" s="413"/>
      <c r="K195" t="s">
        <v>2892</v>
      </c>
      <c r="L195" t="s">
        <v>2893</v>
      </c>
      <c r="O195" s="412">
        <f t="shared" ref="O195:O204" si="5">I195/I207</f>
        <v>0.30832408908609948</v>
      </c>
      <c r="T195">
        <v>1</v>
      </c>
      <c r="U195" t="s">
        <v>2886</v>
      </c>
      <c r="V195" t="s">
        <v>814</v>
      </c>
    </row>
    <row r="196" spans="1:22" x14ac:dyDescent="0.25">
      <c r="A196" t="s">
        <v>2889</v>
      </c>
      <c r="B196" t="s">
        <v>2890</v>
      </c>
      <c r="C196" t="str">
        <f t="shared" si="4"/>
        <v>VC1ET02</v>
      </c>
      <c r="E196" t="s">
        <v>2178</v>
      </c>
      <c r="F196" t="s">
        <v>65</v>
      </c>
      <c r="G196" s="411" t="s">
        <v>2891</v>
      </c>
      <c r="H196">
        <v>2015</v>
      </c>
      <c r="I196" s="416">
        <v>358</v>
      </c>
      <c r="J196" s="413"/>
      <c r="K196" t="s">
        <v>2892</v>
      </c>
      <c r="L196" t="s">
        <v>2893</v>
      </c>
      <c r="O196" s="412">
        <f t="shared" si="5"/>
        <v>0.21296847114812612</v>
      </c>
      <c r="T196">
        <v>1</v>
      </c>
      <c r="U196" t="s">
        <v>2871</v>
      </c>
      <c r="V196" t="s">
        <v>2872</v>
      </c>
    </row>
    <row r="197" spans="1:22" x14ac:dyDescent="0.25">
      <c r="A197" t="s">
        <v>2889</v>
      </c>
      <c r="B197" t="s">
        <v>2890</v>
      </c>
      <c r="C197" t="str">
        <f t="shared" si="4"/>
        <v>VC1ET03</v>
      </c>
      <c r="E197" t="s">
        <v>2178</v>
      </c>
      <c r="F197" t="s">
        <v>65</v>
      </c>
      <c r="G197" s="411" t="s">
        <v>2891</v>
      </c>
      <c r="H197">
        <v>2015</v>
      </c>
      <c r="I197" s="416">
        <v>11263</v>
      </c>
      <c r="J197" s="413"/>
      <c r="K197" t="s">
        <v>2892</v>
      </c>
      <c r="L197" t="s">
        <v>2893</v>
      </c>
      <c r="O197" s="412">
        <f t="shared" si="5"/>
        <v>0.24284697815821815</v>
      </c>
      <c r="T197">
        <v>1</v>
      </c>
      <c r="U197" t="s">
        <v>2873</v>
      </c>
      <c r="V197" t="s">
        <v>805</v>
      </c>
    </row>
    <row r="198" spans="1:22" x14ac:dyDescent="0.25">
      <c r="A198" t="s">
        <v>2889</v>
      </c>
      <c r="B198" t="s">
        <v>2890</v>
      </c>
      <c r="C198" t="str">
        <f t="shared" si="4"/>
        <v>VC1ET06</v>
      </c>
      <c r="E198" t="s">
        <v>2178</v>
      </c>
      <c r="F198" t="s">
        <v>65</v>
      </c>
      <c r="G198" s="411" t="s">
        <v>2891</v>
      </c>
      <c r="H198">
        <v>2015</v>
      </c>
      <c r="I198" s="416">
        <v>1302</v>
      </c>
      <c r="J198" s="413"/>
      <c r="K198" t="s">
        <v>2892</v>
      </c>
      <c r="L198" t="s">
        <v>2893</v>
      </c>
      <c r="O198" s="412">
        <f t="shared" si="5"/>
        <v>0.39228683338354925</v>
      </c>
      <c r="T198">
        <v>1</v>
      </c>
      <c r="U198" t="s">
        <v>2878</v>
      </c>
      <c r="V198" t="s">
        <v>2879</v>
      </c>
    </row>
    <row r="199" spans="1:22" x14ac:dyDescent="0.25">
      <c r="A199" t="s">
        <v>2889</v>
      </c>
      <c r="B199" t="s">
        <v>2890</v>
      </c>
      <c r="C199" t="str">
        <f t="shared" si="4"/>
        <v>VC1ET15</v>
      </c>
      <c r="E199" t="s">
        <v>2178</v>
      </c>
      <c r="F199" t="s">
        <v>65</v>
      </c>
      <c r="G199" s="411" t="s">
        <v>2891</v>
      </c>
      <c r="H199">
        <v>2015</v>
      </c>
      <c r="I199" s="416">
        <v>1437</v>
      </c>
      <c r="J199" s="413"/>
      <c r="K199" t="s">
        <v>2892</v>
      </c>
      <c r="L199" t="s">
        <v>2893</v>
      </c>
      <c r="O199" s="412">
        <f t="shared" si="5"/>
        <v>0.26094062102778282</v>
      </c>
      <c r="T199">
        <v>1</v>
      </c>
      <c r="U199" t="s">
        <v>2887</v>
      </c>
      <c r="V199" t="s">
        <v>2888</v>
      </c>
    </row>
    <row r="200" spans="1:22" x14ac:dyDescent="0.25">
      <c r="A200" t="s">
        <v>2889</v>
      </c>
      <c r="B200" t="s">
        <v>2890</v>
      </c>
      <c r="C200" t="str">
        <f t="shared" si="4"/>
        <v>VC1ET12</v>
      </c>
      <c r="E200" t="s">
        <v>2178</v>
      </c>
      <c r="F200" t="s">
        <v>65</v>
      </c>
      <c r="G200" s="411" t="s">
        <v>2891</v>
      </c>
      <c r="H200">
        <v>2015</v>
      </c>
      <c r="I200" s="416">
        <v>157</v>
      </c>
      <c r="J200" s="413"/>
      <c r="K200" t="s">
        <v>2892</v>
      </c>
      <c r="L200" t="s">
        <v>2893</v>
      </c>
      <c r="O200" s="412">
        <f t="shared" si="5"/>
        <v>9.080393290919607E-2</v>
      </c>
      <c r="T200">
        <v>1</v>
      </c>
      <c r="U200" t="s">
        <v>2882</v>
      </c>
      <c r="V200" t="s">
        <v>2894</v>
      </c>
    </row>
    <row r="201" spans="1:22" x14ac:dyDescent="0.25">
      <c r="A201" t="s">
        <v>2889</v>
      </c>
      <c r="B201" t="s">
        <v>2890</v>
      </c>
      <c r="C201" t="str">
        <f t="shared" si="4"/>
        <v>VC1ET13</v>
      </c>
      <c r="E201" t="s">
        <v>2178</v>
      </c>
      <c r="F201" t="s">
        <v>65</v>
      </c>
      <c r="G201" s="411" t="s">
        <v>2891</v>
      </c>
      <c r="H201">
        <v>2015</v>
      </c>
      <c r="I201" s="416">
        <v>1384</v>
      </c>
      <c r="J201" s="413"/>
      <c r="K201" t="s">
        <v>2892</v>
      </c>
      <c r="L201" t="s">
        <v>2893</v>
      </c>
      <c r="O201" s="412">
        <f t="shared" si="5"/>
        <v>0.25634376736432674</v>
      </c>
      <c r="T201">
        <v>1</v>
      </c>
      <c r="U201" t="s">
        <v>2884</v>
      </c>
      <c r="V201" t="s">
        <v>2885</v>
      </c>
    </row>
    <row r="202" spans="1:22" x14ac:dyDescent="0.25">
      <c r="A202" t="s">
        <v>2889</v>
      </c>
      <c r="B202" t="s">
        <v>2890</v>
      </c>
      <c r="C202" t="str">
        <f t="shared" si="4"/>
        <v>VC1ET04</v>
      </c>
      <c r="E202" t="s">
        <v>2178</v>
      </c>
      <c r="F202" t="s">
        <v>65</v>
      </c>
      <c r="G202" s="411" t="s">
        <v>2891</v>
      </c>
      <c r="H202">
        <v>2015</v>
      </c>
      <c r="I202" s="416">
        <v>17084</v>
      </c>
      <c r="J202" s="413"/>
      <c r="K202" t="s">
        <v>2892</v>
      </c>
      <c r="L202" t="s">
        <v>2893</v>
      </c>
      <c r="O202" s="412">
        <f t="shared" si="5"/>
        <v>0.17016275224606067</v>
      </c>
      <c r="T202">
        <v>1</v>
      </c>
      <c r="U202" t="s">
        <v>2874</v>
      </c>
      <c r="V202" t="s">
        <v>809</v>
      </c>
    </row>
    <row r="203" spans="1:22" x14ac:dyDescent="0.25">
      <c r="A203" t="s">
        <v>2889</v>
      </c>
      <c r="B203" t="s">
        <v>2890</v>
      </c>
      <c r="C203" t="str">
        <f t="shared" si="4"/>
        <v>VC1ET07</v>
      </c>
      <c r="E203" t="s">
        <v>2178</v>
      </c>
      <c r="F203" t="s">
        <v>65</v>
      </c>
      <c r="G203" s="411" t="s">
        <v>2891</v>
      </c>
      <c r="H203">
        <v>2015</v>
      </c>
      <c r="I203" s="416">
        <v>12942</v>
      </c>
      <c r="J203" s="413"/>
      <c r="K203" t="s">
        <v>2892</v>
      </c>
      <c r="L203" t="s">
        <v>2893</v>
      </c>
      <c r="O203" s="412">
        <f t="shared" si="5"/>
        <v>0.18535174152153988</v>
      </c>
      <c r="T203">
        <v>1</v>
      </c>
      <c r="U203" t="s">
        <v>2880</v>
      </c>
      <c r="V203" t="s">
        <v>2881</v>
      </c>
    </row>
    <row r="204" spans="1:22" x14ac:dyDescent="0.25">
      <c r="A204" t="s">
        <v>2889</v>
      </c>
      <c r="B204" t="s">
        <v>2890</v>
      </c>
      <c r="C204" t="str">
        <f t="shared" si="4"/>
        <v>VC1ET05</v>
      </c>
      <c r="E204" t="s">
        <v>2178</v>
      </c>
      <c r="F204" t="s">
        <v>65</v>
      </c>
      <c r="G204" s="411" t="s">
        <v>2891</v>
      </c>
      <c r="H204">
        <v>2015</v>
      </c>
      <c r="I204" s="416">
        <v>1710</v>
      </c>
      <c r="J204" s="413"/>
      <c r="K204" t="s">
        <v>2892</v>
      </c>
      <c r="L204" t="s">
        <v>2893</v>
      </c>
      <c r="O204" s="412">
        <f t="shared" si="5"/>
        <v>0.20011702750146285</v>
      </c>
      <c r="T204">
        <v>1</v>
      </c>
      <c r="U204" t="s">
        <v>2875</v>
      </c>
      <c r="V204" t="s">
        <v>2876</v>
      </c>
    </row>
    <row r="205" spans="1:22" x14ac:dyDescent="0.25">
      <c r="A205" t="s">
        <v>2889</v>
      </c>
      <c r="B205" t="s">
        <v>2890</v>
      </c>
      <c r="C205" t="str">
        <f t="shared" si="4"/>
        <v>VC1ET01</v>
      </c>
      <c r="E205" t="s">
        <v>2178</v>
      </c>
      <c r="F205" t="s">
        <v>65</v>
      </c>
      <c r="G205" s="411" t="s">
        <v>2891</v>
      </c>
      <c r="H205">
        <v>2015</v>
      </c>
      <c r="I205" s="416">
        <v>5912</v>
      </c>
      <c r="J205" s="413"/>
      <c r="K205" t="s">
        <v>2892</v>
      </c>
      <c r="L205" t="s">
        <v>2893</v>
      </c>
      <c r="O205" s="412">
        <f>I205/I217</f>
        <v>0.13022886974910236</v>
      </c>
      <c r="T205">
        <v>1</v>
      </c>
      <c r="U205" t="s">
        <v>2870</v>
      </c>
      <c r="V205" t="s">
        <v>806</v>
      </c>
    </row>
    <row r="206" spans="1:22" x14ac:dyDescent="0.25">
      <c r="A206" t="s">
        <v>2895</v>
      </c>
      <c r="E206" t="s">
        <v>2891</v>
      </c>
      <c r="F206" t="s">
        <v>65</v>
      </c>
      <c r="G206" s="411" t="s">
        <v>2891</v>
      </c>
      <c r="H206">
        <v>2015</v>
      </c>
      <c r="I206" s="416">
        <v>335054</v>
      </c>
      <c r="J206" s="413"/>
      <c r="K206" t="s">
        <v>2896</v>
      </c>
      <c r="L206" t="s">
        <v>2893</v>
      </c>
      <c r="T206">
        <v>0</v>
      </c>
      <c r="U206" t="s">
        <v>2851</v>
      </c>
      <c r="V206" t="s">
        <v>594</v>
      </c>
    </row>
    <row r="207" spans="1:22" x14ac:dyDescent="0.25">
      <c r="A207" t="s">
        <v>2895</v>
      </c>
      <c r="E207" t="s">
        <v>2891</v>
      </c>
      <c r="F207" t="s">
        <v>65</v>
      </c>
      <c r="G207" s="411" t="s">
        <v>2891</v>
      </c>
      <c r="H207">
        <v>2015</v>
      </c>
      <c r="I207" s="416">
        <v>46876</v>
      </c>
      <c r="J207" s="413"/>
      <c r="K207" t="s">
        <v>2896</v>
      </c>
      <c r="L207" t="s">
        <v>2893</v>
      </c>
      <c r="T207">
        <v>1</v>
      </c>
      <c r="U207" t="s">
        <v>2886</v>
      </c>
      <c r="V207" t="s">
        <v>814</v>
      </c>
    </row>
    <row r="208" spans="1:22" x14ac:dyDescent="0.25">
      <c r="A208" t="s">
        <v>2895</v>
      </c>
      <c r="E208" t="s">
        <v>2891</v>
      </c>
      <c r="F208" t="s">
        <v>65</v>
      </c>
      <c r="G208" s="411" t="s">
        <v>2891</v>
      </c>
      <c r="H208">
        <v>2015</v>
      </c>
      <c r="I208" s="416">
        <v>1681</v>
      </c>
      <c r="J208" s="413"/>
      <c r="K208" t="s">
        <v>2896</v>
      </c>
      <c r="L208" t="s">
        <v>2893</v>
      </c>
      <c r="T208">
        <v>1</v>
      </c>
      <c r="U208" t="s">
        <v>2871</v>
      </c>
      <c r="V208" t="s">
        <v>2872</v>
      </c>
    </row>
    <row r="209" spans="1:22" x14ac:dyDescent="0.25">
      <c r="A209" t="s">
        <v>2895</v>
      </c>
      <c r="E209" t="s">
        <v>2891</v>
      </c>
      <c r="F209" t="s">
        <v>65</v>
      </c>
      <c r="G209" s="411" t="s">
        <v>2891</v>
      </c>
      <c r="H209">
        <v>2015</v>
      </c>
      <c r="I209" s="416">
        <v>46379</v>
      </c>
      <c r="J209" s="413"/>
      <c r="K209" t="s">
        <v>2896</v>
      </c>
      <c r="L209" t="s">
        <v>2893</v>
      </c>
      <c r="T209">
        <v>1</v>
      </c>
      <c r="U209" t="s">
        <v>2873</v>
      </c>
      <c r="V209" t="s">
        <v>805</v>
      </c>
    </row>
    <row r="210" spans="1:22" x14ac:dyDescent="0.25">
      <c r="A210" t="s">
        <v>2895</v>
      </c>
      <c r="E210" t="s">
        <v>2891</v>
      </c>
      <c r="F210" t="s">
        <v>65</v>
      </c>
      <c r="G210" s="411" t="s">
        <v>2891</v>
      </c>
      <c r="H210">
        <v>2015</v>
      </c>
      <c r="I210" s="416">
        <v>3319</v>
      </c>
      <c r="J210" s="413"/>
      <c r="K210" t="s">
        <v>2896</v>
      </c>
      <c r="L210" t="s">
        <v>2893</v>
      </c>
      <c r="T210">
        <v>1</v>
      </c>
      <c r="U210" t="s">
        <v>2878</v>
      </c>
      <c r="V210" t="s">
        <v>2879</v>
      </c>
    </row>
    <row r="211" spans="1:22" x14ac:dyDescent="0.25">
      <c r="A211" t="s">
        <v>2895</v>
      </c>
      <c r="E211" t="s">
        <v>2891</v>
      </c>
      <c r="F211" t="s">
        <v>65</v>
      </c>
      <c r="G211" s="411" t="s">
        <v>2891</v>
      </c>
      <c r="H211">
        <v>2015</v>
      </c>
      <c r="I211" s="416">
        <v>5507</v>
      </c>
      <c r="J211" s="413"/>
      <c r="K211" t="s">
        <v>2896</v>
      </c>
      <c r="L211" t="s">
        <v>2893</v>
      </c>
      <c r="T211">
        <v>1</v>
      </c>
      <c r="U211" t="s">
        <v>2887</v>
      </c>
      <c r="V211" t="s">
        <v>2888</v>
      </c>
    </row>
    <row r="212" spans="1:22" x14ac:dyDescent="0.25">
      <c r="A212" t="s">
        <v>2895</v>
      </c>
      <c r="E212" t="s">
        <v>2891</v>
      </c>
      <c r="F212" t="s">
        <v>65</v>
      </c>
      <c r="G212" s="411" t="s">
        <v>2891</v>
      </c>
      <c r="H212">
        <v>2015</v>
      </c>
      <c r="I212" s="416">
        <v>1729</v>
      </c>
      <c r="J212" s="413"/>
      <c r="K212" t="s">
        <v>2896</v>
      </c>
      <c r="L212" t="s">
        <v>2893</v>
      </c>
      <c r="T212">
        <v>1</v>
      </c>
      <c r="U212" t="s">
        <v>2882</v>
      </c>
      <c r="V212" t="s">
        <v>2894</v>
      </c>
    </row>
    <row r="213" spans="1:22" x14ac:dyDescent="0.25">
      <c r="A213" t="s">
        <v>2895</v>
      </c>
      <c r="E213" t="s">
        <v>2891</v>
      </c>
      <c r="F213" t="s">
        <v>65</v>
      </c>
      <c r="G213" s="411" t="s">
        <v>2891</v>
      </c>
      <c r="H213">
        <v>2015</v>
      </c>
      <c r="I213" s="416">
        <v>5399</v>
      </c>
      <c r="J213" s="413"/>
      <c r="K213" t="s">
        <v>2896</v>
      </c>
      <c r="L213" t="s">
        <v>2893</v>
      </c>
      <c r="T213">
        <v>1</v>
      </c>
      <c r="U213" t="s">
        <v>2884</v>
      </c>
      <c r="V213" t="s">
        <v>2885</v>
      </c>
    </row>
    <row r="214" spans="1:22" x14ac:dyDescent="0.25">
      <c r="A214" t="s">
        <v>2895</v>
      </c>
      <c r="E214" t="s">
        <v>2891</v>
      </c>
      <c r="F214" t="s">
        <v>65</v>
      </c>
      <c r="G214" s="411" t="s">
        <v>2891</v>
      </c>
      <c r="H214">
        <v>2015</v>
      </c>
      <c r="I214" s="416">
        <v>100398</v>
      </c>
      <c r="J214" s="413"/>
      <c r="K214" t="s">
        <v>2896</v>
      </c>
      <c r="L214" t="s">
        <v>2893</v>
      </c>
      <c r="T214">
        <v>1</v>
      </c>
      <c r="U214" t="s">
        <v>2874</v>
      </c>
      <c r="V214" t="s">
        <v>809</v>
      </c>
    </row>
    <row r="215" spans="1:22" x14ac:dyDescent="0.25">
      <c r="A215" t="s">
        <v>2895</v>
      </c>
      <c r="E215" t="s">
        <v>2891</v>
      </c>
      <c r="F215" t="s">
        <v>65</v>
      </c>
      <c r="G215" s="411" t="s">
        <v>2891</v>
      </c>
      <c r="H215">
        <v>2015</v>
      </c>
      <c r="I215" s="416">
        <v>69824</v>
      </c>
      <c r="J215" s="413"/>
      <c r="K215" t="s">
        <v>2896</v>
      </c>
      <c r="L215" t="s">
        <v>2893</v>
      </c>
      <c r="T215">
        <v>1</v>
      </c>
      <c r="U215" t="s">
        <v>2880</v>
      </c>
      <c r="V215" t="s">
        <v>2881</v>
      </c>
    </row>
    <row r="216" spans="1:22" x14ac:dyDescent="0.25">
      <c r="A216" t="s">
        <v>2895</v>
      </c>
      <c r="E216" t="s">
        <v>2891</v>
      </c>
      <c r="F216" t="s">
        <v>65</v>
      </c>
      <c r="G216" s="411" t="s">
        <v>2891</v>
      </c>
      <c r="H216">
        <v>2015</v>
      </c>
      <c r="I216" s="416">
        <v>8545</v>
      </c>
      <c r="J216" s="413"/>
      <c r="K216" t="s">
        <v>2896</v>
      </c>
      <c r="L216" t="s">
        <v>2893</v>
      </c>
      <c r="T216">
        <v>1</v>
      </c>
      <c r="U216" t="s">
        <v>2875</v>
      </c>
      <c r="V216" t="s">
        <v>2876</v>
      </c>
    </row>
    <row r="217" spans="1:22" x14ac:dyDescent="0.25">
      <c r="A217" t="s">
        <v>2895</v>
      </c>
      <c r="E217" t="s">
        <v>2891</v>
      </c>
      <c r="F217" t="s">
        <v>65</v>
      </c>
      <c r="G217" s="411" t="s">
        <v>2891</v>
      </c>
      <c r="H217">
        <v>2015</v>
      </c>
      <c r="I217" s="416">
        <v>45397</v>
      </c>
      <c r="J217" s="413"/>
      <c r="K217" t="s">
        <v>2896</v>
      </c>
      <c r="L217" t="s">
        <v>2893</v>
      </c>
      <c r="T217">
        <v>1</v>
      </c>
      <c r="U217" t="s">
        <v>2870</v>
      </c>
      <c r="V217" t="s">
        <v>806</v>
      </c>
    </row>
    <row r="218" spans="1:22" s="418" customFormat="1" x14ac:dyDescent="0.25">
      <c r="A218" s="418" t="s">
        <v>2897</v>
      </c>
      <c r="E218" s="418" t="s">
        <v>2898</v>
      </c>
      <c r="F218" s="418" t="s">
        <v>65</v>
      </c>
      <c r="G218" s="419" t="s">
        <v>156</v>
      </c>
      <c r="H218" s="418" t="s">
        <v>2899</v>
      </c>
      <c r="I218" s="420">
        <v>12.93</v>
      </c>
      <c r="J218" s="418" t="s">
        <v>2900</v>
      </c>
      <c r="K218" s="418" t="s">
        <v>2901</v>
      </c>
      <c r="L218" s="418" t="s">
        <v>2902</v>
      </c>
      <c r="Q218" s="421"/>
      <c r="T218" s="418">
        <v>0</v>
      </c>
      <c r="U218" s="418" t="s">
        <v>2851</v>
      </c>
      <c r="V218" s="418" t="s">
        <v>594</v>
      </c>
    </row>
    <row r="219" spans="1:22" s="418" customFormat="1" x14ac:dyDescent="0.25">
      <c r="A219" s="418" t="s">
        <v>2897</v>
      </c>
      <c r="E219" s="418" t="s">
        <v>2898</v>
      </c>
      <c r="F219" s="418" t="s">
        <v>65</v>
      </c>
      <c r="G219" s="419" t="s">
        <v>156</v>
      </c>
      <c r="H219" s="418" t="s">
        <v>2903</v>
      </c>
      <c r="I219" s="420">
        <v>15.4</v>
      </c>
      <c r="K219" s="418" t="s">
        <v>2901</v>
      </c>
      <c r="L219" s="418" t="s">
        <v>2902</v>
      </c>
      <c r="Q219" s="421"/>
      <c r="T219" s="418">
        <v>1</v>
      </c>
      <c r="U219" s="418" t="s">
        <v>2874</v>
      </c>
      <c r="V219" s="418" t="s">
        <v>809</v>
      </c>
    </row>
    <row r="220" spans="1:22" s="418" customFormat="1" x14ac:dyDescent="0.25">
      <c r="A220" s="418" t="s">
        <v>2897</v>
      </c>
      <c r="E220" s="418" t="s">
        <v>2898</v>
      </c>
      <c r="F220" s="418" t="s">
        <v>65</v>
      </c>
      <c r="G220" s="419" t="s">
        <v>156</v>
      </c>
      <c r="H220" s="418" t="s">
        <v>2904</v>
      </c>
      <c r="I220" s="420">
        <v>8.15</v>
      </c>
      <c r="K220" s="418" t="s">
        <v>2901</v>
      </c>
      <c r="L220" s="418" t="s">
        <v>2902</v>
      </c>
      <c r="Q220" s="421"/>
      <c r="T220" s="418">
        <v>1</v>
      </c>
      <c r="U220" s="418" t="s">
        <v>2880</v>
      </c>
      <c r="V220" s="418" t="s">
        <v>2881</v>
      </c>
    </row>
    <row r="221" spans="1:22" s="418" customFormat="1" x14ac:dyDescent="0.25">
      <c r="A221" s="418" t="s">
        <v>2897</v>
      </c>
      <c r="E221" s="418" t="s">
        <v>2898</v>
      </c>
      <c r="F221" s="418" t="s">
        <v>65</v>
      </c>
      <c r="G221" s="419" t="s">
        <v>156</v>
      </c>
      <c r="H221" s="418" t="s">
        <v>2905</v>
      </c>
      <c r="I221" s="420">
        <v>14.48</v>
      </c>
      <c r="K221" s="418" t="s">
        <v>2901</v>
      </c>
      <c r="L221" s="418" t="s">
        <v>2902</v>
      </c>
      <c r="Q221" s="421"/>
      <c r="T221" s="418">
        <v>1</v>
      </c>
      <c r="U221" s="418" t="s">
        <v>2870</v>
      </c>
      <c r="V221" s="418" t="s">
        <v>806</v>
      </c>
    </row>
    <row r="222" spans="1:22" s="418" customFormat="1" x14ac:dyDescent="0.25">
      <c r="A222" s="418" t="s">
        <v>2897</v>
      </c>
      <c r="E222" s="418" t="s">
        <v>2898</v>
      </c>
      <c r="F222" s="418" t="s">
        <v>65</v>
      </c>
      <c r="G222" s="419" t="s">
        <v>156</v>
      </c>
      <c r="H222" s="418">
        <v>2016</v>
      </c>
      <c r="I222" s="420">
        <v>10.7</v>
      </c>
      <c r="J222" s="418" t="s">
        <v>2906</v>
      </c>
      <c r="K222" s="418" t="s">
        <v>2901</v>
      </c>
      <c r="L222" s="418" t="s">
        <v>2196</v>
      </c>
      <c r="Q222" s="421"/>
      <c r="T222" s="418">
        <v>1</v>
      </c>
      <c r="U222" s="418" t="s">
        <v>2873</v>
      </c>
      <c r="V222" s="418" t="s">
        <v>805</v>
      </c>
    </row>
    <row r="223" spans="1:22" x14ac:dyDescent="0.25">
      <c r="A223" t="s">
        <v>2907</v>
      </c>
      <c r="B223" t="s">
        <v>2908</v>
      </c>
      <c r="C223" t="str">
        <f t="shared" ref="C223:C238" si="6">_xlfn.CONCAT(B223,U223)</f>
        <v>VC2ET</v>
      </c>
      <c r="D223" t="s">
        <v>2193</v>
      </c>
      <c r="E223" t="s">
        <v>2188</v>
      </c>
      <c r="F223" t="s">
        <v>65</v>
      </c>
      <c r="G223" s="411" t="s">
        <v>156</v>
      </c>
      <c r="H223" t="s">
        <v>2905</v>
      </c>
      <c r="I223" s="413">
        <v>14.81</v>
      </c>
      <c r="J223" s="413" t="s">
        <v>2909</v>
      </c>
      <c r="K223" t="s">
        <v>2910</v>
      </c>
      <c r="L223" t="s">
        <v>2911</v>
      </c>
      <c r="O223" s="412">
        <f>I223/100</f>
        <v>0.14810000000000001</v>
      </c>
      <c r="T223">
        <v>0</v>
      </c>
      <c r="U223" t="s">
        <v>2851</v>
      </c>
      <c r="V223" t="s">
        <v>594</v>
      </c>
    </row>
    <row r="224" spans="1:22" x14ac:dyDescent="0.25">
      <c r="A224" t="s">
        <v>2907</v>
      </c>
      <c r="B224" t="s">
        <v>2908</v>
      </c>
      <c r="C224" t="str">
        <f t="shared" si="6"/>
        <v>VC2ET03</v>
      </c>
      <c r="E224" t="s">
        <v>2188</v>
      </c>
      <c r="F224" t="s">
        <v>65</v>
      </c>
      <c r="G224" s="411" t="s">
        <v>156</v>
      </c>
      <c r="H224" t="s">
        <v>2912</v>
      </c>
      <c r="I224" s="413">
        <v>18.54</v>
      </c>
      <c r="J224" s="413" t="s">
        <v>2913</v>
      </c>
      <c r="K224" t="s">
        <v>2914</v>
      </c>
      <c r="L224" t="s">
        <v>2911</v>
      </c>
      <c r="O224" s="412">
        <f t="shared" ref="O224:O226" si="7">I224/100</f>
        <v>0.18539999999999998</v>
      </c>
      <c r="T224">
        <v>1</v>
      </c>
      <c r="U224" t="s">
        <v>2873</v>
      </c>
      <c r="V224" t="s">
        <v>805</v>
      </c>
    </row>
    <row r="225" spans="1:22" x14ac:dyDescent="0.25">
      <c r="A225" t="s">
        <v>2907</v>
      </c>
      <c r="B225" t="s">
        <v>2908</v>
      </c>
      <c r="C225" t="str">
        <f t="shared" si="6"/>
        <v>VC2ET14</v>
      </c>
      <c r="E225" t="s">
        <v>2188</v>
      </c>
      <c r="F225" t="s">
        <v>65</v>
      </c>
      <c r="G225" s="411" t="s">
        <v>156</v>
      </c>
      <c r="H225">
        <v>2014</v>
      </c>
      <c r="I225" s="413">
        <v>8.3800000000000008</v>
      </c>
      <c r="J225" s="413" t="s">
        <v>2915</v>
      </c>
      <c r="K225" t="s">
        <v>2916</v>
      </c>
      <c r="L225" t="s">
        <v>1863</v>
      </c>
      <c r="O225" s="412">
        <f t="shared" si="7"/>
        <v>8.3800000000000013E-2</v>
      </c>
      <c r="T225">
        <v>1</v>
      </c>
      <c r="U225" t="s">
        <v>2886</v>
      </c>
      <c r="V225" t="s">
        <v>814</v>
      </c>
    </row>
    <row r="226" spans="1:22" x14ac:dyDescent="0.25">
      <c r="A226" t="s">
        <v>2907</v>
      </c>
      <c r="B226" t="s">
        <v>2908</v>
      </c>
      <c r="C226" t="str">
        <f t="shared" si="6"/>
        <v>VC2ET15</v>
      </c>
      <c r="E226" t="s">
        <v>2188</v>
      </c>
      <c r="F226" t="s">
        <v>65</v>
      </c>
      <c r="G226" s="411" t="s">
        <v>156</v>
      </c>
      <c r="H226">
        <v>2019</v>
      </c>
      <c r="I226" s="415">
        <v>12.93</v>
      </c>
      <c r="J226" s="413" t="s">
        <v>2917</v>
      </c>
      <c r="K226" t="s">
        <v>2916</v>
      </c>
      <c r="L226" t="s">
        <v>1863</v>
      </c>
      <c r="O226" s="412">
        <f t="shared" si="7"/>
        <v>0.1293</v>
      </c>
      <c r="Q226" s="414"/>
      <c r="T226">
        <v>1</v>
      </c>
      <c r="U226" t="s">
        <v>2887</v>
      </c>
      <c r="V226" t="s">
        <v>2888</v>
      </c>
    </row>
    <row r="227" spans="1:22" x14ac:dyDescent="0.25">
      <c r="A227" t="s">
        <v>2918</v>
      </c>
      <c r="B227" t="s">
        <v>2919</v>
      </c>
      <c r="C227" t="str">
        <f t="shared" si="6"/>
        <v>VC3ET</v>
      </c>
      <c r="D227" t="s">
        <v>2194</v>
      </c>
      <c r="E227" t="s">
        <v>2189</v>
      </c>
      <c r="F227" t="s">
        <v>65</v>
      </c>
      <c r="G227" s="411" t="s">
        <v>156</v>
      </c>
      <c r="H227" t="s">
        <v>2920</v>
      </c>
      <c r="I227" s="413">
        <v>9.5</v>
      </c>
      <c r="J227" s="413"/>
      <c r="K227" t="s">
        <v>2921</v>
      </c>
      <c r="L227" t="s">
        <v>2196</v>
      </c>
      <c r="O227" s="412">
        <f>I227/100</f>
        <v>9.5000000000000001E-2</v>
      </c>
      <c r="T227">
        <v>0</v>
      </c>
      <c r="U227" t="s">
        <v>2851</v>
      </c>
      <c r="V227" t="s">
        <v>594</v>
      </c>
    </row>
    <row r="228" spans="1:22" x14ac:dyDescent="0.25">
      <c r="A228" t="s">
        <v>2922</v>
      </c>
      <c r="B228" t="s">
        <v>2923</v>
      </c>
      <c r="C228" t="str">
        <f t="shared" si="6"/>
        <v>VC4ET</v>
      </c>
      <c r="D228" t="s">
        <v>2195</v>
      </c>
      <c r="E228" t="s">
        <v>2190</v>
      </c>
      <c r="F228" t="s">
        <v>65</v>
      </c>
      <c r="G228" s="411" t="s">
        <v>156</v>
      </c>
      <c r="H228" t="s">
        <v>2924</v>
      </c>
      <c r="I228" s="413">
        <v>8.24</v>
      </c>
      <c r="J228" s="413" t="s">
        <v>2925</v>
      </c>
      <c r="K228" t="s">
        <v>2916</v>
      </c>
      <c r="L228" t="s">
        <v>2196</v>
      </c>
      <c r="O228" s="412">
        <f>I228/100</f>
        <v>8.2400000000000001E-2</v>
      </c>
      <c r="T228">
        <v>0</v>
      </c>
      <c r="U228" t="s">
        <v>2851</v>
      </c>
      <c r="V228" t="s">
        <v>594</v>
      </c>
    </row>
    <row r="229" spans="1:22" x14ac:dyDescent="0.25">
      <c r="A229" t="s">
        <v>2922</v>
      </c>
      <c r="B229" t="s">
        <v>2923</v>
      </c>
      <c r="C229" t="str">
        <f t="shared" si="6"/>
        <v>VC4ETR</v>
      </c>
      <c r="E229" t="s">
        <v>2190</v>
      </c>
      <c r="F229" t="s">
        <v>65</v>
      </c>
      <c r="G229" s="411" t="s">
        <v>156</v>
      </c>
      <c r="H229" t="s">
        <v>2926</v>
      </c>
      <c r="I229" s="413">
        <v>9.98</v>
      </c>
      <c r="J229" s="413" t="s">
        <v>2927</v>
      </c>
      <c r="K229" t="s">
        <v>2916</v>
      </c>
      <c r="O229" s="412">
        <f t="shared" ref="O229:O237" si="8">I229/100</f>
        <v>9.98E-2</v>
      </c>
      <c r="T229">
        <v>0.5</v>
      </c>
      <c r="U229" t="s">
        <v>2868</v>
      </c>
      <c r="V229" t="s">
        <v>84</v>
      </c>
    </row>
    <row r="230" spans="1:22" x14ac:dyDescent="0.25">
      <c r="A230" t="s">
        <v>2922</v>
      </c>
      <c r="B230" t="s">
        <v>2923</v>
      </c>
      <c r="C230" t="str">
        <f t="shared" si="6"/>
        <v>VC4ETU</v>
      </c>
      <c r="E230" t="s">
        <v>2190</v>
      </c>
      <c r="F230" t="s">
        <v>65</v>
      </c>
      <c r="G230" s="411" t="s">
        <v>156</v>
      </c>
      <c r="H230" t="s">
        <v>2924</v>
      </c>
      <c r="I230" s="413">
        <v>7.78</v>
      </c>
      <c r="J230" s="413" t="s">
        <v>2928</v>
      </c>
      <c r="K230" t="s">
        <v>2916</v>
      </c>
      <c r="O230" s="412">
        <f t="shared" si="8"/>
        <v>7.7800000000000008E-2</v>
      </c>
      <c r="T230">
        <v>0.5</v>
      </c>
      <c r="U230" t="s">
        <v>2869</v>
      </c>
      <c r="V230" t="s">
        <v>336</v>
      </c>
    </row>
    <row r="231" spans="1:22" x14ac:dyDescent="0.25">
      <c r="A231" t="s">
        <v>2922</v>
      </c>
      <c r="B231" t="s">
        <v>2923</v>
      </c>
      <c r="C231" t="str">
        <f t="shared" si="6"/>
        <v>VC4ET03</v>
      </c>
      <c r="E231" t="s">
        <v>2190</v>
      </c>
      <c r="F231" t="s">
        <v>65</v>
      </c>
      <c r="G231" s="411" t="s">
        <v>156</v>
      </c>
      <c r="H231" t="s">
        <v>2924</v>
      </c>
      <c r="I231" s="413">
        <v>10.66</v>
      </c>
      <c r="J231" s="413" t="s">
        <v>2929</v>
      </c>
      <c r="K231" t="s">
        <v>2916</v>
      </c>
      <c r="O231" s="412">
        <f t="shared" si="8"/>
        <v>0.1066</v>
      </c>
      <c r="T231">
        <v>1</v>
      </c>
      <c r="U231" t="s">
        <v>2873</v>
      </c>
      <c r="V231" t="s">
        <v>805</v>
      </c>
    </row>
    <row r="232" spans="1:22" x14ac:dyDescent="0.25">
      <c r="A232" t="s">
        <v>2922</v>
      </c>
      <c r="B232" t="s">
        <v>2923</v>
      </c>
      <c r="C232" t="str">
        <f t="shared" si="6"/>
        <v>VC4ET07</v>
      </c>
      <c r="E232" t="s">
        <v>2190</v>
      </c>
      <c r="F232" t="s">
        <v>65</v>
      </c>
      <c r="G232" s="411" t="s">
        <v>156</v>
      </c>
      <c r="H232" t="s">
        <v>2926</v>
      </c>
      <c r="I232" s="413">
        <v>7.63</v>
      </c>
      <c r="J232" s="413" t="s">
        <v>2930</v>
      </c>
      <c r="K232" t="s">
        <v>2916</v>
      </c>
      <c r="O232" s="412">
        <f t="shared" si="8"/>
        <v>7.6299999999999993E-2</v>
      </c>
      <c r="T232">
        <v>1</v>
      </c>
      <c r="U232" t="s">
        <v>2880</v>
      </c>
      <c r="V232" t="s">
        <v>2881</v>
      </c>
    </row>
    <row r="233" spans="1:22" x14ac:dyDescent="0.25">
      <c r="A233" t="s">
        <v>2922</v>
      </c>
      <c r="B233" t="s">
        <v>2923</v>
      </c>
      <c r="C233" t="str">
        <f t="shared" si="6"/>
        <v>VC4ET04</v>
      </c>
      <c r="E233" t="s">
        <v>2190</v>
      </c>
      <c r="F233" t="s">
        <v>65</v>
      </c>
      <c r="G233" s="411" t="s">
        <v>156</v>
      </c>
      <c r="H233" t="s">
        <v>2931</v>
      </c>
      <c r="I233" s="413">
        <v>7.74</v>
      </c>
      <c r="J233" s="413" t="s">
        <v>2932</v>
      </c>
      <c r="K233" t="s">
        <v>2916</v>
      </c>
      <c r="O233" s="412">
        <f t="shared" si="8"/>
        <v>7.7399999999999997E-2</v>
      </c>
      <c r="T233">
        <v>1</v>
      </c>
      <c r="U233" t="s">
        <v>2874</v>
      </c>
      <c r="V233" t="s">
        <v>809</v>
      </c>
    </row>
    <row r="234" spans="1:22" x14ac:dyDescent="0.25">
      <c r="A234" t="s">
        <v>2922</v>
      </c>
      <c r="B234" t="s">
        <v>2923</v>
      </c>
      <c r="C234" t="str">
        <f t="shared" si="6"/>
        <v>VC4ET14</v>
      </c>
      <c r="E234" t="s">
        <v>2190</v>
      </c>
      <c r="F234" t="s">
        <v>65</v>
      </c>
      <c r="G234" s="411" t="s">
        <v>156</v>
      </c>
      <c r="H234">
        <v>2014</v>
      </c>
      <c r="I234" s="413">
        <v>6.82</v>
      </c>
      <c r="J234" s="413" t="s">
        <v>2933</v>
      </c>
      <c r="K234" t="s">
        <v>2916</v>
      </c>
      <c r="O234" s="412">
        <f t="shared" si="8"/>
        <v>6.8199999999999997E-2</v>
      </c>
      <c r="T234">
        <v>1</v>
      </c>
      <c r="U234" t="s">
        <v>2886</v>
      </c>
      <c r="V234" t="s">
        <v>814</v>
      </c>
    </row>
    <row r="235" spans="1:22" x14ac:dyDescent="0.25">
      <c r="A235" t="s">
        <v>2922</v>
      </c>
      <c r="B235" t="s">
        <v>2923</v>
      </c>
      <c r="C235" t="str">
        <f t="shared" si="6"/>
        <v>VC4ET15</v>
      </c>
      <c r="E235" t="s">
        <v>2190</v>
      </c>
      <c r="F235" t="s">
        <v>65</v>
      </c>
      <c r="G235" s="411" t="s">
        <v>156</v>
      </c>
      <c r="H235">
        <v>2021</v>
      </c>
      <c r="I235" s="413">
        <v>13</v>
      </c>
      <c r="J235" s="413" t="s">
        <v>2934</v>
      </c>
      <c r="K235" t="s">
        <v>2916</v>
      </c>
      <c r="O235" s="412">
        <f t="shared" si="8"/>
        <v>0.13</v>
      </c>
      <c r="T235">
        <v>1</v>
      </c>
      <c r="U235" t="s">
        <v>2887</v>
      </c>
      <c r="V235" t="s">
        <v>2888</v>
      </c>
    </row>
    <row r="236" spans="1:22" x14ac:dyDescent="0.25">
      <c r="A236" t="s">
        <v>2922</v>
      </c>
      <c r="B236" t="s">
        <v>2923</v>
      </c>
      <c r="C236" t="str">
        <f t="shared" si="6"/>
        <v>VC4ET01</v>
      </c>
      <c r="E236" t="s">
        <v>2190</v>
      </c>
      <c r="F236" t="s">
        <v>65</v>
      </c>
      <c r="G236" s="411" t="s">
        <v>156</v>
      </c>
      <c r="H236">
        <v>2020</v>
      </c>
      <c r="I236" s="413">
        <v>3.1</v>
      </c>
      <c r="J236" s="413" t="s">
        <v>2935</v>
      </c>
      <c r="K236" t="s">
        <v>2916</v>
      </c>
      <c r="O236" s="412">
        <f t="shared" si="8"/>
        <v>3.1E-2</v>
      </c>
      <c r="T236">
        <v>1</v>
      </c>
      <c r="U236" t="s">
        <v>2870</v>
      </c>
      <c r="V236" t="s">
        <v>806</v>
      </c>
    </row>
    <row r="237" spans="1:22" x14ac:dyDescent="0.25">
      <c r="A237" t="s">
        <v>2922</v>
      </c>
      <c r="B237" t="s">
        <v>2923</v>
      </c>
      <c r="C237" t="str">
        <f t="shared" si="6"/>
        <v>VC4ET13</v>
      </c>
      <c r="E237" t="s">
        <v>2190</v>
      </c>
      <c r="F237" t="s">
        <v>65</v>
      </c>
      <c r="G237" s="411" t="s">
        <v>156</v>
      </c>
      <c r="H237">
        <v>2021</v>
      </c>
      <c r="I237" s="413">
        <v>12.9</v>
      </c>
      <c r="J237" s="413" t="s">
        <v>2936</v>
      </c>
      <c r="K237" t="s">
        <v>2916</v>
      </c>
      <c r="O237" s="412">
        <f t="shared" si="8"/>
        <v>0.129</v>
      </c>
      <c r="T237">
        <v>1</v>
      </c>
      <c r="U237" t="s">
        <v>2884</v>
      </c>
      <c r="V237" t="s">
        <v>2885</v>
      </c>
    </row>
    <row r="238" spans="1:22" x14ac:dyDescent="0.25">
      <c r="A238" t="s">
        <v>2937</v>
      </c>
      <c r="B238" t="s">
        <v>2938</v>
      </c>
      <c r="C238" t="str">
        <f t="shared" si="6"/>
        <v>VC5ET</v>
      </c>
      <c r="D238" t="s">
        <v>2229</v>
      </c>
      <c r="E238" t="s">
        <v>173</v>
      </c>
      <c r="F238" t="s">
        <v>67</v>
      </c>
      <c r="G238" s="411" t="s">
        <v>2939</v>
      </c>
      <c r="H238" t="s">
        <v>2940</v>
      </c>
      <c r="I238" s="413">
        <v>46.09</v>
      </c>
      <c r="J238" s="413"/>
      <c r="K238" t="s">
        <v>2941</v>
      </c>
      <c r="L238" t="s">
        <v>2911</v>
      </c>
      <c r="O238" s="412">
        <f>I238/100</f>
        <v>0.46090000000000003</v>
      </c>
      <c r="T238">
        <v>0</v>
      </c>
      <c r="U238" t="s">
        <v>2851</v>
      </c>
      <c r="V238" t="s">
        <v>594</v>
      </c>
    </row>
    <row r="239" spans="1:22" x14ac:dyDescent="0.25">
      <c r="A239" t="s">
        <v>2942</v>
      </c>
      <c r="D239" t="s">
        <v>2638</v>
      </c>
      <c r="E239" t="s">
        <v>2220</v>
      </c>
      <c r="F239" t="s">
        <v>70</v>
      </c>
      <c r="G239" s="411" t="s">
        <v>2943</v>
      </c>
      <c r="H239">
        <v>2014</v>
      </c>
      <c r="I239" s="413">
        <v>48.5</v>
      </c>
      <c r="J239" s="413"/>
      <c r="K239" t="s">
        <v>2944</v>
      </c>
      <c r="L239" t="s">
        <v>1863</v>
      </c>
      <c r="T239">
        <v>0</v>
      </c>
      <c r="U239" t="s">
        <v>2851</v>
      </c>
      <c r="V239" t="s">
        <v>594</v>
      </c>
    </row>
    <row r="240" spans="1:22" x14ac:dyDescent="0.25">
      <c r="A240" t="s">
        <v>2945</v>
      </c>
      <c r="E240" t="s">
        <v>2946</v>
      </c>
      <c r="F240" t="s">
        <v>70</v>
      </c>
      <c r="G240" s="411" t="s">
        <v>2943</v>
      </c>
      <c r="H240">
        <v>2016</v>
      </c>
      <c r="I240" s="413">
        <v>46.2</v>
      </c>
      <c r="J240" s="413"/>
      <c r="K240" t="s">
        <v>2944</v>
      </c>
      <c r="L240" t="s">
        <v>1863</v>
      </c>
      <c r="Q240" s="413">
        <f>(I240/I241)^(1/(H240-H241))</f>
        <v>0.98042496169476234</v>
      </c>
      <c r="T240">
        <v>0</v>
      </c>
      <c r="U240" t="s">
        <v>2851</v>
      </c>
      <c r="V240" t="s">
        <v>594</v>
      </c>
    </row>
    <row r="241" spans="1:22" x14ac:dyDescent="0.25">
      <c r="A241" t="s">
        <v>2945</v>
      </c>
      <c r="E241" t="s">
        <v>2946</v>
      </c>
      <c r="F241" t="s">
        <v>70</v>
      </c>
      <c r="G241" s="411" t="s">
        <v>2943</v>
      </c>
      <c r="H241">
        <v>2011</v>
      </c>
      <c r="I241" s="413">
        <v>51</v>
      </c>
      <c r="J241" s="413"/>
      <c r="K241" t="s">
        <v>2944</v>
      </c>
      <c r="L241" t="s">
        <v>1863</v>
      </c>
      <c r="T241">
        <v>0</v>
      </c>
      <c r="U241" t="s">
        <v>2851</v>
      </c>
      <c r="V241" t="s">
        <v>594</v>
      </c>
    </row>
    <row r="242" spans="1:22" x14ac:dyDescent="0.25">
      <c r="A242" t="s">
        <v>2945</v>
      </c>
      <c r="E242" t="s">
        <v>2946</v>
      </c>
      <c r="F242" t="s">
        <v>70</v>
      </c>
      <c r="G242" s="411" t="s">
        <v>2943</v>
      </c>
      <c r="H242">
        <v>2016</v>
      </c>
      <c r="I242" s="413">
        <v>56.4</v>
      </c>
      <c r="J242" s="413"/>
      <c r="K242" t="s">
        <v>2944</v>
      </c>
      <c r="L242" t="s">
        <v>1863</v>
      </c>
      <c r="Q242" s="413">
        <f>(I242/I243)^(1/(H242-H243))</f>
        <v>0.97291514661444567</v>
      </c>
      <c r="T242">
        <v>1</v>
      </c>
      <c r="U242" t="s">
        <v>2871</v>
      </c>
      <c r="V242" t="s">
        <v>2872</v>
      </c>
    </row>
    <row r="243" spans="1:22" x14ac:dyDescent="0.25">
      <c r="A243" t="s">
        <v>2945</v>
      </c>
      <c r="E243" t="s">
        <v>2946</v>
      </c>
      <c r="F243" t="s">
        <v>70</v>
      </c>
      <c r="G243" s="411" t="s">
        <v>2943</v>
      </c>
      <c r="H243">
        <v>2011</v>
      </c>
      <c r="I243" s="413">
        <v>64.7</v>
      </c>
      <c r="J243" s="413"/>
      <c r="K243" t="s">
        <v>2944</v>
      </c>
      <c r="L243" t="s">
        <v>1863</v>
      </c>
      <c r="Q243" s="413"/>
      <c r="T243">
        <v>1</v>
      </c>
      <c r="U243" t="s">
        <v>2871</v>
      </c>
      <c r="V243" t="s">
        <v>2872</v>
      </c>
    </row>
    <row r="244" spans="1:22" x14ac:dyDescent="0.25">
      <c r="A244" t="s">
        <v>2945</v>
      </c>
      <c r="E244" t="s">
        <v>2946</v>
      </c>
      <c r="F244" t="s">
        <v>70</v>
      </c>
      <c r="G244" s="411" t="s">
        <v>2943</v>
      </c>
      <c r="H244">
        <v>2016</v>
      </c>
      <c r="I244" s="413">
        <v>44.2</v>
      </c>
      <c r="J244" s="413"/>
      <c r="K244" t="s">
        <v>2944</v>
      </c>
      <c r="L244" t="s">
        <v>1863</v>
      </c>
      <c r="Q244" s="413">
        <f>(I244/I245)^(1/(H244-H245))</f>
        <v>0.98737078402617451</v>
      </c>
      <c r="T244">
        <v>1</v>
      </c>
      <c r="U244" t="s">
        <v>2875</v>
      </c>
      <c r="V244" t="s">
        <v>2876</v>
      </c>
    </row>
    <row r="245" spans="1:22" x14ac:dyDescent="0.25">
      <c r="A245" t="s">
        <v>2945</v>
      </c>
      <c r="E245" t="s">
        <v>2946</v>
      </c>
      <c r="F245" t="s">
        <v>70</v>
      </c>
      <c r="G245" s="411" t="s">
        <v>2943</v>
      </c>
      <c r="H245">
        <v>2011</v>
      </c>
      <c r="I245" s="413">
        <v>47.1</v>
      </c>
      <c r="J245" s="413"/>
      <c r="K245" t="s">
        <v>2944</v>
      </c>
      <c r="L245" t="s">
        <v>1863</v>
      </c>
      <c r="Q245" s="413"/>
      <c r="T245">
        <v>1</v>
      </c>
      <c r="U245" t="s">
        <v>2875</v>
      </c>
      <c r="V245" t="s">
        <v>2876</v>
      </c>
    </row>
    <row r="246" spans="1:22" x14ac:dyDescent="0.25">
      <c r="A246" t="s">
        <v>2945</v>
      </c>
      <c r="E246" t="s">
        <v>2946</v>
      </c>
      <c r="F246" t="s">
        <v>70</v>
      </c>
      <c r="G246" s="411" t="s">
        <v>2943</v>
      </c>
      <c r="H246">
        <v>2016</v>
      </c>
      <c r="I246" s="413">
        <v>54</v>
      </c>
      <c r="J246" s="413"/>
      <c r="K246" t="s">
        <v>2944</v>
      </c>
      <c r="L246" t="s">
        <v>1863</v>
      </c>
      <c r="Q246" s="413">
        <f>(I246/I247)^(1/(H246-H247))</f>
        <v>0.98411891413352426</v>
      </c>
      <c r="T246">
        <v>1</v>
      </c>
      <c r="U246" t="s">
        <v>2873</v>
      </c>
      <c r="V246" t="s">
        <v>805</v>
      </c>
    </row>
    <row r="247" spans="1:22" x14ac:dyDescent="0.25">
      <c r="A247" t="s">
        <v>2945</v>
      </c>
      <c r="E247" t="s">
        <v>2946</v>
      </c>
      <c r="F247" t="s">
        <v>70</v>
      </c>
      <c r="G247" s="411" t="s">
        <v>2943</v>
      </c>
      <c r="H247">
        <v>2011</v>
      </c>
      <c r="I247" s="413">
        <v>58.5</v>
      </c>
      <c r="J247" s="413"/>
      <c r="K247" t="s">
        <v>2944</v>
      </c>
      <c r="L247" t="s">
        <v>1863</v>
      </c>
      <c r="Q247" s="413"/>
      <c r="T247">
        <v>1</v>
      </c>
      <c r="U247" t="s">
        <v>2873</v>
      </c>
      <c r="V247" t="s">
        <v>805</v>
      </c>
    </row>
    <row r="248" spans="1:22" x14ac:dyDescent="0.25">
      <c r="A248" t="s">
        <v>2945</v>
      </c>
      <c r="E248" t="s">
        <v>2946</v>
      </c>
      <c r="F248" t="s">
        <v>70</v>
      </c>
      <c r="G248" s="411" t="s">
        <v>2943</v>
      </c>
      <c r="H248">
        <v>2016</v>
      </c>
      <c r="I248" s="413">
        <v>48.7</v>
      </c>
      <c r="J248" s="413"/>
      <c r="K248" t="s">
        <v>2944</v>
      </c>
      <c r="L248" t="s">
        <v>1863</v>
      </c>
      <c r="Q248" s="413">
        <f>(I248/I249)^(1/(H248-H249))</f>
        <v>0.96565099768301244</v>
      </c>
      <c r="T248">
        <v>1</v>
      </c>
      <c r="U248" t="s">
        <v>2870</v>
      </c>
      <c r="V248" t="s">
        <v>806</v>
      </c>
    </row>
    <row r="249" spans="1:22" x14ac:dyDescent="0.25">
      <c r="A249" t="s">
        <v>2945</v>
      </c>
      <c r="E249" t="s">
        <v>2946</v>
      </c>
      <c r="F249" t="s">
        <v>70</v>
      </c>
      <c r="G249" s="411" t="s">
        <v>2943</v>
      </c>
      <c r="H249">
        <v>2011</v>
      </c>
      <c r="I249" s="413">
        <v>58</v>
      </c>
      <c r="J249" s="413"/>
      <c r="K249" t="s">
        <v>2944</v>
      </c>
      <c r="L249" t="s">
        <v>1863</v>
      </c>
      <c r="Q249" s="413"/>
      <c r="T249">
        <v>1</v>
      </c>
      <c r="U249" t="s">
        <v>2870</v>
      </c>
      <c r="V249" t="s">
        <v>806</v>
      </c>
    </row>
    <row r="250" spans="1:22" x14ac:dyDescent="0.25">
      <c r="A250" t="s">
        <v>2945</v>
      </c>
      <c r="E250" t="s">
        <v>2946</v>
      </c>
      <c r="F250" t="s">
        <v>70</v>
      </c>
      <c r="G250" s="411" t="s">
        <v>2943</v>
      </c>
      <c r="H250">
        <v>2016</v>
      </c>
      <c r="I250" s="413">
        <v>50.6</v>
      </c>
      <c r="J250" s="413"/>
      <c r="K250" t="s">
        <v>2944</v>
      </c>
      <c r="L250" t="s">
        <v>1863</v>
      </c>
      <c r="Q250" s="413">
        <f>(I250/I251)^(1/(H250-H251))</f>
        <v>0.9792257837553473</v>
      </c>
      <c r="T250">
        <v>1</v>
      </c>
      <c r="U250" t="s">
        <v>2878</v>
      </c>
      <c r="V250" t="s">
        <v>2879</v>
      </c>
    </row>
    <row r="251" spans="1:22" x14ac:dyDescent="0.25">
      <c r="A251" t="s">
        <v>2945</v>
      </c>
      <c r="E251" t="s">
        <v>2946</v>
      </c>
      <c r="F251" t="s">
        <v>70</v>
      </c>
      <c r="G251" s="411" t="s">
        <v>2943</v>
      </c>
      <c r="H251">
        <v>2011</v>
      </c>
      <c r="I251" s="413">
        <v>56.2</v>
      </c>
      <c r="J251" s="413"/>
      <c r="K251" t="s">
        <v>2944</v>
      </c>
      <c r="L251" t="s">
        <v>1863</v>
      </c>
      <c r="Q251" s="413"/>
      <c r="T251">
        <v>1</v>
      </c>
      <c r="U251" t="s">
        <v>2878</v>
      </c>
      <c r="V251" t="s">
        <v>2879</v>
      </c>
    </row>
    <row r="252" spans="1:22" x14ac:dyDescent="0.25">
      <c r="A252" t="s">
        <v>2945</v>
      </c>
      <c r="E252" t="s">
        <v>2946</v>
      </c>
      <c r="F252" t="s">
        <v>70</v>
      </c>
      <c r="G252" s="411" t="s">
        <v>2943</v>
      </c>
      <c r="H252">
        <v>2016</v>
      </c>
      <c r="I252" s="413">
        <v>44.5</v>
      </c>
      <c r="J252" s="413"/>
      <c r="K252" t="s">
        <v>2944</v>
      </c>
      <c r="L252" t="s">
        <v>1863</v>
      </c>
      <c r="Q252" s="413">
        <f>(I252/I253)^(1/(H252-H253))</f>
        <v>0.98212374219614784</v>
      </c>
      <c r="T252">
        <v>1</v>
      </c>
      <c r="U252" t="s">
        <v>2874</v>
      </c>
      <c r="V252" t="s">
        <v>809</v>
      </c>
    </row>
    <row r="253" spans="1:22" x14ac:dyDescent="0.25">
      <c r="A253" t="s">
        <v>2945</v>
      </c>
      <c r="E253" t="s">
        <v>2946</v>
      </c>
      <c r="F253" t="s">
        <v>70</v>
      </c>
      <c r="G253" s="411" t="s">
        <v>2943</v>
      </c>
      <c r="H253">
        <v>2011</v>
      </c>
      <c r="I253" s="413">
        <v>48.7</v>
      </c>
      <c r="J253" s="413"/>
      <c r="K253" t="s">
        <v>2944</v>
      </c>
      <c r="L253" t="s">
        <v>1863</v>
      </c>
      <c r="Q253" s="413"/>
      <c r="T253">
        <v>1</v>
      </c>
      <c r="U253" t="s">
        <v>2874</v>
      </c>
      <c r="V253" t="s">
        <v>809</v>
      </c>
    </row>
    <row r="254" spans="1:22" x14ac:dyDescent="0.25">
      <c r="A254" t="s">
        <v>2945</v>
      </c>
      <c r="E254" t="s">
        <v>2946</v>
      </c>
      <c r="F254" t="s">
        <v>70</v>
      </c>
      <c r="G254" s="411" t="s">
        <v>2943</v>
      </c>
      <c r="H254">
        <v>2016</v>
      </c>
      <c r="I254" s="413">
        <v>42.6</v>
      </c>
      <c r="J254" s="413"/>
      <c r="K254" t="s">
        <v>2944</v>
      </c>
      <c r="L254" t="s">
        <v>1863</v>
      </c>
      <c r="Q254" s="413">
        <f>(I254/I255)^(1/(H254-H255))</f>
        <v>0.97359005175362268</v>
      </c>
      <c r="T254">
        <v>1</v>
      </c>
      <c r="U254" t="s">
        <v>2880</v>
      </c>
      <c r="V254" t="s">
        <v>2881</v>
      </c>
    </row>
    <row r="255" spans="1:22" x14ac:dyDescent="0.25">
      <c r="A255" t="s">
        <v>2945</v>
      </c>
      <c r="E255" t="s">
        <v>2946</v>
      </c>
      <c r="F255" t="s">
        <v>70</v>
      </c>
      <c r="G255" s="411" t="s">
        <v>2943</v>
      </c>
      <c r="H255">
        <v>2011</v>
      </c>
      <c r="I255" s="413">
        <v>48.7</v>
      </c>
      <c r="J255" s="413"/>
      <c r="K255" t="s">
        <v>2944</v>
      </c>
      <c r="L255" t="s">
        <v>1863</v>
      </c>
      <c r="T255">
        <v>1</v>
      </c>
      <c r="U255" t="s">
        <v>2880</v>
      </c>
      <c r="V255" t="s">
        <v>2881</v>
      </c>
    </row>
    <row r="256" spans="1:22" x14ac:dyDescent="0.25">
      <c r="A256" t="s">
        <v>2945</v>
      </c>
      <c r="E256" t="s">
        <v>2946</v>
      </c>
      <c r="F256" t="s">
        <v>70</v>
      </c>
      <c r="G256" s="411" t="s">
        <v>2943</v>
      </c>
      <c r="H256">
        <v>2016</v>
      </c>
      <c r="I256" s="413">
        <v>47.9</v>
      </c>
      <c r="J256" s="413"/>
      <c r="K256" t="s">
        <v>2944</v>
      </c>
      <c r="L256" t="s">
        <v>1863</v>
      </c>
      <c r="Q256" s="413">
        <f>(I256/I257)^(1/(H256-H257))</f>
        <v>1.0185229407265959</v>
      </c>
      <c r="T256">
        <v>1</v>
      </c>
      <c r="U256" t="s">
        <v>2887</v>
      </c>
      <c r="V256" t="s">
        <v>2888</v>
      </c>
    </row>
    <row r="257" spans="1:22" x14ac:dyDescent="0.25">
      <c r="A257" t="s">
        <v>2945</v>
      </c>
      <c r="E257" t="s">
        <v>2946</v>
      </c>
      <c r="F257" t="s">
        <v>70</v>
      </c>
      <c r="G257" s="411" t="s">
        <v>2943</v>
      </c>
      <c r="H257">
        <v>2011</v>
      </c>
      <c r="I257" s="413">
        <v>43.7</v>
      </c>
      <c r="J257" s="413"/>
      <c r="K257" t="s">
        <v>2944</v>
      </c>
      <c r="L257" t="s">
        <v>1863</v>
      </c>
      <c r="T257">
        <v>1</v>
      </c>
      <c r="U257" t="s">
        <v>2887</v>
      </c>
      <c r="V257" t="s">
        <v>2888</v>
      </c>
    </row>
    <row r="258" spans="1:22" x14ac:dyDescent="0.25">
      <c r="A258" t="s">
        <v>2945</v>
      </c>
      <c r="E258" t="s">
        <v>2946</v>
      </c>
      <c r="F258" t="s">
        <v>70</v>
      </c>
      <c r="G258" s="411" t="s">
        <v>2943</v>
      </c>
      <c r="H258">
        <v>2016</v>
      </c>
      <c r="I258" s="413">
        <v>37</v>
      </c>
      <c r="J258" s="413"/>
      <c r="K258" t="s">
        <v>2944</v>
      </c>
      <c r="L258" t="s">
        <v>1863</v>
      </c>
      <c r="Q258" s="413">
        <f>(I258/I259)^(1/(H258-H259))</f>
        <v>0.99311739764002371</v>
      </c>
      <c r="T258">
        <v>1</v>
      </c>
      <c r="U258" t="s">
        <v>2882</v>
      </c>
      <c r="V258" t="s">
        <v>2894</v>
      </c>
    </row>
    <row r="259" spans="1:22" x14ac:dyDescent="0.25">
      <c r="A259" t="s">
        <v>2945</v>
      </c>
      <c r="E259" t="s">
        <v>2946</v>
      </c>
      <c r="F259" t="s">
        <v>70</v>
      </c>
      <c r="G259" s="411" t="s">
        <v>2943</v>
      </c>
      <c r="H259">
        <v>2011</v>
      </c>
      <c r="I259" s="413">
        <v>38.299999999999997</v>
      </c>
      <c r="J259" s="413"/>
      <c r="K259" t="s">
        <v>2944</v>
      </c>
      <c r="L259" t="s">
        <v>1863</v>
      </c>
      <c r="T259">
        <v>1</v>
      </c>
      <c r="U259" t="s">
        <v>2882</v>
      </c>
      <c r="V259" t="s">
        <v>2894</v>
      </c>
    </row>
    <row r="260" spans="1:22" x14ac:dyDescent="0.25">
      <c r="A260" t="s">
        <v>2945</v>
      </c>
      <c r="E260" t="s">
        <v>2946</v>
      </c>
      <c r="F260" t="s">
        <v>70</v>
      </c>
      <c r="G260" s="411" t="s">
        <v>2943</v>
      </c>
      <c r="H260">
        <v>2016</v>
      </c>
      <c r="I260" s="413">
        <v>41</v>
      </c>
      <c r="J260" s="413"/>
      <c r="K260" t="s">
        <v>2944</v>
      </c>
      <c r="L260" t="s">
        <v>1863</v>
      </c>
      <c r="Q260" s="413">
        <f>(I260/I261)^(1/(H260-H261))</f>
        <v>1.0224063978798441</v>
      </c>
      <c r="T260">
        <v>1</v>
      </c>
      <c r="U260" t="s">
        <v>2884</v>
      </c>
      <c r="V260" t="s">
        <v>2885</v>
      </c>
    </row>
    <row r="261" spans="1:22" x14ac:dyDescent="0.25">
      <c r="A261" t="s">
        <v>2945</v>
      </c>
      <c r="E261" t="s">
        <v>2946</v>
      </c>
      <c r="F261" t="s">
        <v>70</v>
      </c>
      <c r="G261" s="411" t="s">
        <v>2943</v>
      </c>
      <c r="H261">
        <v>2011</v>
      </c>
      <c r="I261" s="413">
        <v>36.700000000000003</v>
      </c>
      <c r="J261" s="413"/>
      <c r="K261" t="s">
        <v>2944</v>
      </c>
      <c r="L261" t="s">
        <v>1863</v>
      </c>
      <c r="T261">
        <v>1</v>
      </c>
      <c r="U261" t="s">
        <v>2884</v>
      </c>
      <c r="V261" t="s">
        <v>2885</v>
      </c>
    </row>
    <row r="262" spans="1:22" x14ac:dyDescent="0.25">
      <c r="A262" t="s">
        <v>2945</v>
      </c>
      <c r="E262" t="s">
        <v>2946</v>
      </c>
      <c r="F262" t="s">
        <v>70</v>
      </c>
      <c r="G262" s="411" t="s">
        <v>2943</v>
      </c>
      <c r="H262">
        <v>2016</v>
      </c>
      <c r="I262" s="413">
        <v>17.8</v>
      </c>
      <c r="J262" s="413"/>
      <c r="K262" t="s">
        <v>2944</v>
      </c>
      <c r="L262" t="s">
        <v>1863</v>
      </c>
      <c r="Q262" s="413">
        <f>(I262/I263)^(1/(H262-H263))</f>
        <v>0.94435292812383376</v>
      </c>
      <c r="T262">
        <v>1</v>
      </c>
      <c r="U262" t="s">
        <v>2886</v>
      </c>
      <c r="V262" t="s">
        <v>814</v>
      </c>
    </row>
    <row r="263" spans="1:22" x14ac:dyDescent="0.25">
      <c r="A263" t="s">
        <v>2945</v>
      </c>
      <c r="E263" t="s">
        <v>2946</v>
      </c>
      <c r="F263" t="s">
        <v>70</v>
      </c>
      <c r="G263" s="411" t="s">
        <v>2943</v>
      </c>
      <c r="H263">
        <v>2011</v>
      </c>
      <c r="I263" s="413">
        <v>23.7</v>
      </c>
      <c r="J263" s="413"/>
      <c r="K263" t="s">
        <v>2944</v>
      </c>
      <c r="L263" t="s">
        <v>1863</v>
      </c>
      <c r="T263">
        <v>1</v>
      </c>
      <c r="U263" t="s">
        <v>2886</v>
      </c>
      <c r="V263" t="s">
        <v>814</v>
      </c>
    </row>
    <row r="264" spans="1:22" x14ac:dyDescent="0.25">
      <c r="A264" t="s">
        <v>2852</v>
      </c>
      <c r="B264" t="s">
        <v>2947</v>
      </c>
      <c r="C264" t="str">
        <f t="shared" ref="C264:C318" si="9">_xlfn.CONCAT(B264,U264)</f>
        <v>VC6ET</v>
      </c>
      <c r="D264" t="s">
        <v>2637</v>
      </c>
      <c r="E264" t="s">
        <v>2221</v>
      </c>
      <c r="F264" t="s">
        <v>70</v>
      </c>
      <c r="G264" s="411" t="s">
        <v>2943</v>
      </c>
      <c r="H264">
        <v>2019</v>
      </c>
      <c r="I264" s="413">
        <v>12.4</v>
      </c>
      <c r="J264" s="413"/>
      <c r="K264" t="s">
        <v>2944</v>
      </c>
      <c r="L264" t="s">
        <v>1863</v>
      </c>
      <c r="O264" s="412">
        <f>I264/100</f>
        <v>0.124</v>
      </c>
      <c r="Q264" s="413">
        <f>(I264/I265)^(1/(H264-H265))</f>
        <v>0.93852167730806435</v>
      </c>
      <c r="T264">
        <v>0</v>
      </c>
      <c r="U264" t="s">
        <v>2851</v>
      </c>
      <c r="V264" t="s">
        <v>594</v>
      </c>
    </row>
    <row r="265" spans="1:22" x14ac:dyDescent="0.25">
      <c r="A265" t="s">
        <v>2852</v>
      </c>
      <c r="B265" t="s">
        <v>2947</v>
      </c>
      <c r="D265" t="s">
        <v>2637</v>
      </c>
      <c r="E265" t="s">
        <v>2221</v>
      </c>
      <c r="F265" t="s">
        <v>70</v>
      </c>
      <c r="G265" s="411" t="s">
        <v>2943</v>
      </c>
      <c r="H265">
        <v>2011</v>
      </c>
      <c r="I265" s="413">
        <v>20.6</v>
      </c>
      <c r="J265" s="413"/>
      <c r="K265" t="s">
        <v>2944</v>
      </c>
      <c r="L265" t="s">
        <v>1863</v>
      </c>
      <c r="O265" s="412">
        <f t="shared" ref="O265:O319" si="10">I265/100</f>
        <v>0.20600000000000002</v>
      </c>
      <c r="T265">
        <v>0</v>
      </c>
      <c r="U265" t="s">
        <v>2851</v>
      </c>
      <c r="V265" t="s">
        <v>594</v>
      </c>
    </row>
    <row r="266" spans="1:22" x14ac:dyDescent="0.25">
      <c r="A266" t="s">
        <v>2852</v>
      </c>
      <c r="B266" t="s">
        <v>2947</v>
      </c>
      <c r="C266" t="str">
        <f t="shared" si="9"/>
        <v>VC6ETR</v>
      </c>
      <c r="D266" t="s">
        <v>2637</v>
      </c>
      <c r="E266" t="s">
        <v>2221</v>
      </c>
      <c r="F266" t="s">
        <v>70</v>
      </c>
      <c r="G266" s="411" t="s">
        <v>2943</v>
      </c>
      <c r="H266">
        <v>2019</v>
      </c>
      <c r="I266" s="413">
        <v>14.5</v>
      </c>
      <c r="J266" s="413"/>
      <c r="K266" t="s">
        <v>2944</v>
      </c>
      <c r="L266" t="s">
        <v>1863</v>
      </c>
      <c r="O266" s="412">
        <f t="shared" si="10"/>
        <v>0.14499999999999999</v>
      </c>
      <c r="Q266" s="413">
        <f>(I266/I267)^(1/(H266-H267))</f>
        <v>0.95085333387028237</v>
      </c>
      <c r="T266">
        <v>0.5</v>
      </c>
      <c r="U266" t="s">
        <v>2868</v>
      </c>
      <c r="V266" t="s">
        <v>84</v>
      </c>
    </row>
    <row r="267" spans="1:22" x14ac:dyDescent="0.25">
      <c r="A267" t="s">
        <v>2852</v>
      </c>
      <c r="B267" t="s">
        <v>2947</v>
      </c>
      <c r="D267" t="s">
        <v>2637</v>
      </c>
      <c r="E267" t="s">
        <v>2221</v>
      </c>
      <c r="F267" t="s">
        <v>70</v>
      </c>
      <c r="G267" s="411" t="s">
        <v>2943</v>
      </c>
      <c r="H267">
        <v>2011</v>
      </c>
      <c r="I267" s="413">
        <v>21.7</v>
      </c>
      <c r="J267" s="413"/>
      <c r="K267" t="s">
        <v>2944</v>
      </c>
      <c r="L267" t="s">
        <v>1863</v>
      </c>
      <c r="O267" s="412">
        <f t="shared" si="10"/>
        <v>0.217</v>
      </c>
      <c r="T267">
        <v>0.5</v>
      </c>
      <c r="U267" t="s">
        <v>2868</v>
      </c>
      <c r="V267" t="s">
        <v>84</v>
      </c>
    </row>
    <row r="268" spans="1:22" x14ac:dyDescent="0.25">
      <c r="A268" t="s">
        <v>2852</v>
      </c>
      <c r="B268" t="s">
        <v>2947</v>
      </c>
      <c r="C268" t="str">
        <f t="shared" si="9"/>
        <v>VC6ETU</v>
      </c>
      <c r="D268" t="s">
        <v>2637</v>
      </c>
      <c r="E268" t="s">
        <v>2221</v>
      </c>
      <c r="F268" t="s">
        <v>70</v>
      </c>
      <c r="G268" s="411" t="s">
        <v>2943</v>
      </c>
      <c r="H268">
        <v>2019</v>
      </c>
      <c r="I268" s="413">
        <v>6.3</v>
      </c>
      <c r="J268" s="413"/>
      <c r="K268" t="s">
        <v>2944</v>
      </c>
      <c r="L268" t="s">
        <v>1863</v>
      </c>
      <c r="O268" s="412">
        <f t="shared" si="10"/>
        <v>6.3E-2</v>
      </c>
      <c r="Q268" s="413">
        <f>(I268/I269)^(1/(H268-H269))</f>
        <v>0.91883992572779216</v>
      </c>
      <c r="T268">
        <v>0.5</v>
      </c>
      <c r="U268" t="s">
        <v>2869</v>
      </c>
      <c r="V268" t="s">
        <v>336</v>
      </c>
    </row>
    <row r="269" spans="1:22" x14ac:dyDescent="0.25">
      <c r="A269" t="s">
        <v>2852</v>
      </c>
      <c r="B269" t="s">
        <v>2947</v>
      </c>
      <c r="D269" t="s">
        <v>2637</v>
      </c>
      <c r="E269" t="s">
        <v>2221</v>
      </c>
      <c r="F269" t="s">
        <v>70</v>
      </c>
      <c r="G269" s="411" t="s">
        <v>2943</v>
      </c>
      <c r="H269">
        <v>2011</v>
      </c>
      <c r="I269" s="413">
        <v>12.4</v>
      </c>
      <c r="J269" s="413"/>
      <c r="K269" t="s">
        <v>2944</v>
      </c>
      <c r="L269" t="s">
        <v>1863</v>
      </c>
      <c r="O269" s="412">
        <f t="shared" si="10"/>
        <v>0.124</v>
      </c>
      <c r="T269">
        <v>0.5</v>
      </c>
      <c r="U269" t="s">
        <v>2869</v>
      </c>
      <c r="V269" t="s">
        <v>336</v>
      </c>
    </row>
    <row r="270" spans="1:22" x14ac:dyDescent="0.25">
      <c r="A270" t="s">
        <v>2852</v>
      </c>
      <c r="B270" t="s">
        <v>2947</v>
      </c>
      <c r="C270" t="str">
        <f t="shared" si="9"/>
        <v>VC6ET01</v>
      </c>
      <c r="D270" t="s">
        <v>2637</v>
      </c>
      <c r="E270" t="s">
        <v>2221</v>
      </c>
      <c r="F270" t="s">
        <v>70</v>
      </c>
      <c r="G270" s="411" t="s">
        <v>2943</v>
      </c>
      <c r="H270">
        <v>2019</v>
      </c>
      <c r="I270" s="413">
        <v>15.1</v>
      </c>
      <c r="J270" s="413"/>
      <c r="K270" t="s">
        <v>2944</v>
      </c>
      <c r="L270" t="s">
        <v>1863</v>
      </c>
      <c r="O270" s="412">
        <f t="shared" si="10"/>
        <v>0.151</v>
      </c>
      <c r="Q270" s="413">
        <f>(I270/I271)^(1/(H270-H271))</f>
        <v>0.9518995381809372</v>
      </c>
      <c r="T270">
        <v>1</v>
      </c>
      <c r="U270" t="s">
        <v>2870</v>
      </c>
      <c r="V270" t="s">
        <v>806</v>
      </c>
    </row>
    <row r="271" spans="1:22" x14ac:dyDescent="0.25">
      <c r="A271" t="s">
        <v>2852</v>
      </c>
      <c r="B271" t="s">
        <v>2947</v>
      </c>
      <c r="D271" t="s">
        <v>2637</v>
      </c>
      <c r="E271" t="s">
        <v>2221</v>
      </c>
      <c r="F271" t="s">
        <v>70</v>
      </c>
      <c r="G271" s="411" t="s">
        <v>2943</v>
      </c>
      <c r="H271">
        <v>2011</v>
      </c>
      <c r="I271" s="413">
        <v>22.4</v>
      </c>
      <c r="J271" s="413"/>
      <c r="K271" t="s">
        <v>2944</v>
      </c>
      <c r="L271" t="s">
        <v>1863</v>
      </c>
      <c r="O271" s="412">
        <f t="shared" si="10"/>
        <v>0.22399999999999998</v>
      </c>
      <c r="T271">
        <v>1</v>
      </c>
      <c r="U271" t="s">
        <v>2870</v>
      </c>
      <c r="V271" t="s">
        <v>806</v>
      </c>
    </row>
    <row r="272" spans="1:22" x14ac:dyDescent="0.25">
      <c r="A272" t="s">
        <v>2852</v>
      </c>
      <c r="B272" t="s">
        <v>2947</v>
      </c>
      <c r="C272" t="str">
        <f t="shared" si="9"/>
        <v>VC6ET02</v>
      </c>
      <c r="D272" t="s">
        <v>2637</v>
      </c>
      <c r="E272" t="s">
        <v>2221</v>
      </c>
      <c r="F272" t="s">
        <v>70</v>
      </c>
      <c r="G272" s="411" t="s">
        <v>2943</v>
      </c>
      <c r="H272">
        <v>2019</v>
      </c>
      <c r="I272" s="413">
        <v>20.6</v>
      </c>
      <c r="J272" s="413"/>
      <c r="K272" t="s">
        <v>2944</v>
      </c>
      <c r="L272" t="s">
        <v>1863</v>
      </c>
      <c r="O272" s="412">
        <f t="shared" si="10"/>
        <v>0.20600000000000002</v>
      </c>
      <c r="Q272" s="413">
        <f>(I272/I273)^(1/(H272-H273))</f>
        <v>0.95773813173479627</v>
      </c>
      <c r="T272">
        <v>1</v>
      </c>
      <c r="U272" t="s">
        <v>2871</v>
      </c>
      <c r="V272" t="s">
        <v>2948</v>
      </c>
    </row>
    <row r="273" spans="1:22" x14ac:dyDescent="0.25">
      <c r="A273" t="s">
        <v>2852</v>
      </c>
      <c r="B273" t="s">
        <v>2947</v>
      </c>
      <c r="D273" t="s">
        <v>2637</v>
      </c>
      <c r="E273" t="s">
        <v>2221</v>
      </c>
      <c r="F273" t="s">
        <v>70</v>
      </c>
      <c r="G273" s="411" t="s">
        <v>2943</v>
      </c>
      <c r="H273">
        <v>2011</v>
      </c>
      <c r="I273" s="413">
        <v>29.1</v>
      </c>
      <c r="J273" s="413"/>
      <c r="K273" t="s">
        <v>2944</v>
      </c>
      <c r="L273" t="s">
        <v>1863</v>
      </c>
      <c r="O273" s="412">
        <f t="shared" si="10"/>
        <v>0.29100000000000004</v>
      </c>
      <c r="T273">
        <v>1</v>
      </c>
      <c r="U273" t="s">
        <v>2871</v>
      </c>
      <c r="V273" t="s">
        <v>2948</v>
      </c>
    </row>
    <row r="274" spans="1:22" x14ac:dyDescent="0.25">
      <c r="A274" t="s">
        <v>2852</v>
      </c>
      <c r="B274" t="s">
        <v>2947</v>
      </c>
      <c r="C274" t="str">
        <f t="shared" si="9"/>
        <v>VC6ET03</v>
      </c>
      <c r="D274" t="s">
        <v>2637</v>
      </c>
      <c r="E274" t="s">
        <v>2221</v>
      </c>
      <c r="F274" t="s">
        <v>70</v>
      </c>
      <c r="G274" s="411" t="s">
        <v>2943</v>
      </c>
      <c r="H274">
        <v>2019</v>
      </c>
      <c r="I274" s="413">
        <v>13.4</v>
      </c>
      <c r="J274" s="413"/>
      <c r="K274" t="s">
        <v>2944</v>
      </c>
      <c r="L274" t="s">
        <v>1863</v>
      </c>
      <c r="O274" s="412">
        <f t="shared" si="10"/>
        <v>0.13400000000000001</v>
      </c>
      <c r="Q274" s="413">
        <f>(I274/I275)^(1/(H274-H275))</f>
        <v>0.92877641604518002</v>
      </c>
      <c r="T274">
        <v>1</v>
      </c>
      <c r="U274" t="s">
        <v>2873</v>
      </c>
      <c r="V274" t="s">
        <v>805</v>
      </c>
    </row>
    <row r="275" spans="1:22" x14ac:dyDescent="0.25">
      <c r="A275" t="s">
        <v>2852</v>
      </c>
      <c r="B275" t="s">
        <v>2947</v>
      </c>
      <c r="D275" t="s">
        <v>2637</v>
      </c>
      <c r="E275" t="s">
        <v>2221</v>
      </c>
      <c r="F275" t="s">
        <v>70</v>
      </c>
      <c r="G275" s="411" t="s">
        <v>2943</v>
      </c>
      <c r="H275">
        <v>2011</v>
      </c>
      <c r="I275" s="413">
        <v>24.2</v>
      </c>
      <c r="J275" s="413"/>
      <c r="K275" t="s">
        <v>2944</v>
      </c>
      <c r="L275" t="s">
        <v>1863</v>
      </c>
      <c r="O275" s="412">
        <f t="shared" si="10"/>
        <v>0.24199999999999999</v>
      </c>
      <c r="T275">
        <v>1</v>
      </c>
      <c r="U275" t="s">
        <v>2873</v>
      </c>
      <c r="V275" t="s">
        <v>805</v>
      </c>
    </row>
    <row r="276" spans="1:22" x14ac:dyDescent="0.25">
      <c r="A276" t="s">
        <v>2852</v>
      </c>
      <c r="B276" t="s">
        <v>2947</v>
      </c>
      <c r="C276" t="str">
        <f t="shared" si="9"/>
        <v>VC6ET04</v>
      </c>
      <c r="D276" t="s">
        <v>2637</v>
      </c>
      <c r="E276" t="s">
        <v>2221</v>
      </c>
      <c r="F276" t="s">
        <v>70</v>
      </c>
      <c r="G276" s="411" t="s">
        <v>2943</v>
      </c>
      <c r="H276">
        <v>2019</v>
      </c>
      <c r="I276" s="413">
        <v>11.9</v>
      </c>
      <c r="J276" s="413"/>
      <c r="K276" t="s">
        <v>2944</v>
      </c>
      <c r="L276" t="s">
        <v>1863</v>
      </c>
      <c r="O276" s="412">
        <f t="shared" si="10"/>
        <v>0.11900000000000001</v>
      </c>
      <c r="Q276" s="413">
        <f>(I276/I277)^(1/(H276-H277))</f>
        <v>0.94892862659377142</v>
      </c>
      <c r="T276">
        <v>1</v>
      </c>
      <c r="U276" t="s">
        <v>2874</v>
      </c>
      <c r="V276" t="s">
        <v>809</v>
      </c>
    </row>
    <row r="277" spans="1:22" x14ac:dyDescent="0.25">
      <c r="A277" t="s">
        <v>2852</v>
      </c>
      <c r="B277" t="s">
        <v>2947</v>
      </c>
      <c r="D277" t="s">
        <v>2637</v>
      </c>
      <c r="E277" t="s">
        <v>2221</v>
      </c>
      <c r="F277" t="s">
        <v>70</v>
      </c>
      <c r="G277" s="411" t="s">
        <v>2943</v>
      </c>
      <c r="H277">
        <v>2011</v>
      </c>
      <c r="I277" s="413">
        <v>18.100000000000001</v>
      </c>
      <c r="J277" s="413"/>
      <c r="K277" t="s">
        <v>2944</v>
      </c>
      <c r="L277" t="s">
        <v>1863</v>
      </c>
      <c r="O277" s="412">
        <f t="shared" si="10"/>
        <v>0.18100000000000002</v>
      </c>
      <c r="T277">
        <v>1</v>
      </c>
      <c r="U277" t="s">
        <v>2874</v>
      </c>
      <c r="V277" t="s">
        <v>809</v>
      </c>
    </row>
    <row r="278" spans="1:22" x14ac:dyDescent="0.25">
      <c r="A278" t="s">
        <v>2852</v>
      </c>
      <c r="B278" t="s">
        <v>2947</v>
      </c>
      <c r="C278" t="str">
        <f t="shared" si="9"/>
        <v>VC6ET05</v>
      </c>
      <c r="D278" t="s">
        <v>2637</v>
      </c>
      <c r="E278" t="s">
        <v>2221</v>
      </c>
      <c r="F278" t="s">
        <v>70</v>
      </c>
      <c r="G278" s="411" t="s">
        <v>2943</v>
      </c>
      <c r="H278">
        <v>2019</v>
      </c>
      <c r="I278" s="413">
        <v>11.5</v>
      </c>
      <c r="J278" s="413"/>
      <c r="K278" t="s">
        <v>2944</v>
      </c>
      <c r="L278" t="s">
        <v>1863</v>
      </c>
      <c r="O278" s="412">
        <f t="shared" si="10"/>
        <v>0.115</v>
      </c>
      <c r="Q278" s="413">
        <f>(I278/I279)^(1/(H278-H279))</f>
        <v>0.95881318056486819</v>
      </c>
      <c r="T278">
        <v>1</v>
      </c>
      <c r="U278" t="s">
        <v>2875</v>
      </c>
      <c r="V278" t="s">
        <v>2876</v>
      </c>
    </row>
    <row r="279" spans="1:22" x14ac:dyDescent="0.25">
      <c r="A279" t="s">
        <v>2852</v>
      </c>
      <c r="B279" t="s">
        <v>2947</v>
      </c>
      <c r="D279" t="s">
        <v>2637</v>
      </c>
      <c r="E279" t="s">
        <v>2221</v>
      </c>
      <c r="F279" t="s">
        <v>70</v>
      </c>
      <c r="G279" s="411" t="s">
        <v>2943</v>
      </c>
      <c r="H279">
        <v>2011</v>
      </c>
      <c r="I279" s="413">
        <v>16.100000000000001</v>
      </c>
      <c r="J279" s="413"/>
      <c r="K279" t="s">
        <v>2944</v>
      </c>
      <c r="L279" t="s">
        <v>1863</v>
      </c>
      <c r="O279" s="412">
        <f t="shared" si="10"/>
        <v>0.161</v>
      </c>
      <c r="T279">
        <v>1</v>
      </c>
      <c r="U279" t="s">
        <v>2875</v>
      </c>
      <c r="V279" t="s">
        <v>2876</v>
      </c>
    </row>
    <row r="280" spans="1:22" x14ac:dyDescent="0.25">
      <c r="A280" t="s">
        <v>2852</v>
      </c>
      <c r="B280" t="s">
        <v>2947</v>
      </c>
      <c r="C280" t="str">
        <f t="shared" si="9"/>
        <v>VC6ET06</v>
      </c>
      <c r="D280" t="s">
        <v>2637</v>
      </c>
      <c r="E280" t="s">
        <v>2221</v>
      </c>
      <c r="F280" t="s">
        <v>70</v>
      </c>
      <c r="G280" s="411" t="s">
        <v>2943</v>
      </c>
      <c r="H280">
        <v>2019</v>
      </c>
      <c r="I280" s="413">
        <v>19.2</v>
      </c>
      <c r="J280" s="413"/>
      <c r="K280" t="s">
        <v>2944</v>
      </c>
      <c r="L280" t="s">
        <v>1863</v>
      </c>
      <c r="O280" s="412">
        <f t="shared" si="10"/>
        <v>0.192</v>
      </c>
      <c r="Q280" s="413">
        <f>(I280/I281)^(1/(H280-H281))</f>
        <v>0.9582794679343668</v>
      </c>
      <c r="T280">
        <v>1</v>
      </c>
      <c r="U280" t="s">
        <v>2878</v>
      </c>
      <c r="V280" t="s">
        <v>2879</v>
      </c>
    </row>
    <row r="281" spans="1:22" x14ac:dyDescent="0.25">
      <c r="A281" t="s">
        <v>2852</v>
      </c>
      <c r="B281" t="s">
        <v>2947</v>
      </c>
      <c r="D281" t="s">
        <v>2637</v>
      </c>
      <c r="E281" t="s">
        <v>2221</v>
      </c>
      <c r="F281" t="s">
        <v>70</v>
      </c>
      <c r="G281" s="411" t="s">
        <v>2943</v>
      </c>
      <c r="H281">
        <v>2011</v>
      </c>
      <c r="I281" s="413">
        <v>27</v>
      </c>
      <c r="J281" s="413"/>
      <c r="K281" t="s">
        <v>2944</v>
      </c>
      <c r="L281" t="s">
        <v>1863</v>
      </c>
      <c r="O281" s="412">
        <f t="shared" si="10"/>
        <v>0.27</v>
      </c>
      <c r="T281">
        <v>1</v>
      </c>
      <c r="U281" t="s">
        <v>2878</v>
      </c>
      <c r="V281" t="s">
        <v>2879</v>
      </c>
    </row>
    <row r="282" spans="1:22" x14ac:dyDescent="0.25">
      <c r="A282" t="s">
        <v>2852</v>
      </c>
      <c r="B282" t="s">
        <v>2947</v>
      </c>
      <c r="C282" t="str">
        <f t="shared" si="9"/>
        <v>VC6ET07</v>
      </c>
      <c r="D282" t="s">
        <v>2637</v>
      </c>
      <c r="E282" t="s">
        <v>2221</v>
      </c>
      <c r="F282" t="s">
        <v>70</v>
      </c>
      <c r="G282" s="411" t="s">
        <v>2943</v>
      </c>
      <c r="H282">
        <v>2019</v>
      </c>
      <c r="I282" s="413">
        <v>12.3</v>
      </c>
      <c r="J282" s="413"/>
      <c r="K282" t="s">
        <v>2944</v>
      </c>
      <c r="L282" t="s">
        <v>1863</v>
      </c>
      <c r="O282" s="412">
        <f t="shared" si="10"/>
        <v>0.12300000000000001</v>
      </c>
      <c r="Q282" s="413">
        <f>(I282/I283)^(1/(H282-H283))</f>
        <v>0.92524916884195474</v>
      </c>
      <c r="T282">
        <v>1</v>
      </c>
      <c r="U282" t="s">
        <v>2880</v>
      </c>
      <c r="V282" t="s">
        <v>2881</v>
      </c>
    </row>
    <row r="283" spans="1:22" x14ac:dyDescent="0.25">
      <c r="A283" t="s">
        <v>2852</v>
      </c>
      <c r="B283" t="s">
        <v>2947</v>
      </c>
      <c r="D283" t="s">
        <v>2637</v>
      </c>
      <c r="E283" t="s">
        <v>2221</v>
      </c>
      <c r="F283" t="s">
        <v>70</v>
      </c>
      <c r="G283" s="411" t="s">
        <v>2943</v>
      </c>
      <c r="H283">
        <v>2011</v>
      </c>
      <c r="I283" s="413">
        <v>22.9</v>
      </c>
      <c r="J283" s="413"/>
      <c r="K283" t="s">
        <v>2944</v>
      </c>
      <c r="L283" t="s">
        <v>1863</v>
      </c>
      <c r="O283" s="412">
        <f t="shared" si="10"/>
        <v>0.22899999999999998</v>
      </c>
      <c r="T283">
        <v>1</v>
      </c>
      <c r="U283" t="s">
        <v>2880</v>
      </c>
      <c r="V283" t="s">
        <v>2881</v>
      </c>
    </row>
    <row r="284" spans="1:22" x14ac:dyDescent="0.25">
      <c r="A284" t="s">
        <v>2852</v>
      </c>
      <c r="B284" t="s">
        <v>2947</v>
      </c>
      <c r="C284" t="str">
        <f t="shared" si="9"/>
        <v>VC6ET12</v>
      </c>
      <c r="D284" t="s">
        <v>2637</v>
      </c>
      <c r="E284" t="s">
        <v>2221</v>
      </c>
      <c r="F284" t="s">
        <v>70</v>
      </c>
      <c r="G284" s="411" t="s">
        <v>2943</v>
      </c>
      <c r="H284">
        <v>2019</v>
      </c>
      <c r="I284" s="413">
        <v>4.0999999999999996</v>
      </c>
      <c r="J284" s="413"/>
      <c r="K284" t="s">
        <v>2944</v>
      </c>
      <c r="L284" t="s">
        <v>1863</v>
      </c>
      <c r="O284" s="412">
        <f t="shared" si="10"/>
        <v>4.0999999999999995E-2</v>
      </c>
      <c r="Q284" s="413">
        <f>(I284/I285)^(1/(H284-H285))</f>
        <v>0.88700283902797827</v>
      </c>
      <c r="T284">
        <v>1</v>
      </c>
      <c r="U284" t="s">
        <v>2882</v>
      </c>
      <c r="V284" t="s">
        <v>2883</v>
      </c>
    </row>
    <row r="285" spans="1:22" x14ac:dyDescent="0.25">
      <c r="A285" t="s">
        <v>2852</v>
      </c>
      <c r="B285" t="s">
        <v>2947</v>
      </c>
      <c r="D285" t="s">
        <v>2637</v>
      </c>
      <c r="E285" t="s">
        <v>2221</v>
      </c>
      <c r="F285" t="s">
        <v>70</v>
      </c>
      <c r="G285" s="411" t="s">
        <v>2943</v>
      </c>
      <c r="H285">
        <v>2011</v>
      </c>
      <c r="I285" s="413">
        <v>10.7</v>
      </c>
      <c r="J285" s="413"/>
      <c r="K285" t="s">
        <v>2944</v>
      </c>
      <c r="L285" t="s">
        <v>1863</v>
      </c>
      <c r="O285" s="412">
        <f t="shared" si="10"/>
        <v>0.107</v>
      </c>
      <c r="T285">
        <v>1</v>
      </c>
      <c r="U285" t="s">
        <v>2882</v>
      </c>
      <c r="V285" t="s">
        <v>2883</v>
      </c>
    </row>
    <row r="286" spans="1:22" x14ac:dyDescent="0.25">
      <c r="A286" t="s">
        <v>2852</v>
      </c>
      <c r="B286" t="s">
        <v>2947</v>
      </c>
      <c r="C286" t="str">
        <f t="shared" si="9"/>
        <v>VC6ET13</v>
      </c>
      <c r="D286" t="s">
        <v>2637</v>
      </c>
      <c r="E286" t="s">
        <v>2221</v>
      </c>
      <c r="F286" t="s">
        <v>70</v>
      </c>
      <c r="G286" s="411" t="s">
        <v>2943</v>
      </c>
      <c r="H286">
        <v>2019</v>
      </c>
      <c r="I286" s="413">
        <v>13.8</v>
      </c>
      <c r="J286" s="413"/>
      <c r="K286" t="s">
        <v>2944</v>
      </c>
      <c r="L286" t="s">
        <v>1863</v>
      </c>
      <c r="O286" s="412">
        <f t="shared" si="10"/>
        <v>0.13800000000000001</v>
      </c>
      <c r="Q286" s="413">
        <f>(I286/I287)^(1/(H286-H287))</f>
        <v>1.0114363732397811</v>
      </c>
      <c r="T286">
        <v>1</v>
      </c>
      <c r="U286" t="s">
        <v>2884</v>
      </c>
      <c r="V286" t="s">
        <v>2885</v>
      </c>
    </row>
    <row r="287" spans="1:22" x14ac:dyDescent="0.25">
      <c r="A287" t="s">
        <v>2852</v>
      </c>
      <c r="B287" t="s">
        <v>2947</v>
      </c>
      <c r="D287" t="s">
        <v>2637</v>
      </c>
      <c r="E287" t="s">
        <v>2221</v>
      </c>
      <c r="F287" t="s">
        <v>70</v>
      </c>
      <c r="G287" s="411" t="s">
        <v>2943</v>
      </c>
      <c r="H287">
        <v>2011</v>
      </c>
      <c r="I287" s="413">
        <v>12.6</v>
      </c>
      <c r="J287" s="413"/>
      <c r="K287" t="s">
        <v>2944</v>
      </c>
      <c r="L287" t="s">
        <v>1863</v>
      </c>
      <c r="O287" s="412">
        <f t="shared" si="10"/>
        <v>0.126</v>
      </c>
      <c r="T287">
        <v>1</v>
      </c>
      <c r="U287" t="s">
        <v>2884</v>
      </c>
      <c r="V287" t="s">
        <v>2885</v>
      </c>
    </row>
    <row r="288" spans="1:22" x14ac:dyDescent="0.25">
      <c r="A288" t="s">
        <v>2852</v>
      </c>
      <c r="B288" t="s">
        <v>2947</v>
      </c>
      <c r="C288" t="str">
        <f t="shared" si="9"/>
        <v>VC6ET14</v>
      </c>
      <c r="D288" t="s">
        <v>2637</v>
      </c>
      <c r="E288" t="s">
        <v>2221</v>
      </c>
      <c r="F288" t="s">
        <v>70</v>
      </c>
      <c r="G288" s="411" t="s">
        <v>2943</v>
      </c>
      <c r="H288">
        <v>2019</v>
      </c>
      <c r="I288" s="413">
        <v>4</v>
      </c>
      <c r="J288" s="413"/>
      <c r="K288" t="s">
        <v>2944</v>
      </c>
      <c r="L288" t="s">
        <v>1863</v>
      </c>
      <c r="O288" s="412">
        <f t="shared" si="10"/>
        <v>0.04</v>
      </c>
      <c r="Q288" s="413">
        <f>(I288/I289)^(1/(H288-H289))</f>
        <v>0.95257898767749849</v>
      </c>
      <c r="T288">
        <v>1</v>
      </c>
      <c r="U288" t="s">
        <v>2886</v>
      </c>
      <c r="V288" t="s">
        <v>814</v>
      </c>
    </row>
    <row r="289" spans="1:22" x14ac:dyDescent="0.25">
      <c r="A289" t="s">
        <v>2852</v>
      </c>
      <c r="B289" t="s">
        <v>2947</v>
      </c>
      <c r="D289" t="s">
        <v>2637</v>
      </c>
      <c r="E289" t="s">
        <v>2221</v>
      </c>
      <c r="F289" t="s">
        <v>70</v>
      </c>
      <c r="G289" s="411" t="s">
        <v>2943</v>
      </c>
      <c r="H289">
        <v>2011</v>
      </c>
      <c r="I289" s="413">
        <v>5.9</v>
      </c>
      <c r="J289" s="413"/>
      <c r="K289" t="s">
        <v>2944</v>
      </c>
      <c r="L289" t="s">
        <v>1863</v>
      </c>
      <c r="O289" s="412">
        <f t="shared" si="10"/>
        <v>5.9000000000000004E-2</v>
      </c>
      <c r="T289">
        <v>1</v>
      </c>
      <c r="U289" t="s">
        <v>2886</v>
      </c>
      <c r="V289" t="s">
        <v>814</v>
      </c>
    </row>
    <row r="290" spans="1:22" x14ac:dyDescent="0.25">
      <c r="A290" t="s">
        <v>2852</v>
      </c>
      <c r="B290" t="s">
        <v>2947</v>
      </c>
      <c r="C290" t="str">
        <f t="shared" si="9"/>
        <v>VC6ET15</v>
      </c>
      <c r="D290" t="s">
        <v>2637</v>
      </c>
      <c r="E290" t="s">
        <v>2221</v>
      </c>
      <c r="F290" t="s">
        <v>70</v>
      </c>
      <c r="G290" s="411" t="s">
        <v>2943</v>
      </c>
      <c r="H290">
        <v>2019</v>
      </c>
      <c r="I290" s="413">
        <v>5.4</v>
      </c>
      <c r="J290" s="413"/>
      <c r="K290" t="s">
        <v>2944</v>
      </c>
      <c r="L290" t="s">
        <v>1863</v>
      </c>
      <c r="O290" s="412">
        <f t="shared" si="10"/>
        <v>5.4000000000000006E-2</v>
      </c>
      <c r="Q290" s="413">
        <f>(I290/I291)^(1/(H290-H291))</f>
        <v>0.85850500967114529</v>
      </c>
      <c r="T290">
        <v>1</v>
      </c>
      <c r="U290" t="s">
        <v>2887</v>
      </c>
      <c r="V290" t="s">
        <v>2888</v>
      </c>
    </row>
    <row r="291" spans="1:22" x14ac:dyDescent="0.25">
      <c r="A291" t="s">
        <v>2852</v>
      </c>
      <c r="B291" t="s">
        <v>2947</v>
      </c>
      <c r="D291" t="s">
        <v>2637</v>
      </c>
      <c r="E291" t="s">
        <v>2221</v>
      </c>
      <c r="F291" t="s">
        <v>70</v>
      </c>
      <c r="G291" s="411" t="s">
        <v>2943</v>
      </c>
      <c r="H291">
        <v>2011</v>
      </c>
      <c r="I291" s="413">
        <v>18.3</v>
      </c>
      <c r="J291" s="413"/>
      <c r="K291" t="s">
        <v>2944</v>
      </c>
      <c r="L291" t="s">
        <v>1863</v>
      </c>
      <c r="O291" s="412">
        <f t="shared" si="10"/>
        <v>0.183</v>
      </c>
      <c r="T291">
        <v>1</v>
      </c>
      <c r="U291" t="s">
        <v>2887</v>
      </c>
      <c r="V291" t="s">
        <v>2888</v>
      </c>
    </row>
    <row r="292" spans="1:22" x14ac:dyDescent="0.25">
      <c r="A292" t="s">
        <v>2852</v>
      </c>
      <c r="B292" t="s">
        <v>2949</v>
      </c>
      <c r="C292" t="str">
        <f t="shared" si="9"/>
        <v>VC7ET</v>
      </c>
      <c r="D292" t="s">
        <v>2638</v>
      </c>
      <c r="E292" t="s">
        <v>2220</v>
      </c>
      <c r="F292" t="s">
        <v>70</v>
      </c>
      <c r="G292" s="411" t="s">
        <v>2943</v>
      </c>
      <c r="H292">
        <v>2019</v>
      </c>
      <c r="I292" s="413">
        <v>36.799999999999997</v>
      </c>
      <c r="J292" s="413"/>
      <c r="K292" t="s">
        <v>2944</v>
      </c>
      <c r="L292" t="s">
        <v>1863</v>
      </c>
      <c r="O292" s="412">
        <f t="shared" si="10"/>
        <v>0.36799999999999999</v>
      </c>
      <c r="Q292" s="413">
        <f>(I292/I293)^(1/(H292-H293))</f>
        <v>0.97680552201519544</v>
      </c>
      <c r="T292">
        <v>0</v>
      </c>
      <c r="U292" t="s">
        <v>2851</v>
      </c>
      <c r="V292" t="s">
        <v>594</v>
      </c>
    </row>
    <row r="293" spans="1:22" x14ac:dyDescent="0.25">
      <c r="A293" t="s">
        <v>2852</v>
      </c>
      <c r="B293" t="s">
        <v>2949</v>
      </c>
      <c r="D293" t="s">
        <v>2638</v>
      </c>
      <c r="E293" t="s">
        <v>2220</v>
      </c>
      <c r="F293" t="s">
        <v>70</v>
      </c>
      <c r="G293" s="411" t="s">
        <v>2943</v>
      </c>
      <c r="H293">
        <v>2011</v>
      </c>
      <c r="I293" s="413">
        <v>44.4</v>
      </c>
      <c r="J293" s="413"/>
      <c r="K293" t="s">
        <v>2944</v>
      </c>
      <c r="L293" t="s">
        <v>1863</v>
      </c>
      <c r="O293" s="412">
        <f t="shared" si="10"/>
        <v>0.44400000000000001</v>
      </c>
      <c r="T293">
        <v>0</v>
      </c>
      <c r="U293" t="s">
        <v>2851</v>
      </c>
      <c r="V293" t="s">
        <v>594</v>
      </c>
    </row>
    <row r="294" spans="1:22" x14ac:dyDescent="0.25">
      <c r="A294" t="s">
        <v>2852</v>
      </c>
      <c r="B294" t="s">
        <v>2949</v>
      </c>
      <c r="C294" t="str">
        <f t="shared" si="9"/>
        <v>VC7ETR</v>
      </c>
      <c r="D294" t="s">
        <v>2638</v>
      </c>
      <c r="E294" t="s">
        <v>2220</v>
      </c>
      <c r="F294" t="s">
        <v>70</v>
      </c>
      <c r="G294" s="411" t="s">
        <v>2943</v>
      </c>
      <c r="H294">
        <v>2019</v>
      </c>
      <c r="I294" s="413">
        <v>40.4</v>
      </c>
      <c r="J294" s="413"/>
      <c r="K294" t="s">
        <v>2944</v>
      </c>
      <c r="L294" t="s">
        <v>1863</v>
      </c>
      <c r="O294" s="412">
        <f t="shared" si="10"/>
        <v>0.40399999999999997</v>
      </c>
      <c r="Q294" s="413">
        <f>(I294/I295)^(1/(H294-H295))</f>
        <v>0.98337106128877938</v>
      </c>
      <c r="T294">
        <v>0.5</v>
      </c>
      <c r="U294" t="s">
        <v>2868</v>
      </c>
      <c r="V294" t="s">
        <v>84</v>
      </c>
    </row>
    <row r="295" spans="1:22" x14ac:dyDescent="0.25">
      <c r="A295" t="s">
        <v>2852</v>
      </c>
      <c r="B295" t="s">
        <v>2949</v>
      </c>
      <c r="D295" t="s">
        <v>2638</v>
      </c>
      <c r="E295" t="s">
        <v>2220</v>
      </c>
      <c r="F295" t="s">
        <v>70</v>
      </c>
      <c r="G295" s="411" t="s">
        <v>2943</v>
      </c>
      <c r="H295">
        <v>2011</v>
      </c>
      <c r="I295" s="413">
        <v>46.2</v>
      </c>
      <c r="J295" s="413"/>
      <c r="K295" t="s">
        <v>2944</v>
      </c>
      <c r="L295" t="s">
        <v>1863</v>
      </c>
      <c r="O295" s="412">
        <f t="shared" si="10"/>
        <v>0.46200000000000002</v>
      </c>
      <c r="T295">
        <v>0.5</v>
      </c>
      <c r="U295" t="s">
        <v>2868</v>
      </c>
      <c r="V295" t="s">
        <v>84</v>
      </c>
    </row>
    <row r="296" spans="1:22" x14ac:dyDescent="0.25">
      <c r="A296" t="s">
        <v>2852</v>
      </c>
      <c r="B296" t="s">
        <v>2949</v>
      </c>
      <c r="C296" t="str">
        <f t="shared" si="9"/>
        <v>VC7ETU</v>
      </c>
      <c r="D296" t="s">
        <v>2638</v>
      </c>
      <c r="E296" t="s">
        <v>2220</v>
      </c>
      <c r="F296" t="s">
        <v>70</v>
      </c>
      <c r="G296" s="411" t="s">
        <v>2943</v>
      </c>
      <c r="H296">
        <v>2019</v>
      </c>
      <c r="I296" s="413">
        <v>26.2</v>
      </c>
      <c r="J296" s="413"/>
      <c r="K296" t="s">
        <v>2944</v>
      </c>
      <c r="L296" t="s">
        <v>1863</v>
      </c>
      <c r="O296" s="412">
        <f t="shared" si="10"/>
        <v>0.26200000000000001</v>
      </c>
      <c r="Q296" s="413">
        <f>(I296/I297)^(1/(H296-H297))</f>
        <v>0.97723461569065884</v>
      </c>
      <c r="T296">
        <v>0.5</v>
      </c>
      <c r="U296" t="s">
        <v>2869</v>
      </c>
      <c r="V296" t="s">
        <v>336</v>
      </c>
    </row>
    <row r="297" spans="1:22" x14ac:dyDescent="0.25">
      <c r="A297" t="s">
        <v>2852</v>
      </c>
      <c r="B297" t="s">
        <v>2949</v>
      </c>
      <c r="D297" t="s">
        <v>2638</v>
      </c>
      <c r="E297" t="s">
        <v>2220</v>
      </c>
      <c r="F297" t="s">
        <v>70</v>
      </c>
      <c r="G297" s="411" t="s">
        <v>2943</v>
      </c>
      <c r="H297">
        <v>2011</v>
      </c>
      <c r="I297" s="413">
        <v>31.5</v>
      </c>
      <c r="J297" s="413"/>
      <c r="K297" t="s">
        <v>2944</v>
      </c>
      <c r="L297" t="s">
        <v>1863</v>
      </c>
      <c r="O297" s="412">
        <f t="shared" si="10"/>
        <v>0.315</v>
      </c>
      <c r="T297">
        <v>0.5</v>
      </c>
      <c r="U297" t="s">
        <v>2869</v>
      </c>
      <c r="V297" t="s">
        <v>336</v>
      </c>
    </row>
    <row r="298" spans="1:22" x14ac:dyDescent="0.25">
      <c r="A298" t="s">
        <v>2852</v>
      </c>
      <c r="B298" t="s">
        <v>2949</v>
      </c>
      <c r="C298" t="str">
        <f t="shared" si="9"/>
        <v>VC7ET01</v>
      </c>
      <c r="D298" t="s">
        <v>2638</v>
      </c>
      <c r="E298" t="s">
        <v>2220</v>
      </c>
      <c r="F298" t="s">
        <v>70</v>
      </c>
      <c r="G298" s="411" t="s">
        <v>2943</v>
      </c>
      <c r="H298">
        <v>2019</v>
      </c>
      <c r="I298" s="413">
        <v>48.4</v>
      </c>
      <c r="J298" s="413"/>
      <c r="K298" t="s">
        <v>2944</v>
      </c>
      <c r="L298" t="s">
        <v>1863</v>
      </c>
      <c r="O298" s="412">
        <f t="shared" si="10"/>
        <v>0.48399999999999999</v>
      </c>
      <c r="Q298" s="413">
        <f>(I298/I299)^(1/(H298-H299))</f>
        <v>0.99251088935137288</v>
      </c>
      <c r="T298">
        <v>1</v>
      </c>
      <c r="U298" t="s">
        <v>2870</v>
      </c>
      <c r="V298" t="s">
        <v>806</v>
      </c>
    </row>
    <row r="299" spans="1:22" x14ac:dyDescent="0.25">
      <c r="A299" t="s">
        <v>2852</v>
      </c>
      <c r="B299" t="s">
        <v>2949</v>
      </c>
      <c r="D299" t="s">
        <v>2638</v>
      </c>
      <c r="E299" t="s">
        <v>2220</v>
      </c>
      <c r="F299" t="s">
        <v>70</v>
      </c>
      <c r="G299" s="411" t="s">
        <v>2943</v>
      </c>
      <c r="H299">
        <v>2011</v>
      </c>
      <c r="I299" s="413">
        <v>51.4</v>
      </c>
      <c r="J299" s="413"/>
      <c r="K299" t="s">
        <v>2944</v>
      </c>
      <c r="L299" t="s">
        <v>1863</v>
      </c>
      <c r="O299" s="412">
        <f>I299/100</f>
        <v>0.51400000000000001</v>
      </c>
      <c r="T299">
        <v>1</v>
      </c>
      <c r="U299" t="s">
        <v>2870</v>
      </c>
      <c r="V299" t="s">
        <v>806</v>
      </c>
    </row>
    <row r="300" spans="1:22" x14ac:dyDescent="0.25">
      <c r="A300" t="s">
        <v>2852</v>
      </c>
      <c r="B300" t="s">
        <v>2949</v>
      </c>
      <c r="C300" t="str">
        <f t="shared" si="9"/>
        <v>VC7ET02</v>
      </c>
      <c r="D300" t="s">
        <v>2638</v>
      </c>
      <c r="E300" t="s">
        <v>2220</v>
      </c>
      <c r="F300" t="s">
        <v>70</v>
      </c>
      <c r="G300" s="411" t="s">
        <v>2943</v>
      </c>
      <c r="H300">
        <v>2019</v>
      </c>
      <c r="I300" s="413">
        <v>42.2</v>
      </c>
      <c r="J300" s="413"/>
      <c r="K300" t="s">
        <v>2944</v>
      </c>
      <c r="L300" t="s">
        <v>1863</v>
      </c>
      <c r="O300" s="412">
        <f t="shared" si="10"/>
        <v>0.42200000000000004</v>
      </c>
      <c r="Q300" s="413">
        <f>(I300/I301)^(1/(H300-H301))</f>
        <v>0.97853438650229407</v>
      </c>
      <c r="T300">
        <v>1</v>
      </c>
      <c r="U300" t="s">
        <v>2871</v>
      </c>
      <c r="V300" t="s">
        <v>2948</v>
      </c>
    </row>
    <row r="301" spans="1:22" x14ac:dyDescent="0.25">
      <c r="A301" t="s">
        <v>2852</v>
      </c>
      <c r="B301" t="s">
        <v>2949</v>
      </c>
      <c r="D301" t="s">
        <v>2638</v>
      </c>
      <c r="E301" t="s">
        <v>2220</v>
      </c>
      <c r="F301" t="s">
        <v>70</v>
      </c>
      <c r="G301" s="411" t="s">
        <v>2943</v>
      </c>
      <c r="H301">
        <v>2011</v>
      </c>
      <c r="I301" s="413">
        <v>50.2</v>
      </c>
      <c r="J301" s="413"/>
      <c r="K301" t="s">
        <v>2944</v>
      </c>
      <c r="L301" t="s">
        <v>1863</v>
      </c>
      <c r="O301" s="412">
        <f t="shared" si="10"/>
        <v>0.502</v>
      </c>
      <c r="T301">
        <v>1</v>
      </c>
      <c r="U301" t="s">
        <v>2871</v>
      </c>
      <c r="V301" t="s">
        <v>2948</v>
      </c>
    </row>
    <row r="302" spans="1:22" x14ac:dyDescent="0.25">
      <c r="A302" t="s">
        <v>2852</v>
      </c>
      <c r="B302" t="s">
        <v>2949</v>
      </c>
      <c r="C302" t="str">
        <f t="shared" si="9"/>
        <v>VC7ET03</v>
      </c>
      <c r="D302" t="s">
        <v>2638</v>
      </c>
      <c r="E302" t="s">
        <v>2220</v>
      </c>
      <c r="F302" t="s">
        <v>70</v>
      </c>
      <c r="G302" s="411" t="s">
        <v>2943</v>
      </c>
      <c r="H302">
        <v>2019</v>
      </c>
      <c r="I302" s="413">
        <v>41.5</v>
      </c>
      <c r="J302" s="413"/>
      <c r="K302" t="s">
        <v>2944</v>
      </c>
      <c r="L302" t="s">
        <v>1863</v>
      </c>
      <c r="O302" s="412">
        <f t="shared" si="10"/>
        <v>0.41499999999999998</v>
      </c>
      <c r="Q302" s="413">
        <f>(I302/I303)^(1/(H302-H303))</f>
        <v>0.97219994939960175</v>
      </c>
      <c r="T302">
        <v>1</v>
      </c>
      <c r="U302" t="s">
        <v>2873</v>
      </c>
      <c r="V302" t="s">
        <v>805</v>
      </c>
    </row>
    <row r="303" spans="1:22" x14ac:dyDescent="0.25">
      <c r="A303" t="s">
        <v>2852</v>
      </c>
      <c r="B303" t="s">
        <v>2949</v>
      </c>
      <c r="D303" t="s">
        <v>2638</v>
      </c>
      <c r="E303" t="s">
        <v>2220</v>
      </c>
      <c r="F303" t="s">
        <v>70</v>
      </c>
      <c r="G303" s="411" t="s">
        <v>2943</v>
      </c>
      <c r="H303">
        <v>2011</v>
      </c>
      <c r="I303" s="413">
        <v>52</v>
      </c>
      <c r="J303" s="413"/>
      <c r="K303" t="s">
        <v>2944</v>
      </c>
      <c r="L303" t="s">
        <v>1863</v>
      </c>
      <c r="O303" s="412">
        <f t="shared" si="10"/>
        <v>0.52</v>
      </c>
      <c r="T303">
        <v>1</v>
      </c>
      <c r="U303" t="s">
        <v>2873</v>
      </c>
      <c r="V303" t="s">
        <v>805</v>
      </c>
    </row>
    <row r="304" spans="1:22" x14ac:dyDescent="0.25">
      <c r="A304" t="s">
        <v>2852</v>
      </c>
      <c r="B304" t="s">
        <v>2949</v>
      </c>
      <c r="C304" t="str">
        <f t="shared" si="9"/>
        <v>VC7ET04</v>
      </c>
      <c r="D304" t="s">
        <v>2638</v>
      </c>
      <c r="E304" t="s">
        <v>2220</v>
      </c>
      <c r="F304" t="s">
        <v>70</v>
      </c>
      <c r="G304" s="411" t="s">
        <v>2943</v>
      </c>
      <c r="H304">
        <v>2019</v>
      </c>
      <c r="I304" s="413">
        <v>35.299999999999997</v>
      </c>
      <c r="J304" s="413"/>
      <c r="K304" t="s">
        <v>2944</v>
      </c>
      <c r="L304" t="s">
        <v>1863</v>
      </c>
      <c r="O304" s="412">
        <f t="shared" si="10"/>
        <v>0.35299999999999998</v>
      </c>
      <c r="Q304" s="413">
        <f>(I304/I305)^(1/(H304-H305))</f>
        <v>0.98027244621576748</v>
      </c>
      <c r="T304">
        <v>1</v>
      </c>
      <c r="U304" t="s">
        <v>2874</v>
      </c>
      <c r="V304" t="s">
        <v>809</v>
      </c>
    </row>
    <row r="305" spans="1:22" x14ac:dyDescent="0.25">
      <c r="A305" t="s">
        <v>2852</v>
      </c>
      <c r="B305" t="s">
        <v>2949</v>
      </c>
      <c r="D305" t="s">
        <v>2638</v>
      </c>
      <c r="E305" t="s">
        <v>2220</v>
      </c>
      <c r="F305" t="s">
        <v>70</v>
      </c>
      <c r="G305" s="411" t="s">
        <v>2943</v>
      </c>
      <c r="H305">
        <v>2011</v>
      </c>
      <c r="I305" s="413">
        <v>41.4</v>
      </c>
      <c r="J305" s="413"/>
      <c r="K305" t="s">
        <v>2944</v>
      </c>
      <c r="L305" t="s">
        <v>1863</v>
      </c>
      <c r="O305" s="412">
        <f t="shared" si="10"/>
        <v>0.41399999999999998</v>
      </c>
      <c r="T305">
        <v>1</v>
      </c>
      <c r="U305" t="s">
        <v>2874</v>
      </c>
      <c r="V305" t="s">
        <v>809</v>
      </c>
    </row>
    <row r="306" spans="1:22" x14ac:dyDescent="0.25">
      <c r="A306" t="s">
        <v>2852</v>
      </c>
      <c r="B306" t="s">
        <v>2949</v>
      </c>
      <c r="C306" t="str">
        <f t="shared" si="9"/>
        <v>VC7ET05</v>
      </c>
      <c r="D306" t="s">
        <v>2638</v>
      </c>
      <c r="E306" t="s">
        <v>2220</v>
      </c>
      <c r="F306" t="s">
        <v>70</v>
      </c>
      <c r="G306" s="411" t="s">
        <v>2943</v>
      </c>
      <c r="H306">
        <v>2019</v>
      </c>
      <c r="I306" s="413">
        <v>30.6</v>
      </c>
      <c r="J306" s="413"/>
      <c r="K306" t="s">
        <v>2944</v>
      </c>
      <c r="L306" t="s">
        <v>1863</v>
      </c>
      <c r="O306" s="412">
        <f t="shared" si="10"/>
        <v>0.30599999999999999</v>
      </c>
      <c r="Q306" s="413">
        <f>(I306/I307)^(1/(H306-H307))</f>
        <v>0.99060595824361419</v>
      </c>
      <c r="T306">
        <v>1</v>
      </c>
      <c r="U306" t="s">
        <v>2875</v>
      </c>
      <c r="V306" t="s">
        <v>2876</v>
      </c>
    </row>
    <row r="307" spans="1:22" x14ac:dyDescent="0.25">
      <c r="A307" t="s">
        <v>2852</v>
      </c>
      <c r="B307" t="s">
        <v>2949</v>
      </c>
      <c r="D307" t="s">
        <v>2638</v>
      </c>
      <c r="E307" t="s">
        <v>2220</v>
      </c>
      <c r="F307" t="s">
        <v>70</v>
      </c>
      <c r="G307" s="411" t="s">
        <v>2943</v>
      </c>
      <c r="H307">
        <v>2011</v>
      </c>
      <c r="I307" s="413">
        <v>33</v>
      </c>
      <c r="J307" s="413"/>
      <c r="K307" t="s">
        <v>2944</v>
      </c>
      <c r="L307" t="s">
        <v>1863</v>
      </c>
      <c r="O307" s="412">
        <f t="shared" si="10"/>
        <v>0.33</v>
      </c>
      <c r="T307">
        <v>1</v>
      </c>
      <c r="U307" t="s">
        <v>2875</v>
      </c>
      <c r="V307" t="s">
        <v>2876</v>
      </c>
    </row>
    <row r="308" spans="1:22" x14ac:dyDescent="0.25">
      <c r="A308" t="s">
        <v>2852</v>
      </c>
      <c r="B308" t="s">
        <v>2949</v>
      </c>
      <c r="C308" t="str">
        <f t="shared" si="9"/>
        <v>VC7ET06</v>
      </c>
      <c r="D308" t="s">
        <v>2638</v>
      </c>
      <c r="E308" t="s">
        <v>2220</v>
      </c>
      <c r="F308" t="s">
        <v>70</v>
      </c>
      <c r="G308" s="411" t="s">
        <v>2943</v>
      </c>
      <c r="H308">
        <v>2019</v>
      </c>
      <c r="I308" s="413">
        <v>40.700000000000003</v>
      </c>
      <c r="J308" s="413"/>
      <c r="K308" t="s">
        <v>2944</v>
      </c>
      <c r="L308" t="s">
        <v>1863</v>
      </c>
      <c r="O308" s="412">
        <f t="shared" si="10"/>
        <v>0.40700000000000003</v>
      </c>
      <c r="Q308" s="413">
        <f>(I308/I309)^(1/(H308-H309))</f>
        <v>0.97806961567656314</v>
      </c>
      <c r="T308">
        <v>1</v>
      </c>
      <c r="U308" t="s">
        <v>2878</v>
      </c>
      <c r="V308" t="s">
        <v>2879</v>
      </c>
    </row>
    <row r="309" spans="1:22" x14ac:dyDescent="0.25">
      <c r="A309" t="s">
        <v>2852</v>
      </c>
      <c r="B309" t="s">
        <v>2949</v>
      </c>
      <c r="D309" t="s">
        <v>2638</v>
      </c>
      <c r="E309" t="s">
        <v>2220</v>
      </c>
      <c r="F309" t="s">
        <v>70</v>
      </c>
      <c r="G309" s="411" t="s">
        <v>2943</v>
      </c>
      <c r="H309">
        <v>2011</v>
      </c>
      <c r="I309" s="413">
        <v>48.6</v>
      </c>
      <c r="J309" s="413"/>
      <c r="K309" t="s">
        <v>2944</v>
      </c>
      <c r="L309" t="s">
        <v>1863</v>
      </c>
      <c r="O309" s="412">
        <f t="shared" si="10"/>
        <v>0.48599999999999999</v>
      </c>
      <c r="T309">
        <v>1</v>
      </c>
      <c r="U309" t="s">
        <v>2878</v>
      </c>
      <c r="V309" t="s">
        <v>2879</v>
      </c>
    </row>
    <row r="310" spans="1:22" x14ac:dyDescent="0.25">
      <c r="A310" t="s">
        <v>2852</v>
      </c>
      <c r="B310" t="s">
        <v>2949</v>
      </c>
      <c r="C310" t="str">
        <f t="shared" si="9"/>
        <v>VC7ET07</v>
      </c>
      <c r="D310" t="s">
        <v>2638</v>
      </c>
      <c r="E310" t="s">
        <v>2220</v>
      </c>
      <c r="F310" t="s">
        <v>70</v>
      </c>
      <c r="G310" s="411" t="s">
        <v>2943</v>
      </c>
      <c r="H310">
        <v>2019</v>
      </c>
      <c r="I310" s="413">
        <v>36.4</v>
      </c>
      <c r="J310" s="413"/>
      <c r="K310" t="s">
        <v>2944</v>
      </c>
      <c r="L310" t="s">
        <v>1863</v>
      </c>
      <c r="O310" s="412">
        <f t="shared" si="10"/>
        <v>0.36399999999999999</v>
      </c>
      <c r="Q310" s="413">
        <f>(I310/I311)^(1/(H310-H311))</f>
        <v>0.97629901078819958</v>
      </c>
      <c r="T310">
        <v>1</v>
      </c>
      <c r="U310" t="s">
        <v>2880</v>
      </c>
      <c r="V310" t="s">
        <v>2881</v>
      </c>
    </row>
    <row r="311" spans="1:22" x14ac:dyDescent="0.25">
      <c r="A311" t="s">
        <v>2852</v>
      </c>
      <c r="B311" t="s">
        <v>2949</v>
      </c>
      <c r="D311" t="s">
        <v>2638</v>
      </c>
      <c r="E311" t="s">
        <v>2220</v>
      </c>
      <c r="F311" t="s">
        <v>70</v>
      </c>
      <c r="G311" s="411" t="s">
        <v>2943</v>
      </c>
      <c r="H311">
        <v>2011</v>
      </c>
      <c r="I311" s="413">
        <v>44.1</v>
      </c>
      <c r="J311" s="413"/>
      <c r="K311" t="s">
        <v>2944</v>
      </c>
      <c r="L311" t="s">
        <v>1863</v>
      </c>
      <c r="O311" s="412">
        <f t="shared" si="10"/>
        <v>0.441</v>
      </c>
      <c r="T311">
        <v>1</v>
      </c>
      <c r="U311" t="s">
        <v>2880</v>
      </c>
      <c r="V311" t="s">
        <v>2881</v>
      </c>
    </row>
    <row r="312" spans="1:22" x14ac:dyDescent="0.25">
      <c r="A312" t="s">
        <v>2852</v>
      </c>
      <c r="B312" t="s">
        <v>2949</v>
      </c>
      <c r="C312" t="str">
        <f t="shared" si="9"/>
        <v>VC7ET12</v>
      </c>
      <c r="D312" t="s">
        <v>2638</v>
      </c>
      <c r="E312" t="s">
        <v>2220</v>
      </c>
      <c r="F312" t="s">
        <v>70</v>
      </c>
      <c r="G312" s="411" t="s">
        <v>2943</v>
      </c>
      <c r="H312">
        <v>2019</v>
      </c>
      <c r="I312" s="413">
        <v>17.3</v>
      </c>
      <c r="J312" s="413"/>
      <c r="K312" t="s">
        <v>2944</v>
      </c>
      <c r="L312" t="s">
        <v>1863</v>
      </c>
      <c r="O312" s="412">
        <f t="shared" si="10"/>
        <v>0.17300000000000001</v>
      </c>
      <c r="Q312" s="413">
        <f>(I312/I313)^(1/(H312-H313))</f>
        <v>0.94457279254360449</v>
      </c>
      <c r="T312">
        <v>1</v>
      </c>
      <c r="U312" t="s">
        <v>2882</v>
      </c>
      <c r="V312" t="s">
        <v>2883</v>
      </c>
    </row>
    <row r="313" spans="1:22" x14ac:dyDescent="0.25">
      <c r="A313" t="s">
        <v>2852</v>
      </c>
      <c r="B313" t="s">
        <v>2949</v>
      </c>
      <c r="D313" t="s">
        <v>2638</v>
      </c>
      <c r="E313" t="s">
        <v>2220</v>
      </c>
      <c r="F313" t="s">
        <v>70</v>
      </c>
      <c r="G313" s="411" t="s">
        <v>2943</v>
      </c>
      <c r="H313">
        <v>2011</v>
      </c>
      <c r="I313" s="413">
        <v>27.3</v>
      </c>
      <c r="J313" s="413"/>
      <c r="K313" t="s">
        <v>2944</v>
      </c>
      <c r="L313" t="s">
        <v>1863</v>
      </c>
      <c r="O313" s="412">
        <f t="shared" si="10"/>
        <v>0.27300000000000002</v>
      </c>
      <c r="T313">
        <v>1</v>
      </c>
      <c r="U313" t="s">
        <v>2882</v>
      </c>
      <c r="V313" t="s">
        <v>2883</v>
      </c>
    </row>
    <row r="314" spans="1:22" x14ac:dyDescent="0.25">
      <c r="A314" t="s">
        <v>2852</v>
      </c>
      <c r="B314" t="s">
        <v>2949</v>
      </c>
      <c r="C314" t="str">
        <f t="shared" si="9"/>
        <v>VC7ET13</v>
      </c>
      <c r="D314" t="s">
        <v>2638</v>
      </c>
      <c r="E314" t="s">
        <v>2220</v>
      </c>
      <c r="F314" t="s">
        <v>70</v>
      </c>
      <c r="G314" s="411" t="s">
        <v>2943</v>
      </c>
      <c r="H314">
        <v>2019</v>
      </c>
      <c r="I314" s="413">
        <v>36.4</v>
      </c>
      <c r="J314" s="413"/>
      <c r="K314" t="s">
        <v>2944</v>
      </c>
      <c r="L314" t="s">
        <v>1863</v>
      </c>
      <c r="O314" s="412">
        <f t="shared" si="10"/>
        <v>0.36399999999999999</v>
      </c>
      <c r="Q314" s="413">
        <f>(I314/I315)^(1/(H314-H315))</f>
        <v>1.0253228592645025</v>
      </c>
      <c r="T314">
        <v>1</v>
      </c>
      <c r="U314" t="s">
        <v>2884</v>
      </c>
      <c r="V314" t="s">
        <v>2885</v>
      </c>
    </row>
    <row r="315" spans="1:22" x14ac:dyDescent="0.25">
      <c r="A315" t="s">
        <v>2852</v>
      </c>
      <c r="B315" t="s">
        <v>2949</v>
      </c>
      <c r="D315" t="s">
        <v>2638</v>
      </c>
      <c r="E315" t="s">
        <v>2220</v>
      </c>
      <c r="F315" t="s">
        <v>70</v>
      </c>
      <c r="G315" s="411" t="s">
        <v>2943</v>
      </c>
      <c r="H315">
        <v>2011</v>
      </c>
      <c r="I315" s="413">
        <v>29.8</v>
      </c>
      <c r="J315" s="413"/>
      <c r="K315" t="s">
        <v>2944</v>
      </c>
      <c r="L315" t="s">
        <v>1863</v>
      </c>
      <c r="O315" s="412">
        <f t="shared" si="10"/>
        <v>0.29799999999999999</v>
      </c>
      <c r="T315">
        <v>1</v>
      </c>
      <c r="U315" t="s">
        <v>2884</v>
      </c>
      <c r="V315" t="s">
        <v>2885</v>
      </c>
    </row>
    <row r="316" spans="1:22" x14ac:dyDescent="0.25">
      <c r="A316" t="s">
        <v>2852</v>
      </c>
      <c r="B316" t="s">
        <v>2949</v>
      </c>
      <c r="C316" t="str">
        <f t="shared" si="9"/>
        <v>VC7ET14</v>
      </c>
      <c r="D316" t="s">
        <v>2638</v>
      </c>
      <c r="E316" t="s">
        <v>2220</v>
      </c>
      <c r="F316" t="s">
        <v>70</v>
      </c>
      <c r="G316" s="411" t="s">
        <v>2943</v>
      </c>
      <c r="H316">
        <v>2019</v>
      </c>
      <c r="I316" s="413">
        <v>15</v>
      </c>
      <c r="J316" s="413"/>
      <c r="K316" t="s">
        <v>2944</v>
      </c>
      <c r="L316" t="s">
        <v>1863</v>
      </c>
      <c r="O316" s="412">
        <f t="shared" si="10"/>
        <v>0.15</v>
      </c>
      <c r="Q316" s="413">
        <f>(I316/I317)^(1/(H316-H317))</f>
        <v>0.95325385944295649</v>
      </c>
      <c r="T316">
        <v>1</v>
      </c>
      <c r="U316" t="s">
        <v>2886</v>
      </c>
      <c r="V316" t="s">
        <v>814</v>
      </c>
    </row>
    <row r="317" spans="1:22" x14ac:dyDescent="0.25">
      <c r="A317" t="s">
        <v>2852</v>
      </c>
      <c r="B317" t="s">
        <v>2949</v>
      </c>
      <c r="D317" t="s">
        <v>2638</v>
      </c>
      <c r="E317" t="s">
        <v>2220</v>
      </c>
      <c r="F317" t="s">
        <v>70</v>
      </c>
      <c r="G317" s="411" t="s">
        <v>2943</v>
      </c>
      <c r="H317">
        <v>2011</v>
      </c>
      <c r="I317" s="413">
        <v>22</v>
      </c>
      <c r="J317" s="413"/>
      <c r="K317" t="s">
        <v>2944</v>
      </c>
      <c r="L317" t="s">
        <v>1863</v>
      </c>
      <c r="O317" s="412">
        <f t="shared" si="10"/>
        <v>0.22</v>
      </c>
      <c r="T317">
        <v>1</v>
      </c>
      <c r="U317" t="s">
        <v>2886</v>
      </c>
      <c r="V317" t="s">
        <v>814</v>
      </c>
    </row>
    <row r="318" spans="1:22" x14ac:dyDescent="0.25">
      <c r="A318" t="s">
        <v>2852</v>
      </c>
      <c r="B318" t="s">
        <v>2949</v>
      </c>
      <c r="C318" t="str">
        <f t="shared" si="9"/>
        <v>VC7ET15</v>
      </c>
      <c r="D318" t="s">
        <v>2638</v>
      </c>
      <c r="E318" t="s">
        <v>2220</v>
      </c>
      <c r="F318" t="s">
        <v>70</v>
      </c>
      <c r="G318" s="411" t="s">
        <v>2943</v>
      </c>
      <c r="H318">
        <v>2019</v>
      </c>
      <c r="I318" s="413">
        <v>25.4</v>
      </c>
      <c r="J318" s="413"/>
      <c r="K318" t="s">
        <v>2944</v>
      </c>
      <c r="L318" t="s">
        <v>1863</v>
      </c>
      <c r="O318" s="412">
        <f t="shared" si="10"/>
        <v>0.254</v>
      </c>
      <c r="Q318" s="413">
        <f>(I318/I319)^(1/(H318-H319))</f>
        <v>0.95634785131330102</v>
      </c>
      <c r="T318">
        <v>1</v>
      </c>
      <c r="U318" t="s">
        <v>2887</v>
      </c>
      <c r="V318" t="s">
        <v>2888</v>
      </c>
    </row>
    <row r="319" spans="1:22" x14ac:dyDescent="0.25">
      <c r="A319" t="s">
        <v>2852</v>
      </c>
      <c r="B319" t="s">
        <v>2949</v>
      </c>
      <c r="D319" t="s">
        <v>2638</v>
      </c>
      <c r="E319" t="s">
        <v>2220</v>
      </c>
      <c r="F319" t="s">
        <v>70</v>
      </c>
      <c r="G319" s="411" t="s">
        <v>2943</v>
      </c>
      <c r="H319">
        <v>2011</v>
      </c>
      <c r="I319" s="413">
        <v>36.299999999999997</v>
      </c>
      <c r="J319" s="413"/>
      <c r="K319" t="s">
        <v>2944</v>
      </c>
      <c r="L319" t="s">
        <v>1863</v>
      </c>
      <c r="O319" s="412">
        <f t="shared" si="10"/>
        <v>0.36299999999999999</v>
      </c>
      <c r="T319">
        <v>1</v>
      </c>
      <c r="U319" t="s">
        <v>2887</v>
      </c>
      <c r="V319" t="s">
        <v>2888</v>
      </c>
    </row>
    <row r="320" spans="1:22" x14ac:dyDescent="0.25">
      <c r="A320" t="s">
        <v>2852</v>
      </c>
      <c r="E320" t="s">
        <v>3331</v>
      </c>
      <c r="F320" t="s">
        <v>686</v>
      </c>
      <c r="G320" s="411" t="s">
        <v>156</v>
      </c>
      <c r="H320">
        <v>2019</v>
      </c>
      <c r="I320" s="413">
        <v>54</v>
      </c>
      <c r="J320" s="413" t="s">
        <v>3332</v>
      </c>
      <c r="K320" t="s">
        <v>3333</v>
      </c>
      <c r="O320" s="412">
        <f>I320/1000</f>
        <v>5.3999999999999999E-2</v>
      </c>
      <c r="Q320" s="413">
        <f>(I320/I321)^(1/(H320-H321))</f>
        <v>0.96018439081060414</v>
      </c>
      <c r="T320">
        <v>0</v>
      </c>
      <c r="U320" t="s">
        <v>2851</v>
      </c>
      <c r="V320" t="s">
        <v>594</v>
      </c>
    </row>
    <row r="321" spans="1:22" x14ac:dyDescent="0.25">
      <c r="A321" t="s">
        <v>2852</v>
      </c>
      <c r="E321" t="s">
        <v>3331</v>
      </c>
      <c r="F321" t="s">
        <v>686</v>
      </c>
      <c r="G321" s="411" t="s">
        <v>156</v>
      </c>
      <c r="H321">
        <v>2016</v>
      </c>
      <c r="I321" s="413">
        <v>61</v>
      </c>
      <c r="J321" s="413" t="s">
        <v>3334</v>
      </c>
      <c r="K321" t="s">
        <v>3333</v>
      </c>
      <c r="O321" s="412">
        <f t="shared" ref="O321:O347" si="11">I321/1000</f>
        <v>6.0999999999999999E-2</v>
      </c>
      <c r="T321">
        <v>0</v>
      </c>
      <c r="U321" t="s">
        <v>2851</v>
      </c>
      <c r="V321" t="s">
        <v>594</v>
      </c>
    </row>
    <row r="322" spans="1:22" x14ac:dyDescent="0.25">
      <c r="A322" t="s">
        <v>2852</v>
      </c>
      <c r="E322" t="s">
        <v>3331</v>
      </c>
      <c r="F322" t="s">
        <v>686</v>
      </c>
      <c r="G322" s="411" t="s">
        <v>156</v>
      </c>
      <c r="H322">
        <v>2019</v>
      </c>
      <c r="I322" s="413">
        <v>35</v>
      </c>
      <c r="J322" s="413" t="s">
        <v>3335</v>
      </c>
      <c r="K322" t="s">
        <v>3333</v>
      </c>
      <c r="O322" s="412">
        <f t="shared" si="11"/>
        <v>3.5000000000000003E-2</v>
      </c>
      <c r="Q322" s="413">
        <f>(I322/I323)^(1/(H322-H323))</f>
        <v>0.93681104858747943</v>
      </c>
      <c r="T322">
        <v>0.5</v>
      </c>
      <c r="U322" t="s">
        <v>2869</v>
      </c>
      <c r="V322" t="s">
        <v>336</v>
      </c>
    </row>
    <row r="323" spans="1:22" x14ac:dyDescent="0.25">
      <c r="A323" t="s">
        <v>2852</v>
      </c>
      <c r="E323" t="s">
        <v>3331</v>
      </c>
      <c r="F323" t="s">
        <v>686</v>
      </c>
      <c r="G323" s="411" t="s">
        <v>156</v>
      </c>
      <c r="H323">
        <v>2011</v>
      </c>
      <c r="I323" s="413">
        <v>59</v>
      </c>
      <c r="J323" s="413" t="s">
        <v>3336</v>
      </c>
      <c r="K323" t="s">
        <v>3333</v>
      </c>
      <c r="O323" s="412">
        <f t="shared" si="11"/>
        <v>5.8999999999999997E-2</v>
      </c>
      <c r="T323">
        <v>0.5</v>
      </c>
      <c r="U323" t="s">
        <v>2869</v>
      </c>
      <c r="V323" t="s">
        <v>336</v>
      </c>
    </row>
    <row r="324" spans="1:22" x14ac:dyDescent="0.25">
      <c r="A324" t="s">
        <v>2852</v>
      </c>
      <c r="E324" t="s">
        <v>3331</v>
      </c>
      <c r="F324" t="s">
        <v>686</v>
      </c>
      <c r="G324" s="411" t="s">
        <v>156</v>
      </c>
      <c r="H324">
        <v>2019</v>
      </c>
      <c r="I324" s="413">
        <v>60</v>
      </c>
      <c r="J324" s="413" t="s">
        <v>3337</v>
      </c>
      <c r="K324" t="s">
        <v>3333</v>
      </c>
      <c r="O324" s="412">
        <f t="shared" si="11"/>
        <v>0.06</v>
      </c>
      <c r="Q324" s="413">
        <f>(I324/I325)^(1/(H324-H325))</f>
        <v>0.97088369420930742</v>
      </c>
      <c r="T324">
        <v>0.5</v>
      </c>
      <c r="U324" t="s">
        <v>2868</v>
      </c>
      <c r="V324" t="s">
        <v>84</v>
      </c>
    </row>
    <row r="325" spans="1:22" x14ac:dyDescent="0.25">
      <c r="A325" t="s">
        <v>2852</v>
      </c>
      <c r="E325" t="s">
        <v>3331</v>
      </c>
      <c r="F325" t="s">
        <v>686</v>
      </c>
      <c r="G325" s="411" t="s">
        <v>156</v>
      </c>
      <c r="H325">
        <v>2011</v>
      </c>
      <c r="I325" s="413">
        <v>76</v>
      </c>
      <c r="J325" s="413" t="s">
        <v>3338</v>
      </c>
      <c r="K325" t="s">
        <v>3333</v>
      </c>
      <c r="O325" s="412">
        <f t="shared" si="11"/>
        <v>7.5999999999999998E-2</v>
      </c>
      <c r="T325">
        <v>0.5</v>
      </c>
      <c r="U325" t="s">
        <v>2868</v>
      </c>
      <c r="V325" t="s">
        <v>84</v>
      </c>
    </row>
    <row r="326" spans="1:22" x14ac:dyDescent="0.25">
      <c r="A326" t="s">
        <v>2852</v>
      </c>
      <c r="E326" t="s">
        <v>3331</v>
      </c>
      <c r="F326" t="s">
        <v>686</v>
      </c>
      <c r="G326" s="411" t="s">
        <v>156</v>
      </c>
      <c r="H326">
        <v>2019</v>
      </c>
      <c r="I326" s="413">
        <v>38</v>
      </c>
      <c r="J326" s="413" t="s">
        <v>3339</v>
      </c>
      <c r="K326" t="s">
        <v>3333</v>
      </c>
      <c r="O326" s="412">
        <f t="shared" si="11"/>
        <v>3.7999999999999999E-2</v>
      </c>
      <c r="Q326" s="413">
        <f>(I326/I327)^(1/(H326-H327))</f>
        <v>0.95963271910581871</v>
      </c>
      <c r="T326">
        <v>1</v>
      </c>
      <c r="U326" t="s">
        <v>2870</v>
      </c>
      <c r="V326" t="s">
        <v>806</v>
      </c>
    </row>
    <row r="327" spans="1:22" x14ac:dyDescent="0.25">
      <c r="A327" t="s">
        <v>2852</v>
      </c>
      <c r="E327" t="s">
        <v>3331</v>
      </c>
      <c r="F327" t="s">
        <v>686</v>
      </c>
      <c r="G327" s="411" t="s">
        <v>156</v>
      </c>
      <c r="H327">
        <v>2016</v>
      </c>
      <c r="I327" s="413">
        <v>43</v>
      </c>
      <c r="J327" s="413" t="s">
        <v>3340</v>
      </c>
      <c r="K327" t="s">
        <v>3333</v>
      </c>
      <c r="O327" s="412">
        <f t="shared" si="11"/>
        <v>4.2999999999999997E-2</v>
      </c>
      <c r="T327">
        <v>1</v>
      </c>
      <c r="U327" t="s">
        <v>2870</v>
      </c>
      <c r="V327" t="s">
        <v>806</v>
      </c>
    </row>
    <row r="328" spans="1:22" x14ac:dyDescent="0.25">
      <c r="A328" t="s">
        <v>2852</v>
      </c>
      <c r="E328" t="s">
        <v>3331</v>
      </c>
      <c r="F328" t="s">
        <v>686</v>
      </c>
      <c r="G328" s="411" t="s">
        <v>156</v>
      </c>
      <c r="H328">
        <v>2019</v>
      </c>
      <c r="I328" s="413">
        <v>46</v>
      </c>
      <c r="J328" s="413" t="s">
        <v>3341</v>
      </c>
      <c r="K328" t="s">
        <v>3333</v>
      </c>
      <c r="O328" s="412">
        <f t="shared" si="11"/>
        <v>4.5999999999999999E-2</v>
      </c>
      <c r="Q328" s="413">
        <f>(I328/I329)^(1/(H328-H329))</f>
        <v>0.95956021308144634</v>
      </c>
      <c r="T328">
        <v>1</v>
      </c>
      <c r="U328" t="s">
        <v>2871</v>
      </c>
      <c r="V328" t="s">
        <v>2948</v>
      </c>
    </row>
    <row r="329" spans="1:22" x14ac:dyDescent="0.25">
      <c r="A329" t="s">
        <v>2852</v>
      </c>
      <c r="E329" t="s">
        <v>3331</v>
      </c>
      <c r="F329" t="s">
        <v>686</v>
      </c>
      <c r="G329" s="411" t="s">
        <v>156</v>
      </c>
      <c r="H329">
        <v>2011</v>
      </c>
      <c r="I329" s="413">
        <v>64</v>
      </c>
      <c r="J329" s="413" t="s">
        <v>3342</v>
      </c>
      <c r="K329" t="s">
        <v>3333</v>
      </c>
      <c r="O329" s="412">
        <f t="shared" si="11"/>
        <v>6.4000000000000001E-2</v>
      </c>
      <c r="T329">
        <v>1</v>
      </c>
      <c r="U329" t="s">
        <v>2871</v>
      </c>
      <c r="V329" t="s">
        <v>2948</v>
      </c>
    </row>
    <row r="330" spans="1:22" x14ac:dyDescent="0.25">
      <c r="A330" t="s">
        <v>2852</v>
      </c>
      <c r="E330" t="s">
        <v>3331</v>
      </c>
      <c r="F330" t="s">
        <v>686</v>
      </c>
      <c r="G330" s="411" t="s">
        <v>156</v>
      </c>
      <c r="H330">
        <v>2019</v>
      </c>
      <c r="I330" s="413">
        <v>58</v>
      </c>
      <c r="J330" s="413" t="s">
        <v>3343</v>
      </c>
      <c r="K330" t="s">
        <v>3333</v>
      </c>
      <c r="O330" s="412">
        <f t="shared" si="11"/>
        <v>5.8000000000000003E-2</v>
      </c>
      <c r="Q330" s="413">
        <f>(I330/I331)^(1/(H330-H331))</f>
        <v>0.95305448683546046</v>
      </c>
      <c r="T330">
        <v>1</v>
      </c>
      <c r="U330" t="s">
        <v>2873</v>
      </c>
      <c r="V330" t="s">
        <v>805</v>
      </c>
    </row>
    <row r="331" spans="1:22" x14ac:dyDescent="0.25">
      <c r="A331" t="s">
        <v>2852</v>
      </c>
      <c r="E331" t="s">
        <v>3331</v>
      </c>
      <c r="F331" t="s">
        <v>686</v>
      </c>
      <c r="G331" s="411" t="s">
        <v>156</v>
      </c>
      <c r="H331">
        <v>2016</v>
      </c>
      <c r="I331" s="413">
        <v>67</v>
      </c>
      <c r="J331" s="413" t="s">
        <v>3344</v>
      </c>
      <c r="K331" t="s">
        <v>3333</v>
      </c>
      <c r="O331" s="412">
        <f t="shared" si="11"/>
        <v>6.7000000000000004E-2</v>
      </c>
      <c r="T331">
        <v>1</v>
      </c>
      <c r="U331" t="s">
        <v>2873</v>
      </c>
      <c r="V331" t="s">
        <v>805</v>
      </c>
    </row>
    <row r="332" spans="1:22" x14ac:dyDescent="0.25">
      <c r="A332" t="s">
        <v>2852</v>
      </c>
      <c r="E332" t="s">
        <v>3331</v>
      </c>
      <c r="F332" t="s">
        <v>686</v>
      </c>
      <c r="G332" s="411" t="s">
        <v>156</v>
      </c>
      <c r="H332">
        <v>2019</v>
      </c>
      <c r="I332" s="413">
        <v>62</v>
      </c>
      <c r="J332" s="413" t="s">
        <v>3345</v>
      </c>
      <c r="K332" t="s">
        <v>3333</v>
      </c>
      <c r="O332" s="412">
        <f t="shared" si="11"/>
        <v>6.2E-2</v>
      </c>
      <c r="Q332" s="413">
        <f>(I332/I333)^(1/(H332-H333))</f>
        <v>0.97979135601203193</v>
      </c>
      <c r="T332">
        <v>1</v>
      </c>
      <c r="U332" t="s">
        <v>2874</v>
      </c>
      <c r="V332" t="s">
        <v>809</v>
      </c>
    </row>
    <row r="333" spans="1:22" x14ac:dyDescent="0.25">
      <c r="A333" t="s">
        <v>2852</v>
      </c>
      <c r="E333" t="s">
        <v>3331</v>
      </c>
      <c r="F333" t="s">
        <v>686</v>
      </c>
      <c r="G333" s="411" t="s">
        <v>156</v>
      </c>
      <c r="H333">
        <v>2011</v>
      </c>
      <c r="I333" s="413">
        <v>73</v>
      </c>
      <c r="J333" s="413" t="s">
        <v>3346</v>
      </c>
      <c r="K333" t="s">
        <v>3333</v>
      </c>
      <c r="O333" s="412">
        <f t="shared" si="11"/>
        <v>7.2999999999999995E-2</v>
      </c>
      <c r="T333">
        <v>1</v>
      </c>
      <c r="U333" t="s">
        <v>2874</v>
      </c>
      <c r="V333" t="s">
        <v>809</v>
      </c>
    </row>
    <row r="334" spans="1:22" x14ac:dyDescent="0.25">
      <c r="A334" t="s">
        <v>2852</v>
      </c>
      <c r="E334" t="s">
        <v>3331</v>
      </c>
      <c r="F334" t="s">
        <v>686</v>
      </c>
      <c r="G334" s="411" t="s">
        <v>156</v>
      </c>
      <c r="H334">
        <v>2019</v>
      </c>
      <c r="I334" s="413">
        <v>71</v>
      </c>
      <c r="J334" s="413" t="s">
        <v>3347</v>
      </c>
      <c r="K334" t="s">
        <v>3333</v>
      </c>
      <c r="O334" s="412">
        <f t="shared" si="11"/>
        <v>7.0999999999999994E-2</v>
      </c>
      <c r="Q334" s="413">
        <f>(I334/I335)^(1/(H334-H335))</f>
        <v>1.0195171021041152</v>
      </c>
      <c r="T334">
        <v>1</v>
      </c>
      <c r="U334" t="s">
        <v>2875</v>
      </c>
      <c r="V334" t="s">
        <v>2876</v>
      </c>
    </row>
    <row r="335" spans="1:22" x14ac:dyDescent="0.25">
      <c r="A335" t="s">
        <v>2852</v>
      </c>
      <c r="E335" t="s">
        <v>3331</v>
      </c>
      <c r="F335" t="s">
        <v>686</v>
      </c>
      <c r="G335" s="411" t="s">
        <v>156</v>
      </c>
      <c r="H335">
        <v>2016</v>
      </c>
      <c r="I335" s="413">
        <v>67</v>
      </c>
      <c r="J335" s="413" t="s">
        <v>3348</v>
      </c>
      <c r="K335" t="s">
        <v>3333</v>
      </c>
      <c r="O335" s="412">
        <f t="shared" si="11"/>
        <v>6.7000000000000004E-2</v>
      </c>
      <c r="T335">
        <v>1</v>
      </c>
      <c r="U335" t="s">
        <v>2875</v>
      </c>
      <c r="V335" t="s">
        <v>2876</v>
      </c>
    </row>
    <row r="336" spans="1:22" x14ac:dyDescent="0.25">
      <c r="A336" t="s">
        <v>2852</v>
      </c>
      <c r="E336" t="s">
        <v>3331</v>
      </c>
      <c r="F336" t="s">
        <v>686</v>
      </c>
      <c r="G336" s="411" t="s">
        <v>156</v>
      </c>
      <c r="H336">
        <v>2019</v>
      </c>
      <c r="I336" s="413">
        <v>74</v>
      </c>
      <c r="J336" s="413" t="s">
        <v>3349</v>
      </c>
      <c r="K336" t="s">
        <v>3333</v>
      </c>
      <c r="O336" s="412">
        <f t="shared" si="11"/>
        <v>7.3999999999999996E-2</v>
      </c>
      <c r="Q336" s="413">
        <f>(I336/I337)^(1/(H336-H337))</f>
        <v>0.99098716801275866</v>
      </c>
      <c r="T336">
        <v>1</v>
      </c>
      <c r="U336" t="s">
        <v>2878</v>
      </c>
      <c r="V336" t="s">
        <v>2879</v>
      </c>
    </row>
    <row r="337" spans="1:22" x14ac:dyDescent="0.25">
      <c r="A337" t="s">
        <v>2852</v>
      </c>
      <c r="E337" t="s">
        <v>3331</v>
      </c>
      <c r="F337" t="s">
        <v>686</v>
      </c>
      <c r="G337" s="411" t="s">
        <v>156</v>
      </c>
      <c r="H337">
        <v>2005</v>
      </c>
      <c r="I337" s="413">
        <v>84</v>
      </c>
      <c r="J337" s="413" t="s">
        <v>3350</v>
      </c>
      <c r="K337" t="s">
        <v>3333</v>
      </c>
      <c r="O337" s="412">
        <f t="shared" si="11"/>
        <v>8.4000000000000005E-2</v>
      </c>
      <c r="T337">
        <v>1</v>
      </c>
      <c r="U337" t="s">
        <v>2878</v>
      </c>
      <c r="V337" t="s">
        <v>2879</v>
      </c>
    </row>
    <row r="338" spans="1:22" x14ac:dyDescent="0.25">
      <c r="A338" t="s">
        <v>2852</v>
      </c>
      <c r="E338" t="s">
        <v>3331</v>
      </c>
      <c r="F338" t="s">
        <v>686</v>
      </c>
      <c r="G338" s="411" t="s">
        <v>156</v>
      </c>
      <c r="H338">
        <v>2019</v>
      </c>
      <c r="I338" s="413">
        <v>37</v>
      </c>
      <c r="J338" s="413" t="s">
        <v>3351</v>
      </c>
      <c r="K338" t="s">
        <v>3333</v>
      </c>
      <c r="O338" s="412">
        <f t="shared" si="11"/>
        <v>3.6999999999999998E-2</v>
      </c>
      <c r="Q338" s="413">
        <f>(I338/I339)^(1/(H338-H339))</f>
        <v>0.91098953947204542</v>
      </c>
      <c r="T338">
        <v>1</v>
      </c>
      <c r="U338" t="s">
        <v>2880</v>
      </c>
      <c r="V338" t="s">
        <v>2881</v>
      </c>
    </row>
    <row r="339" spans="1:22" x14ac:dyDescent="0.25">
      <c r="A339" t="s">
        <v>2852</v>
      </c>
      <c r="E339" t="s">
        <v>3331</v>
      </c>
      <c r="F339" t="s">
        <v>686</v>
      </c>
      <c r="G339" s="411" t="s">
        <v>156</v>
      </c>
      <c r="H339">
        <v>2011</v>
      </c>
      <c r="I339" s="413">
        <v>78</v>
      </c>
      <c r="J339" s="413" t="s">
        <v>3352</v>
      </c>
      <c r="K339" t="s">
        <v>3333</v>
      </c>
      <c r="O339" s="412">
        <f t="shared" si="11"/>
        <v>7.8E-2</v>
      </c>
      <c r="T339">
        <v>1</v>
      </c>
      <c r="U339" t="s">
        <v>2880</v>
      </c>
      <c r="V339" t="s">
        <v>2881</v>
      </c>
    </row>
    <row r="340" spans="1:22" x14ac:dyDescent="0.25">
      <c r="A340" t="s">
        <v>2852</v>
      </c>
      <c r="E340" t="s">
        <v>3331</v>
      </c>
      <c r="F340" t="s">
        <v>686</v>
      </c>
      <c r="G340" s="411" t="s">
        <v>156</v>
      </c>
      <c r="H340">
        <v>2019</v>
      </c>
      <c r="I340" s="413">
        <v>50</v>
      </c>
      <c r="J340" s="413" t="s">
        <v>3353</v>
      </c>
      <c r="K340" t="s">
        <v>3333</v>
      </c>
      <c r="O340" s="412">
        <f t="shared" si="11"/>
        <v>0.05</v>
      </c>
      <c r="Q340" s="413">
        <f>(I340/I341)^(1/(H340-H341))</f>
        <v>0.96292839277708941</v>
      </c>
      <c r="T340">
        <v>1</v>
      </c>
      <c r="U340" t="s">
        <v>2882</v>
      </c>
      <c r="V340" t="s">
        <v>2883</v>
      </c>
    </row>
    <row r="341" spans="1:22" x14ac:dyDescent="0.25">
      <c r="A341" t="s">
        <v>2852</v>
      </c>
      <c r="E341" t="s">
        <v>3331</v>
      </c>
      <c r="F341" t="s">
        <v>686</v>
      </c>
      <c r="G341" s="411" t="s">
        <v>156</v>
      </c>
      <c r="H341">
        <v>2016</v>
      </c>
      <c r="I341" s="413">
        <v>56</v>
      </c>
      <c r="J341" s="413" t="s">
        <v>3354</v>
      </c>
      <c r="K341" t="s">
        <v>3333</v>
      </c>
      <c r="O341" s="412">
        <f t="shared" si="11"/>
        <v>5.6000000000000001E-2</v>
      </c>
      <c r="T341">
        <v>1</v>
      </c>
      <c r="U341" t="s">
        <v>2882</v>
      </c>
      <c r="V341" t="s">
        <v>2883</v>
      </c>
    </row>
    <row r="342" spans="1:22" x14ac:dyDescent="0.25">
      <c r="A342" t="s">
        <v>2852</v>
      </c>
      <c r="E342" t="s">
        <v>3331</v>
      </c>
      <c r="F342" t="s">
        <v>686</v>
      </c>
      <c r="G342" s="411" t="s">
        <v>156</v>
      </c>
      <c r="H342">
        <v>2019</v>
      </c>
      <c r="I342" s="413">
        <v>49</v>
      </c>
      <c r="J342" s="413" t="s">
        <v>3355</v>
      </c>
      <c r="K342" t="s">
        <v>3333</v>
      </c>
      <c r="O342" s="412">
        <f t="shared" si="11"/>
        <v>4.9000000000000002E-2</v>
      </c>
      <c r="Q342" s="413">
        <f>(I342/I343)^(1/(H342-H343))</f>
        <v>0.95083919302602238</v>
      </c>
      <c r="T342">
        <v>1</v>
      </c>
      <c r="U342" t="s">
        <v>2884</v>
      </c>
      <c r="V342" t="s">
        <v>2885</v>
      </c>
    </row>
    <row r="343" spans="1:22" x14ac:dyDescent="0.25">
      <c r="A343" t="s">
        <v>2852</v>
      </c>
      <c r="E343" t="s">
        <v>3331</v>
      </c>
      <c r="F343" t="s">
        <v>686</v>
      </c>
      <c r="G343" s="411" t="s">
        <v>156</v>
      </c>
      <c r="H343">
        <v>2016</v>
      </c>
      <c r="I343" s="413">
        <v>57</v>
      </c>
      <c r="J343" s="413" t="s">
        <v>3356</v>
      </c>
      <c r="K343" t="s">
        <v>3333</v>
      </c>
      <c r="O343" s="412">
        <f t="shared" si="11"/>
        <v>5.7000000000000002E-2</v>
      </c>
      <c r="T343">
        <v>1</v>
      </c>
      <c r="U343" t="s">
        <v>2884</v>
      </c>
      <c r="V343" t="s">
        <v>2885</v>
      </c>
    </row>
    <row r="344" spans="1:22" x14ac:dyDescent="0.25">
      <c r="A344" t="s">
        <v>2852</v>
      </c>
      <c r="E344" t="s">
        <v>3331</v>
      </c>
      <c r="F344" t="s">
        <v>686</v>
      </c>
      <c r="G344" s="411" t="s">
        <v>156</v>
      </c>
      <c r="H344">
        <v>2019</v>
      </c>
      <c r="I344" s="413">
        <v>21</v>
      </c>
      <c r="J344" s="413" t="s">
        <v>3357</v>
      </c>
      <c r="K344" t="s">
        <v>3333</v>
      </c>
      <c r="O344" s="412">
        <f t="shared" si="11"/>
        <v>2.1000000000000001E-2</v>
      </c>
      <c r="Q344" s="413">
        <f>(I344/I345)^(1/(H344-H345))</f>
        <v>0.90856029641606983</v>
      </c>
      <c r="T344">
        <v>1</v>
      </c>
      <c r="U344" t="s">
        <v>2886</v>
      </c>
      <c r="V344" t="s">
        <v>814</v>
      </c>
    </row>
    <row r="345" spans="1:22" x14ac:dyDescent="0.25">
      <c r="A345" t="s">
        <v>2852</v>
      </c>
      <c r="E345" t="s">
        <v>3331</v>
      </c>
      <c r="F345" t="s">
        <v>686</v>
      </c>
      <c r="G345" s="411" t="s">
        <v>156</v>
      </c>
      <c r="H345">
        <v>2016</v>
      </c>
      <c r="I345" s="413">
        <v>28</v>
      </c>
      <c r="J345" s="413" t="s">
        <v>3358</v>
      </c>
      <c r="K345" t="s">
        <v>3333</v>
      </c>
      <c r="O345" s="412">
        <f t="shared" si="11"/>
        <v>2.8000000000000001E-2</v>
      </c>
      <c r="T345">
        <v>1</v>
      </c>
      <c r="U345" t="s">
        <v>2886</v>
      </c>
      <c r="V345" t="s">
        <v>814</v>
      </c>
    </row>
    <row r="346" spans="1:22" x14ac:dyDescent="0.25">
      <c r="A346" t="s">
        <v>2852</v>
      </c>
      <c r="E346" t="s">
        <v>3331</v>
      </c>
      <c r="F346" t="s">
        <v>686</v>
      </c>
      <c r="G346" s="411" t="s">
        <v>156</v>
      </c>
      <c r="H346">
        <v>2019</v>
      </c>
      <c r="I346" s="413">
        <v>61</v>
      </c>
      <c r="J346" s="413" t="s">
        <v>3359</v>
      </c>
      <c r="K346" t="s">
        <v>3333</v>
      </c>
      <c r="O346" s="412">
        <f t="shared" si="11"/>
        <v>6.0999999999999999E-2</v>
      </c>
      <c r="Q346" s="413">
        <f>(I346/I347)^(1/(H346-H347))</f>
        <v>0.96921102145022375</v>
      </c>
      <c r="T346">
        <v>1</v>
      </c>
      <c r="U346" t="s">
        <v>2887</v>
      </c>
      <c r="V346" t="s">
        <v>2888</v>
      </c>
    </row>
    <row r="347" spans="1:22" x14ac:dyDescent="0.25">
      <c r="A347" t="s">
        <v>2852</v>
      </c>
      <c r="E347" t="s">
        <v>3331</v>
      </c>
      <c r="F347" t="s">
        <v>686</v>
      </c>
      <c r="G347" s="411" t="s">
        <v>156</v>
      </c>
      <c r="H347">
        <v>2016</v>
      </c>
      <c r="I347" s="413">
        <v>67</v>
      </c>
      <c r="J347" s="413" t="s">
        <v>3360</v>
      </c>
      <c r="K347" t="s">
        <v>3333</v>
      </c>
      <c r="O347" s="412">
        <f t="shared" si="11"/>
        <v>6.7000000000000004E-2</v>
      </c>
      <c r="T347">
        <v>1</v>
      </c>
      <c r="U347" t="s">
        <v>2887</v>
      </c>
      <c r="V347" t="s">
        <v>2888</v>
      </c>
    </row>
    <row r="348" spans="1:22" x14ac:dyDescent="0.25">
      <c r="A348" t="s">
        <v>2852</v>
      </c>
      <c r="B348" t="s">
        <v>2950</v>
      </c>
      <c r="C348" t="str">
        <f t="shared" ref="C348:C374" si="12">_xlfn.CONCAT(B348,U348)</f>
        <v>VC8ET</v>
      </c>
      <c r="D348" t="s">
        <v>2640</v>
      </c>
      <c r="E348" t="s">
        <v>2951</v>
      </c>
      <c r="F348" t="s">
        <v>67</v>
      </c>
      <c r="G348" s="411" t="s">
        <v>2952</v>
      </c>
      <c r="H348">
        <v>2019</v>
      </c>
      <c r="I348" s="413">
        <v>14</v>
      </c>
      <c r="J348" s="413" t="s">
        <v>2953</v>
      </c>
      <c r="K348" t="s">
        <v>2954</v>
      </c>
      <c r="L348" t="s">
        <v>2955</v>
      </c>
      <c r="O348" s="412">
        <f>(I348/4)/1000</f>
        <v>3.5000000000000001E-3</v>
      </c>
      <c r="Q348" s="413">
        <f>(I348/I349)^(1/(H348-H349))</f>
        <v>0.86013862753721815</v>
      </c>
      <c r="T348">
        <v>0</v>
      </c>
      <c r="U348" t="s">
        <v>2851</v>
      </c>
      <c r="V348" t="s">
        <v>594</v>
      </c>
    </row>
    <row r="349" spans="1:22" x14ac:dyDescent="0.25">
      <c r="E349" t="s">
        <v>2951</v>
      </c>
      <c r="F349" t="s">
        <v>67</v>
      </c>
      <c r="G349" s="411" t="s">
        <v>2952</v>
      </c>
      <c r="H349">
        <v>2016</v>
      </c>
      <c r="I349" s="413">
        <v>22</v>
      </c>
      <c r="J349" s="413" t="s">
        <v>3361</v>
      </c>
      <c r="K349" t="s">
        <v>2954</v>
      </c>
      <c r="O349" s="412">
        <f>(I349/4)/1000</f>
        <v>5.4999999999999997E-3</v>
      </c>
      <c r="T349">
        <v>0</v>
      </c>
      <c r="U349" t="s">
        <v>2851</v>
      </c>
      <c r="V349" t="s">
        <v>594</v>
      </c>
    </row>
    <row r="350" spans="1:22" x14ac:dyDescent="0.25">
      <c r="A350" t="s">
        <v>2852</v>
      </c>
      <c r="B350" t="s">
        <v>2950</v>
      </c>
      <c r="C350" t="str">
        <f t="shared" si="12"/>
        <v>VC8ETU</v>
      </c>
      <c r="E350" t="s">
        <v>2951</v>
      </c>
      <c r="F350" t="s">
        <v>67</v>
      </c>
      <c r="G350" s="411" t="s">
        <v>2952</v>
      </c>
      <c r="H350">
        <v>2019</v>
      </c>
      <c r="I350" s="413">
        <v>13</v>
      </c>
      <c r="J350" s="413" t="s">
        <v>2956</v>
      </c>
      <c r="K350" t="s">
        <v>2954</v>
      </c>
      <c r="L350" t="s">
        <v>2955</v>
      </c>
      <c r="O350" s="412">
        <f t="shared" ref="O350:O375" si="13">(I350/4)/1000</f>
        <v>3.2499999999999999E-3</v>
      </c>
      <c r="Q350" s="413">
        <f>(I350/I351)^(1/(H350-H351))</f>
        <v>0.92151077557388328</v>
      </c>
      <c r="T350">
        <v>0.5</v>
      </c>
      <c r="U350" t="s">
        <v>2869</v>
      </c>
      <c r="V350" t="s">
        <v>336</v>
      </c>
    </row>
    <row r="351" spans="1:22" x14ac:dyDescent="0.25">
      <c r="E351" t="s">
        <v>2951</v>
      </c>
      <c r="F351" t="s">
        <v>67</v>
      </c>
      <c r="G351" s="411" t="s">
        <v>2952</v>
      </c>
      <c r="H351">
        <v>2011</v>
      </c>
      <c r="I351" s="413">
        <v>25</v>
      </c>
      <c r="J351" s="413" t="s">
        <v>3362</v>
      </c>
      <c r="K351" t="s">
        <v>2954</v>
      </c>
      <c r="O351" s="412">
        <f t="shared" si="13"/>
        <v>6.2500000000000003E-3</v>
      </c>
      <c r="T351">
        <v>0.5</v>
      </c>
      <c r="U351" t="s">
        <v>2869</v>
      </c>
      <c r="V351" t="s">
        <v>336</v>
      </c>
    </row>
    <row r="352" spans="1:22" x14ac:dyDescent="0.25">
      <c r="A352" t="s">
        <v>2852</v>
      </c>
      <c r="B352" t="s">
        <v>2950</v>
      </c>
      <c r="C352" t="str">
        <f t="shared" si="12"/>
        <v>VC8ETR</v>
      </c>
      <c r="E352" t="s">
        <v>2951</v>
      </c>
      <c r="F352" t="s">
        <v>67</v>
      </c>
      <c r="G352" s="411" t="s">
        <v>2952</v>
      </c>
      <c r="H352">
        <v>2019</v>
      </c>
      <c r="I352" s="413">
        <v>15</v>
      </c>
      <c r="J352" s="413" t="s">
        <v>2957</v>
      </c>
      <c r="K352" t="s">
        <v>2954</v>
      </c>
      <c r="L352" t="s">
        <v>2955</v>
      </c>
      <c r="O352" s="412">
        <f t="shared" si="13"/>
        <v>3.7499999999999999E-3</v>
      </c>
      <c r="Q352" s="413">
        <f>(I352/I353)^(1/(H352-H353))</f>
        <v>0.86720373765836023</v>
      </c>
      <c r="T352">
        <v>0.5</v>
      </c>
      <c r="U352" t="s">
        <v>2868</v>
      </c>
      <c r="V352" t="s">
        <v>84</v>
      </c>
    </row>
    <row r="353" spans="1:22" x14ac:dyDescent="0.25">
      <c r="E353" t="s">
        <v>2951</v>
      </c>
      <c r="F353" t="s">
        <v>67</v>
      </c>
      <c r="G353" s="411" t="s">
        <v>2952</v>
      </c>
      <c r="H353">
        <v>2016</v>
      </c>
      <c r="I353" s="413">
        <v>23</v>
      </c>
      <c r="J353" s="413" t="s">
        <v>3363</v>
      </c>
      <c r="K353" t="s">
        <v>2954</v>
      </c>
      <c r="O353" s="412">
        <f t="shared" si="13"/>
        <v>5.7499999999999999E-3</v>
      </c>
      <c r="T353">
        <v>0.5</v>
      </c>
      <c r="U353" t="s">
        <v>2868</v>
      </c>
      <c r="V353" t="s">
        <v>84</v>
      </c>
    </row>
    <row r="354" spans="1:22" x14ac:dyDescent="0.25">
      <c r="A354" t="s">
        <v>2852</v>
      </c>
      <c r="B354" t="s">
        <v>2950</v>
      </c>
      <c r="C354" t="str">
        <f t="shared" si="12"/>
        <v>VC8ET01</v>
      </c>
      <c r="E354" t="s">
        <v>2951</v>
      </c>
      <c r="F354" t="s">
        <v>67</v>
      </c>
      <c r="G354" s="411" t="s">
        <v>2952</v>
      </c>
      <c r="H354">
        <v>2019</v>
      </c>
      <c r="I354" s="413">
        <v>6</v>
      </c>
      <c r="J354" s="413" t="s">
        <v>2958</v>
      </c>
      <c r="K354" t="s">
        <v>2954</v>
      </c>
      <c r="L354" t="s">
        <v>2955</v>
      </c>
      <c r="O354" s="412">
        <f t="shared" si="13"/>
        <v>1.5E-3</v>
      </c>
      <c r="Q354" s="413">
        <f>(I354/I355)^(1/(H354-H355))</f>
        <v>0.8453818642610138</v>
      </c>
      <c r="T354">
        <v>1</v>
      </c>
      <c r="U354" t="s">
        <v>2870</v>
      </c>
      <c r="V354" t="s">
        <v>806</v>
      </c>
    </row>
    <row r="355" spans="1:22" x14ac:dyDescent="0.25">
      <c r="E355" t="s">
        <v>2951</v>
      </c>
      <c r="F355" t="s">
        <v>67</v>
      </c>
      <c r="G355" s="411" t="s">
        <v>2952</v>
      </c>
      <c r="H355">
        <v>2011</v>
      </c>
      <c r="I355" s="413">
        <v>23</v>
      </c>
      <c r="J355" s="413" t="s">
        <v>3364</v>
      </c>
      <c r="K355" t="s">
        <v>2954</v>
      </c>
      <c r="O355" s="412">
        <f t="shared" si="13"/>
        <v>5.7499999999999999E-3</v>
      </c>
      <c r="T355">
        <v>1</v>
      </c>
      <c r="U355" t="s">
        <v>2870</v>
      </c>
      <c r="V355" t="s">
        <v>806</v>
      </c>
    </row>
    <row r="356" spans="1:22" x14ac:dyDescent="0.25">
      <c r="A356" t="s">
        <v>2852</v>
      </c>
      <c r="B356" t="s">
        <v>2950</v>
      </c>
      <c r="C356" t="str">
        <f t="shared" si="12"/>
        <v>VC8ET02</v>
      </c>
      <c r="E356" t="s">
        <v>2951</v>
      </c>
      <c r="F356" t="s">
        <v>67</v>
      </c>
      <c r="G356" s="411" t="s">
        <v>2952</v>
      </c>
      <c r="H356">
        <v>2019</v>
      </c>
      <c r="I356" s="413">
        <v>13</v>
      </c>
      <c r="J356" s="413" t="s">
        <v>2959</v>
      </c>
      <c r="K356" t="s">
        <v>2954</v>
      </c>
      <c r="L356" t="s">
        <v>2955</v>
      </c>
      <c r="O356" s="412">
        <f t="shared" si="13"/>
        <v>3.2499999999999999E-3</v>
      </c>
      <c r="Q356" s="413">
        <f>(I356/I357)^(1/(H356-H357))</f>
        <v>0.89043035817931426</v>
      </c>
      <c r="T356">
        <v>1</v>
      </c>
      <c r="U356" t="s">
        <v>2871</v>
      </c>
      <c r="V356" t="s">
        <v>2948</v>
      </c>
    </row>
    <row r="357" spans="1:22" x14ac:dyDescent="0.25">
      <c r="E357" t="s">
        <v>2951</v>
      </c>
      <c r="F357" t="s">
        <v>67</v>
      </c>
      <c r="G357" s="411" t="s">
        <v>2952</v>
      </c>
      <c r="H357">
        <v>2005</v>
      </c>
      <c r="I357" s="413">
        <v>66</v>
      </c>
      <c r="J357" s="413" t="s">
        <v>3365</v>
      </c>
      <c r="K357" t="s">
        <v>2954</v>
      </c>
      <c r="O357" s="412">
        <f t="shared" si="13"/>
        <v>1.6500000000000001E-2</v>
      </c>
      <c r="T357">
        <v>1</v>
      </c>
      <c r="U357" t="s">
        <v>2871</v>
      </c>
      <c r="V357" t="s">
        <v>2948</v>
      </c>
    </row>
    <row r="358" spans="1:22" x14ac:dyDescent="0.25">
      <c r="A358" t="s">
        <v>2852</v>
      </c>
      <c r="B358" t="s">
        <v>2950</v>
      </c>
      <c r="C358" t="str">
        <f t="shared" si="12"/>
        <v>VC8ET03</v>
      </c>
      <c r="E358" t="s">
        <v>2951</v>
      </c>
      <c r="F358" t="s">
        <v>67</v>
      </c>
      <c r="G358" s="411" t="s">
        <v>2952</v>
      </c>
      <c r="H358">
        <v>2019</v>
      </c>
      <c r="I358" s="413">
        <v>11</v>
      </c>
      <c r="J358" s="413" t="s">
        <v>2960</v>
      </c>
      <c r="K358" t="s">
        <v>2954</v>
      </c>
      <c r="L358" t="s">
        <v>2955</v>
      </c>
      <c r="O358" s="412">
        <f t="shared" si="13"/>
        <v>2.7499999999999998E-3</v>
      </c>
      <c r="Q358" s="413">
        <f>(I358/I359)^(1/(H358-H359))</f>
        <v>0.83345027598619226</v>
      </c>
      <c r="T358">
        <v>1</v>
      </c>
      <c r="U358" t="s">
        <v>2873</v>
      </c>
      <c r="V358" t="s">
        <v>805</v>
      </c>
    </row>
    <row r="359" spans="1:22" x14ac:dyDescent="0.25">
      <c r="E359" t="s">
        <v>2951</v>
      </c>
      <c r="F359" t="s">
        <v>67</v>
      </c>
      <c r="G359" s="411" t="s">
        <v>2952</v>
      </c>
      <c r="H359">
        <v>2016</v>
      </c>
      <c r="I359" s="413">
        <v>19</v>
      </c>
      <c r="J359" s="413" t="s">
        <v>3366</v>
      </c>
      <c r="K359" t="s">
        <v>2954</v>
      </c>
      <c r="O359" s="412">
        <f t="shared" si="13"/>
        <v>4.7499999999999999E-3</v>
      </c>
      <c r="T359">
        <v>1</v>
      </c>
      <c r="U359" t="s">
        <v>2873</v>
      </c>
      <c r="V359" t="s">
        <v>805</v>
      </c>
    </row>
    <row r="360" spans="1:22" x14ac:dyDescent="0.25">
      <c r="A360" t="s">
        <v>2852</v>
      </c>
      <c r="B360" t="s">
        <v>2950</v>
      </c>
      <c r="C360" t="str">
        <f t="shared" si="12"/>
        <v>VC8ET04</v>
      </c>
      <c r="E360" t="s">
        <v>2951</v>
      </c>
      <c r="F360" t="s">
        <v>67</v>
      </c>
      <c r="G360" s="411" t="s">
        <v>2952</v>
      </c>
      <c r="H360">
        <v>2019</v>
      </c>
      <c r="I360" s="413">
        <v>11</v>
      </c>
      <c r="J360" s="413" t="s">
        <v>2961</v>
      </c>
      <c r="K360" t="s">
        <v>2954</v>
      </c>
      <c r="L360" t="s">
        <v>2955</v>
      </c>
      <c r="O360" s="412">
        <f t="shared" si="13"/>
        <v>2.7499999999999998E-3</v>
      </c>
      <c r="Q360" s="413">
        <f>(I360/I361)^(1/(H360-H361))</f>
        <v>0.81932127060064586</v>
      </c>
      <c r="T360">
        <v>1</v>
      </c>
      <c r="U360" t="s">
        <v>2874</v>
      </c>
      <c r="V360" t="s">
        <v>809</v>
      </c>
    </row>
    <row r="361" spans="1:22" x14ac:dyDescent="0.25">
      <c r="E361" t="s">
        <v>2951</v>
      </c>
      <c r="F361" t="s">
        <v>67</v>
      </c>
      <c r="G361" s="411" t="s">
        <v>2952</v>
      </c>
      <c r="H361">
        <v>2016</v>
      </c>
      <c r="I361" s="413">
        <v>20</v>
      </c>
      <c r="J361" s="413" t="s">
        <v>3367</v>
      </c>
      <c r="K361" t="s">
        <v>2954</v>
      </c>
      <c r="O361" s="412">
        <f t="shared" si="13"/>
        <v>5.0000000000000001E-3</v>
      </c>
      <c r="T361">
        <v>1</v>
      </c>
      <c r="U361" t="s">
        <v>2874</v>
      </c>
      <c r="V361" t="s">
        <v>809</v>
      </c>
    </row>
    <row r="362" spans="1:22" x14ac:dyDescent="0.25">
      <c r="A362" t="s">
        <v>2852</v>
      </c>
      <c r="B362" t="s">
        <v>2950</v>
      </c>
      <c r="C362" t="str">
        <f t="shared" si="12"/>
        <v>VC8ET05</v>
      </c>
      <c r="E362" t="s">
        <v>2951</v>
      </c>
      <c r="F362" t="s">
        <v>67</v>
      </c>
      <c r="G362" s="411" t="s">
        <v>2952</v>
      </c>
      <c r="H362">
        <v>2019</v>
      </c>
      <c r="I362" s="413">
        <v>32</v>
      </c>
      <c r="J362" s="413" t="s">
        <v>2962</v>
      </c>
      <c r="K362" t="s">
        <v>2954</v>
      </c>
      <c r="L362" t="s">
        <v>2955</v>
      </c>
      <c r="O362" s="412">
        <f t="shared" si="13"/>
        <v>8.0000000000000002E-3</v>
      </c>
      <c r="Q362" s="413">
        <f>(I362/I363)^(1/(H362-H363))</f>
        <v>0.98596895543240215</v>
      </c>
      <c r="T362">
        <v>1</v>
      </c>
      <c r="U362" t="s">
        <v>2875</v>
      </c>
      <c r="V362" t="s">
        <v>2876</v>
      </c>
    </row>
    <row r="363" spans="1:22" x14ac:dyDescent="0.25">
      <c r="E363" t="s">
        <v>2951</v>
      </c>
      <c r="F363" t="s">
        <v>67</v>
      </c>
      <c r="G363" s="411" t="s">
        <v>2952</v>
      </c>
      <c r="H363">
        <v>2005</v>
      </c>
      <c r="I363" s="413">
        <v>39</v>
      </c>
      <c r="J363" s="413" t="s">
        <v>3368</v>
      </c>
      <c r="K363" t="s">
        <v>2954</v>
      </c>
      <c r="O363" s="412">
        <f t="shared" si="13"/>
        <v>9.75E-3</v>
      </c>
      <c r="T363">
        <v>1</v>
      </c>
      <c r="U363" t="s">
        <v>2875</v>
      </c>
      <c r="V363" t="s">
        <v>2876</v>
      </c>
    </row>
    <row r="364" spans="1:22" x14ac:dyDescent="0.25">
      <c r="A364" t="s">
        <v>2852</v>
      </c>
      <c r="B364" t="s">
        <v>2950</v>
      </c>
      <c r="C364" t="str">
        <f t="shared" si="12"/>
        <v>VC8ET06</v>
      </c>
      <c r="E364" t="s">
        <v>2951</v>
      </c>
      <c r="F364" t="s">
        <v>67</v>
      </c>
      <c r="G364" s="411" t="s">
        <v>2952</v>
      </c>
      <c r="H364">
        <v>2019</v>
      </c>
      <c r="I364" s="413">
        <v>17</v>
      </c>
      <c r="J364" s="413" t="s">
        <v>2963</v>
      </c>
      <c r="K364" t="s">
        <v>2954</v>
      </c>
      <c r="L364" t="s">
        <v>2955</v>
      </c>
      <c r="O364" s="412">
        <f t="shared" si="13"/>
        <v>4.2500000000000003E-3</v>
      </c>
      <c r="Q364" s="413">
        <f>(I364/I365)^(1/(H364-H365))</f>
        <v>0.8952703665829439</v>
      </c>
      <c r="T364">
        <v>1</v>
      </c>
      <c r="U364" t="s">
        <v>2878</v>
      </c>
      <c r="V364" t="s">
        <v>2879</v>
      </c>
    </row>
    <row r="365" spans="1:22" x14ac:dyDescent="0.25">
      <c r="E365" t="s">
        <v>2951</v>
      </c>
      <c r="F365" t="s">
        <v>67</v>
      </c>
      <c r="G365" s="411" t="s">
        <v>2952</v>
      </c>
      <c r="H365">
        <v>2005</v>
      </c>
      <c r="I365" s="413">
        <v>80</v>
      </c>
      <c r="J365" s="413" t="s">
        <v>3369</v>
      </c>
      <c r="K365" t="s">
        <v>2954</v>
      </c>
      <c r="O365" s="412">
        <f t="shared" si="13"/>
        <v>0.02</v>
      </c>
      <c r="T365">
        <v>1</v>
      </c>
      <c r="U365" t="s">
        <v>2878</v>
      </c>
      <c r="V365" t="s">
        <v>2879</v>
      </c>
    </row>
    <row r="366" spans="1:22" x14ac:dyDescent="0.25">
      <c r="A366" t="s">
        <v>2852</v>
      </c>
      <c r="B366" t="s">
        <v>2950</v>
      </c>
      <c r="C366" t="str">
        <f t="shared" si="12"/>
        <v>VC8ET07</v>
      </c>
      <c r="E366" t="s">
        <v>2951</v>
      </c>
      <c r="F366" t="s">
        <v>67</v>
      </c>
      <c r="G366" s="411" t="s">
        <v>2952</v>
      </c>
      <c r="H366">
        <v>2019</v>
      </c>
      <c r="I366" s="413">
        <v>20</v>
      </c>
      <c r="J366" s="413" t="s">
        <v>2964</v>
      </c>
      <c r="K366" t="s">
        <v>2954</v>
      </c>
      <c r="L366" t="s">
        <v>2955</v>
      </c>
      <c r="O366" s="412">
        <f t="shared" si="13"/>
        <v>5.0000000000000001E-3</v>
      </c>
      <c r="Q366" s="413">
        <f>(I366/I367)^(1/(H366-H367))</f>
        <v>0.92831776672255584</v>
      </c>
      <c r="T366">
        <v>1</v>
      </c>
      <c r="U366" t="s">
        <v>2880</v>
      </c>
      <c r="V366" t="s">
        <v>2881</v>
      </c>
    </row>
    <row r="367" spans="1:22" x14ac:dyDescent="0.25">
      <c r="E367" t="s">
        <v>2951</v>
      </c>
      <c r="F367" t="s">
        <v>67</v>
      </c>
      <c r="G367" s="411" t="s">
        <v>2952</v>
      </c>
      <c r="H367">
        <v>2016</v>
      </c>
      <c r="I367" s="413">
        <v>25</v>
      </c>
      <c r="J367" s="413" t="s">
        <v>3370</v>
      </c>
      <c r="K367" t="s">
        <v>2954</v>
      </c>
      <c r="O367" s="412">
        <f t="shared" si="13"/>
        <v>6.2500000000000003E-3</v>
      </c>
      <c r="T367">
        <v>1</v>
      </c>
      <c r="U367" t="s">
        <v>2880</v>
      </c>
      <c r="V367" t="s">
        <v>2881</v>
      </c>
    </row>
    <row r="368" spans="1:22" x14ac:dyDescent="0.25">
      <c r="A368" t="s">
        <v>2852</v>
      </c>
      <c r="B368" t="s">
        <v>2950</v>
      </c>
      <c r="C368" t="str">
        <f t="shared" si="12"/>
        <v>VC8ET12</v>
      </c>
      <c r="E368" t="s">
        <v>2951</v>
      </c>
      <c r="F368" t="s">
        <v>67</v>
      </c>
      <c r="G368" s="411" t="s">
        <v>2952</v>
      </c>
      <c r="H368">
        <v>2019</v>
      </c>
      <c r="I368" s="413">
        <v>38</v>
      </c>
      <c r="J368" s="413" t="s">
        <v>2965</v>
      </c>
      <c r="K368" t="s">
        <v>2954</v>
      </c>
      <c r="L368" t="s">
        <v>2955</v>
      </c>
      <c r="O368" s="412">
        <f t="shared" si="13"/>
        <v>9.4999999999999998E-3</v>
      </c>
      <c r="Q368" s="413">
        <f>(I368/I369)^(1/(H368-H369))</f>
        <v>0.96388823091788634</v>
      </c>
      <c r="T368">
        <v>1</v>
      </c>
      <c r="U368" t="s">
        <v>2882</v>
      </c>
      <c r="V368" t="s">
        <v>2883</v>
      </c>
    </row>
    <row r="369" spans="1:22" x14ac:dyDescent="0.25">
      <c r="E369" t="s">
        <v>2951</v>
      </c>
      <c r="F369" t="s">
        <v>67</v>
      </c>
      <c r="G369" s="411" t="s">
        <v>2952</v>
      </c>
      <c r="H369">
        <v>2011</v>
      </c>
      <c r="I369" s="413">
        <v>51</v>
      </c>
      <c r="J369" s="413" t="s">
        <v>3371</v>
      </c>
      <c r="K369" t="s">
        <v>2954</v>
      </c>
      <c r="O369" s="412">
        <f t="shared" si="13"/>
        <v>1.2749999999999999E-2</v>
      </c>
      <c r="T369">
        <v>1</v>
      </c>
      <c r="U369" t="s">
        <v>2882</v>
      </c>
      <c r="V369" t="s">
        <v>2883</v>
      </c>
    </row>
    <row r="370" spans="1:22" x14ac:dyDescent="0.25">
      <c r="A370" t="s">
        <v>2852</v>
      </c>
      <c r="B370" t="s">
        <v>2950</v>
      </c>
      <c r="C370" t="str">
        <f t="shared" si="12"/>
        <v>VC8ET13</v>
      </c>
      <c r="E370" t="s">
        <v>2951</v>
      </c>
      <c r="F370" t="s">
        <v>67</v>
      </c>
      <c r="G370" s="411" t="s">
        <v>2952</v>
      </c>
      <c r="H370">
        <v>2019</v>
      </c>
      <c r="I370" s="413">
        <v>16</v>
      </c>
      <c r="J370" s="413" t="s">
        <v>2966</v>
      </c>
      <c r="K370" t="s">
        <v>2954</v>
      </c>
      <c r="L370" t="s">
        <v>2955</v>
      </c>
      <c r="O370" s="412">
        <f t="shared" si="13"/>
        <v>4.0000000000000001E-3</v>
      </c>
      <c r="Q370" s="413">
        <f>(I370/I371)^(1/(H370-H371))</f>
        <v>0.93664649795093002</v>
      </c>
      <c r="T370">
        <v>1</v>
      </c>
      <c r="U370" t="s">
        <v>2884</v>
      </c>
      <c r="V370" t="s">
        <v>2885</v>
      </c>
    </row>
    <row r="371" spans="1:22" x14ac:dyDescent="0.25">
      <c r="E371" t="s">
        <v>2951</v>
      </c>
      <c r="F371" t="s">
        <v>67</v>
      </c>
      <c r="G371" s="411" t="s">
        <v>2952</v>
      </c>
      <c r="H371">
        <v>2005</v>
      </c>
      <c r="I371" s="413">
        <v>40</v>
      </c>
      <c r="J371" s="413" t="s">
        <v>3372</v>
      </c>
      <c r="K371" t="s">
        <v>2954</v>
      </c>
      <c r="O371" s="412">
        <f t="shared" si="13"/>
        <v>0.01</v>
      </c>
      <c r="T371">
        <v>1</v>
      </c>
      <c r="U371" t="s">
        <v>2884</v>
      </c>
      <c r="V371" t="s">
        <v>2885</v>
      </c>
    </row>
    <row r="372" spans="1:22" x14ac:dyDescent="0.25">
      <c r="A372" t="s">
        <v>2852</v>
      </c>
      <c r="B372" t="s">
        <v>2950</v>
      </c>
      <c r="C372" t="str">
        <f t="shared" si="12"/>
        <v>VC8ET14</v>
      </c>
      <c r="E372" t="s">
        <v>2951</v>
      </c>
      <c r="F372" t="s">
        <v>67</v>
      </c>
      <c r="G372" s="411" t="s">
        <v>2952</v>
      </c>
      <c r="H372">
        <v>2019</v>
      </c>
      <c r="I372" s="413">
        <v>5</v>
      </c>
      <c r="J372" s="413" t="s">
        <v>2967</v>
      </c>
      <c r="K372" t="s">
        <v>2954</v>
      </c>
      <c r="L372" t="s">
        <v>2955</v>
      </c>
      <c r="O372" s="412">
        <f t="shared" si="13"/>
        <v>1.25E-3</v>
      </c>
      <c r="Q372" s="413">
        <f>(I372/I373)^(1/(H372-H373))</f>
        <v>0.87923556325591468</v>
      </c>
      <c r="T372">
        <v>1</v>
      </c>
      <c r="U372" t="s">
        <v>2886</v>
      </c>
      <c r="V372" t="s">
        <v>814</v>
      </c>
    </row>
    <row r="373" spans="1:22" x14ac:dyDescent="0.25">
      <c r="E373" t="s">
        <v>2951</v>
      </c>
      <c r="F373" t="s">
        <v>67</v>
      </c>
      <c r="G373" s="411" t="s">
        <v>2952</v>
      </c>
      <c r="H373">
        <v>2011</v>
      </c>
      <c r="I373" s="413">
        <v>14</v>
      </c>
      <c r="J373" s="413" t="s">
        <v>3373</v>
      </c>
      <c r="K373" t="s">
        <v>2954</v>
      </c>
      <c r="O373" s="412">
        <f t="shared" si="13"/>
        <v>3.5000000000000001E-3</v>
      </c>
      <c r="T373">
        <v>1</v>
      </c>
      <c r="U373" t="s">
        <v>2886</v>
      </c>
      <c r="V373" t="s">
        <v>814</v>
      </c>
    </row>
    <row r="374" spans="1:22" x14ac:dyDescent="0.25">
      <c r="A374" t="s">
        <v>2852</v>
      </c>
      <c r="B374" t="s">
        <v>2950</v>
      </c>
      <c r="C374" t="str">
        <f t="shared" si="12"/>
        <v>VC8ET15</v>
      </c>
      <c r="E374" t="s">
        <v>2951</v>
      </c>
      <c r="F374" t="s">
        <v>67</v>
      </c>
      <c r="G374" s="411" t="s">
        <v>2952</v>
      </c>
      <c r="H374">
        <v>2019</v>
      </c>
      <c r="I374" s="413">
        <v>20</v>
      </c>
      <c r="J374" s="413" t="s">
        <v>2968</v>
      </c>
      <c r="K374" t="s">
        <v>2954</v>
      </c>
      <c r="L374" t="s">
        <v>2955</v>
      </c>
      <c r="O374" s="412">
        <f t="shared" si="13"/>
        <v>5.0000000000000001E-3</v>
      </c>
      <c r="Q374" s="413">
        <f>(I374/I375)^(1/(H374-H375))</f>
        <v>0.89390353509656773</v>
      </c>
      <c r="T374">
        <v>1</v>
      </c>
      <c r="U374" t="s">
        <v>2887</v>
      </c>
      <c r="V374" t="s">
        <v>2888</v>
      </c>
    </row>
    <row r="375" spans="1:22" x14ac:dyDescent="0.25">
      <c r="E375" t="s">
        <v>2951</v>
      </c>
      <c r="F375" t="s">
        <v>67</v>
      </c>
      <c r="G375" s="411" t="s">
        <v>2952</v>
      </c>
      <c r="H375">
        <v>2016</v>
      </c>
      <c r="I375" s="413">
        <v>28</v>
      </c>
      <c r="J375" s="413" t="s">
        <v>3374</v>
      </c>
      <c r="K375" t="s">
        <v>2954</v>
      </c>
      <c r="O375" s="412">
        <f t="shared" si="13"/>
        <v>7.0000000000000001E-3</v>
      </c>
      <c r="T375">
        <v>1</v>
      </c>
      <c r="U375" t="s">
        <v>2887</v>
      </c>
      <c r="V375" t="s">
        <v>2888</v>
      </c>
    </row>
    <row r="376" spans="1:22" s="418" customFormat="1" x14ac:dyDescent="0.25">
      <c r="A376" s="418" t="s">
        <v>2969</v>
      </c>
      <c r="D376" s="418" t="s">
        <v>2642</v>
      </c>
      <c r="E376" s="418" t="s">
        <v>2238</v>
      </c>
      <c r="F376" s="418" t="s">
        <v>67</v>
      </c>
      <c r="G376" s="419" t="s">
        <v>212</v>
      </c>
      <c r="H376" s="418" t="s">
        <v>2970</v>
      </c>
      <c r="I376" s="428">
        <v>14.5</v>
      </c>
      <c r="J376" s="428"/>
      <c r="K376" s="418" t="s">
        <v>2849</v>
      </c>
      <c r="L376" s="418" t="s">
        <v>2911</v>
      </c>
      <c r="Q376" s="426"/>
      <c r="T376" s="418">
        <v>0</v>
      </c>
      <c r="U376" s="418" t="s">
        <v>2851</v>
      </c>
      <c r="V376" s="418" t="s">
        <v>594</v>
      </c>
    </row>
    <row r="377" spans="1:22" x14ac:dyDescent="0.25">
      <c r="A377" t="s">
        <v>2971</v>
      </c>
      <c r="B377" t="s">
        <v>2972</v>
      </c>
      <c r="C377" t="str">
        <f t="shared" ref="C377:C425" si="14">_xlfn.CONCAT(B377,U377)</f>
        <v>VC9ET</v>
      </c>
      <c r="D377" t="s">
        <v>2973</v>
      </c>
      <c r="E377" t="s">
        <v>2479</v>
      </c>
      <c r="F377" t="s">
        <v>528</v>
      </c>
      <c r="G377" s="411" t="s">
        <v>212</v>
      </c>
      <c r="H377" t="s">
        <v>2970</v>
      </c>
      <c r="I377" s="413">
        <v>3.36</v>
      </c>
      <c r="J377" s="413"/>
      <c r="K377" t="s">
        <v>2849</v>
      </c>
      <c r="L377" t="s">
        <v>2974</v>
      </c>
      <c r="O377" s="417">
        <f>I377/100</f>
        <v>3.3599999999999998E-2</v>
      </c>
      <c r="P377" t="s">
        <v>2196</v>
      </c>
      <c r="Q377" s="422">
        <v>1</v>
      </c>
      <c r="R377" t="s">
        <v>2975</v>
      </c>
      <c r="T377">
        <v>0</v>
      </c>
      <c r="U377" t="s">
        <v>2851</v>
      </c>
      <c r="V377" t="s">
        <v>594</v>
      </c>
    </row>
    <row r="378" spans="1:22" x14ac:dyDescent="0.25">
      <c r="A378" t="s">
        <v>2971</v>
      </c>
      <c r="B378" t="s">
        <v>2972</v>
      </c>
      <c r="C378" t="str">
        <f t="shared" si="14"/>
        <v>VC9ET01</v>
      </c>
      <c r="E378" t="s">
        <v>2479</v>
      </c>
      <c r="F378" t="s">
        <v>528</v>
      </c>
      <c r="G378" s="411" t="s">
        <v>212</v>
      </c>
      <c r="H378">
        <v>2020</v>
      </c>
      <c r="I378">
        <v>3.36</v>
      </c>
      <c r="K378" t="s">
        <v>2849</v>
      </c>
      <c r="L378" t="s">
        <v>2974</v>
      </c>
      <c r="O378" s="417">
        <f>I378/100</f>
        <v>3.3599999999999998E-2</v>
      </c>
      <c r="P378" t="s">
        <v>2196</v>
      </c>
      <c r="Q378" s="422">
        <v>1</v>
      </c>
      <c r="R378" t="s">
        <v>2975</v>
      </c>
      <c r="T378">
        <v>1</v>
      </c>
      <c r="U378" t="s">
        <v>2870</v>
      </c>
      <c r="V378" t="s">
        <v>806</v>
      </c>
    </row>
    <row r="379" spans="1:22" x14ac:dyDescent="0.25">
      <c r="A379" t="s">
        <v>2971</v>
      </c>
      <c r="B379" t="s">
        <v>2972</v>
      </c>
      <c r="C379" t="str">
        <f t="shared" si="14"/>
        <v>VC9ET02</v>
      </c>
      <c r="E379" t="s">
        <v>2479</v>
      </c>
      <c r="F379" t="s">
        <v>528</v>
      </c>
      <c r="G379" s="411" t="s">
        <v>212</v>
      </c>
      <c r="H379">
        <v>2020</v>
      </c>
      <c r="I379">
        <v>0</v>
      </c>
      <c r="K379" t="s">
        <v>2849</v>
      </c>
      <c r="L379" t="s">
        <v>2974</v>
      </c>
      <c r="O379" s="417">
        <f t="shared" ref="O379:O388" si="15">I379/100</f>
        <v>0</v>
      </c>
      <c r="P379" t="s">
        <v>2196</v>
      </c>
      <c r="Q379" s="422">
        <v>1</v>
      </c>
      <c r="R379" t="s">
        <v>2975</v>
      </c>
      <c r="T379">
        <v>1</v>
      </c>
      <c r="U379" t="s">
        <v>2871</v>
      </c>
      <c r="V379" t="s">
        <v>2948</v>
      </c>
    </row>
    <row r="380" spans="1:22" x14ac:dyDescent="0.25">
      <c r="A380" t="s">
        <v>2971</v>
      </c>
      <c r="B380" t="s">
        <v>2972</v>
      </c>
      <c r="C380" t="str">
        <f t="shared" si="14"/>
        <v>VC9ET03</v>
      </c>
      <c r="E380" t="s">
        <v>2479</v>
      </c>
      <c r="F380" t="s">
        <v>528</v>
      </c>
      <c r="G380" s="411" t="s">
        <v>212</v>
      </c>
      <c r="H380">
        <v>2020</v>
      </c>
      <c r="I380">
        <v>9.6999999999999993</v>
      </c>
      <c r="K380" t="s">
        <v>2849</v>
      </c>
      <c r="L380" t="s">
        <v>2196</v>
      </c>
      <c r="O380" s="417">
        <f t="shared" si="15"/>
        <v>9.6999999999999989E-2</v>
      </c>
      <c r="P380" t="s">
        <v>2196</v>
      </c>
      <c r="Q380" s="422">
        <v>1</v>
      </c>
      <c r="R380" t="s">
        <v>2975</v>
      </c>
      <c r="T380">
        <v>1</v>
      </c>
      <c r="U380" t="s">
        <v>2873</v>
      </c>
      <c r="V380" t="s">
        <v>805</v>
      </c>
    </row>
    <row r="381" spans="1:22" x14ac:dyDescent="0.25">
      <c r="A381" t="s">
        <v>2971</v>
      </c>
      <c r="B381" t="s">
        <v>2972</v>
      </c>
      <c r="C381" t="str">
        <f t="shared" si="14"/>
        <v>VC9ET04</v>
      </c>
      <c r="E381" t="s">
        <v>2479</v>
      </c>
      <c r="F381" t="s">
        <v>528</v>
      </c>
      <c r="G381" s="411" t="s">
        <v>212</v>
      </c>
      <c r="H381">
        <v>2020</v>
      </c>
      <c r="I381">
        <v>3.36</v>
      </c>
      <c r="K381" t="s">
        <v>2849</v>
      </c>
      <c r="L381" t="s">
        <v>2974</v>
      </c>
      <c r="O381" s="417">
        <f t="shared" si="15"/>
        <v>3.3599999999999998E-2</v>
      </c>
      <c r="P381" t="s">
        <v>2196</v>
      </c>
      <c r="Q381" s="422">
        <v>1</v>
      </c>
      <c r="R381" t="s">
        <v>2975</v>
      </c>
      <c r="T381">
        <v>1</v>
      </c>
      <c r="U381" t="s">
        <v>2874</v>
      </c>
      <c r="V381" t="s">
        <v>809</v>
      </c>
    </row>
    <row r="382" spans="1:22" x14ac:dyDescent="0.25">
      <c r="A382" t="s">
        <v>2971</v>
      </c>
      <c r="B382" t="s">
        <v>2972</v>
      </c>
      <c r="C382" t="str">
        <f t="shared" si="14"/>
        <v>VC9ET05</v>
      </c>
      <c r="E382" t="s">
        <v>2479</v>
      </c>
      <c r="F382" t="s">
        <v>528</v>
      </c>
      <c r="G382" s="411" t="s">
        <v>212</v>
      </c>
      <c r="H382">
        <v>2020</v>
      </c>
      <c r="I382">
        <v>0</v>
      </c>
      <c r="K382" t="s">
        <v>2849</v>
      </c>
      <c r="L382" t="s">
        <v>2974</v>
      </c>
      <c r="O382" s="417">
        <f t="shared" si="15"/>
        <v>0</v>
      </c>
      <c r="P382" t="s">
        <v>2196</v>
      </c>
      <c r="Q382" s="422">
        <v>1</v>
      </c>
      <c r="R382" t="s">
        <v>2975</v>
      </c>
      <c r="T382">
        <v>1</v>
      </c>
      <c r="U382" t="s">
        <v>2875</v>
      </c>
      <c r="V382" t="s">
        <v>2876</v>
      </c>
    </row>
    <row r="383" spans="1:22" x14ac:dyDescent="0.25">
      <c r="A383" t="s">
        <v>2971</v>
      </c>
      <c r="B383" t="s">
        <v>2972</v>
      </c>
      <c r="C383" t="str">
        <f t="shared" si="14"/>
        <v>VC9ET06</v>
      </c>
      <c r="E383" t="s">
        <v>2479</v>
      </c>
      <c r="F383" t="s">
        <v>528</v>
      </c>
      <c r="G383" s="411" t="s">
        <v>212</v>
      </c>
      <c r="H383">
        <v>2020</v>
      </c>
      <c r="I383">
        <v>0</v>
      </c>
      <c r="K383" t="s">
        <v>2849</v>
      </c>
      <c r="L383" t="s">
        <v>2974</v>
      </c>
      <c r="O383" s="417">
        <f t="shared" si="15"/>
        <v>0</v>
      </c>
      <c r="P383" t="s">
        <v>2196</v>
      </c>
      <c r="Q383" s="422">
        <v>1</v>
      </c>
      <c r="R383" t="s">
        <v>2975</v>
      </c>
      <c r="T383">
        <v>1</v>
      </c>
      <c r="U383" t="s">
        <v>2878</v>
      </c>
      <c r="V383" t="s">
        <v>2879</v>
      </c>
    </row>
    <row r="384" spans="1:22" x14ac:dyDescent="0.25">
      <c r="A384" t="s">
        <v>2971</v>
      </c>
      <c r="B384" t="s">
        <v>2972</v>
      </c>
      <c r="C384" t="str">
        <f t="shared" si="14"/>
        <v>VC9ET07</v>
      </c>
      <c r="E384" t="s">
        <v>2479</v>
      </c>
      <c r="F384" t="s">
        <v>528</v>
      </c>
      <c r="G384" s="411" t="s">
        <v>212</v>
      </c>
      <c r="H384">
        <v>2020</v>
      </c>
      <c r="I384">
        <v>3.36</v>
      </c>
      <c r="K384" t="s">
        <v>2849</v>
      </c>
      <c r="L384" t="s">
        <v>2974</v>
      </c>
      <c r="O384" s="417">
        <f t="shared" si="15"/>
        <v>3.3599999999999998E-2</v>
      </c>
      <c r="P384" t="s">
        <v>2196</v>
      </c>
      <c r="Q384" s="422">
        <v>1</v>
      </c>
      <c r="R384" t="s">
        <v>2975</v>
      </c>
      <c r="T384">
        <v>1</v>
      </c>
      <c r="U384" t="s">
        <v>2880</v>
      </c>
      <c r="V384" t="s">
        <v>2881</v>
      </c>
    </row>
    <row r="385" spans="1:22" x14ac:dyDescent="0.25">
      <c r="A385" t="s">
        <v>2971</v>
      </c>
      <c r="B385" t="s">
        <v>2972</v>
      </c>
      <c r="C385" t="str">
        <f t="shared" si="14"/>
        <v>VC9ET12</v>
      </c>
      <c r="E385" t="s">
        <v>2479</v>
      </c>
      <c r="F385" t="s">
        <v>528</v>
      </c>
      <c r="G385" s="411" t="s">
        <v>212</v>
      </c>
      <c r="H385">
        <v>2020</v>
      </c>
      <c r="I385">
        <v>0</v>
      </c>
      <c r="K385" t="s">
        <v>2849</v>
      </c>
      <c r="L385" t="s">
        <v>2974</v>
      </c>
      <c r="O385" s="417">
        <f t="shared" si="15"/>
        <v>0</v>
      </c>
      <c r="P385" t="s">
        <v>2196</v>
      </c>
      <c r="Q385" s="422">
        <v>1</v>
      </c>
      <c r="R385" t="s">
        <v>2975</v>
      </c>
      <c r="T385">
        <v>1</v>
      </c>
      <c r="U385" t="s">
        <v>2882</v>
      </c>
      <c r="V385" t="s">
        <v>2883</v>
      </c>
    </row>
    <row r="386" spans="1:22" x14ac:dyDescent="0.25">
      <c r="A386" t="s">
        <v>2971</v>
      </c>
      <c r="B386" t="s">
        <v>2972</v>
      </c>
      <c r="C386" t="str">
        <f t="shared" si="14"/>
        <v>VC9ET13</v>
      </c>
      <c r="E386" t="s">
        <v>2479</v>
      </c>
      <c r="F386" t="s">
        <v>528</v>
      </c>
      <c r="G386" s="411" t="s">
        <v>212</v>
      </c>
      <c r="H386">
        <v>2020</v>
      </c>
      <c r="I386">
        <v>0</v>
      </c>
      <c r="K386" t="s">
        <v>2849</v>
      </c>
      <c r="L386" t="s">
        <v>2974</v>
      </c>
      <c r="O386" s="417">
        <f t="shared" si="15"/>
        <v>0</v>
      </c>
      <c r="P386" t="s">
        <v>2196</v>
      </c>
      <c r="Q386" s="422">
        <v>1</v>
      </c>
      <c r="R386" t="s">
        <v>2975</v>
      </c>
      <c r="T386">
        <v>1</v>
      </c>
      <c r="U386" t="s">
        <v>2884</v>
      </c>
      <c r="V386" t="s">
        <v>2885</v>
      </c>
    </row>
    <row r="387" spans="1:22" x14ac:dyDescent="0.25">
      <c r="A387" t="s">
        <v>2971</v>
      </c>
      <c r="B387" t="s">
        <v>2972</v>
      </c>
      <c r="C387" t="str">
        <f t="shared" si="14"/>
        <v>VC9ET14</v>
      </c>
      <c r="E387" t="s">
        <v>2479</v>
      </c>
      <c r="F387" t="s">
        <v>528</v>
      </c>
      <c r="G387" s="411" t="s">
        <v>212</v>
      </c>
      <c r="H387">
        <v>2020</v>
      </c>
      <c r="I387">
        <v>0</v>
      </c>
      <c r="K387" t="s">
        <v>2849</v>
      </c>
      <c r="L387" t="s">
        <v>2974</v>
      </c>
      <c r="O387" s="417">
        <f t="shared" si="15"/>
        <v>0</v>
      </c>
      <c r="P387" t="s">
        <v>2196</v>
      </c>
      <c r="Q387" s="422">
        <v>1</v>
      </c>
      <c r="R387" t="s">
        <v>2975</v>
      </c>
      <c r="T387">
        <v>1</v>
      </c>
      <c r="U387" t="s">
        <v>2886</v>
      </c>
      <c r="V387" t="s">
        <v>814</v>
      </c>
    </row>
    <row r="388" spans="1:22" x14ac:dyDescent="0.25">
      <c r="A388" t="s">
        <v>2971</v>
      </c>
      <c r="B388" t="s">
        <v>2972</v>
      </c>
      <c r="C388" t="str">
        <f t="shared" si="14"/>
        <v>VC9ET15</v>
      </c>
      <c r="E388" t="s">
        <v>2479</v>
      </c>
      <c r="F388" t="s">
        <v>528</v>
      </c>
      <c r="G388" s="411" t="s">
        <v>212</v>
      </c>
      <c r="H388">
        <v>2020</v>
      </c>
      <c r="I388">
        <v>0</v>
      </c>
      <c r="K388" t="s">
        <v>2849</v>
      </c>
      <c r="L388" t="s">
        <v>2974</v>
      </c>
      <c r="O388" s="417">
        <f t="shared" si="15"/>
        <v>0</v>
      </c>
      <c r="P388" t="s">
        <v>2196</v>
      </c>
      <c r="Q388" s="422">
        <v>1</v>
      </c>
      <c r="R388" t="s">
        <v>2975</v>
      </c>
      <c r="T388">
        <v>1</v>
      </c>
      <c r="U388" t="s">
        <v>2887</v>
      </c>
      <c r="V388" t="s">
        <v>2888</v>
      </c>
    </row>
    <row r="389" spans="1:22" x14ac:dyDescent="0.25">
      <c r="A389" t="s">
        <v>2976</v>
      </c>
      <c r="B389" t="s">
        <v>2977</v>
      </c>
      <c r="C389" t="str">
        <f t="shared" si="14"/>
        <v>VC10ET</v>
      </c>
      <c r="D389" t="s">
        <v>2643</v>
      </c>
      <c r="E389" t="s">
        <v>2239</v>
      </c>
      <c r="F389" t="s">
        <v>194</v>
      </c>
      <c r="G389" s="411" t="s">
        <v>2939</v>
      </c>
      <c r="H389">
        <v>2016</v>
      </c>
      <c r="I389" s="423">
        <f>0.25*0.25*1.6</f>
        <v>0.1</v>
      </c>
      <c r="J389" s="423"/>
      <c r="K389" t="s">
        <v>2978</v>
      </c>
      <c r="L389" t="s">
        <v>1863</v>
      </c>
      <c r="O389" s="54">
        <f>I389</f>
        <v>0.1</v>
      </c>
      <c r="T389">
        <v>0</v>
      </c>
      <c r="U389" t="s">
        <v>2851</v>
      </c>
      <c r="V389" t="s">
        <v>594</v>
      </c>
    </row>
    <row r="390" spans="1:22" x14ac:dyDescent="0.25">
      <c r="A390" t="s">
        <v>2979</v>
      </c>
      <c r="B390" t="s">
        <v>2980</v>
      </c>
      <c r="C390" t="str">
        <f t="shared" si="14"/>
        <v>VC11ET</v>
      </c>
      <c r="D390" t="s">
        <v>2256</v>
      </c>
      <c r="E390" t="s">
        <v>2245</v>
      </c>
      <c r="F390" t="s">
        <v>68</v>
      </c>
      <c r="G390" s="411" t="s">
        <v>2939</v>
      </c>
      <c r="H390">
        <v>2020</v>
      </c>
      <c r="I390" s="413">
        <v>1.5</v>
      </c>
      <c r="J390" s="413"/>
      <c r="K390" t="s">
        <v>2981</v>
      </c>
      <c r="L390" t="s">
        <v>2982</v>
      </c>
      <c r="O390" s="417">
        <f>I390/100</f>
        <v>1.4999999999999999E-2</v>
      </c>
      <c r="T390">
        <v>0</v>
      </c>
      <c r="U390" t="s">
        <v>2851</v>
      </c>
      <c r="V390" t="s">
        <v>594</v>
      </c>
    </row>
    <row r="391" spans="1:22" x14ac:dyDescent="0.25">
      <c r="A391" t="s">
        <v>2852</v>
      </c>
      <c r="B391" t="s">
        <v>2983</v>
      </c>
      <c r="C391" t="str">
        <f t="shared" si="14"/>
        <v>VC12ET</v>
      </c>
      <c r="D391" t="s">
        <v>2294</v>
      </c>
      <c r="E391" t="s">
        <v>2984</v>
      </c>
      <c r="F391" t="s">
        <v>66</v>
      </c>
      <c r="G391" s="411" t="s">
        <v>253</v>
      </c>
      <c r="H391">
        <v>2016</v>
      </c>
      <c r="I391" s="413">
        <v>40.5</v>
      </c>
      <c r="J391" s="413"/>
      <c r="K391" t="s">
        <v>2985</v>
      </c>
      <c r="L391" t="s">
        <v>1863</v>
      </c>
      <c r="O391" s="417">
        <f>I391/100</f>
        <v>0.40500000000000003</v>
      </c>
      <c r="Q391" s="413">
        <f>(I391/I392)^(1/(H391-H392))</f>
        <v>1.0193455724899141</v>
      </c>
      <c r="T391">
        <v>0</v>
      </c>
      <c r="U391" t="s">
        <v>2851</v>
      </c>
      <c r="V391" t="s">
        <v>594</v>
      </c>
    </row>
    <row r="392" spans="1:22" x14ac:dyDescent="0.25">
      <c r="A392" t="s">
        <v>2852</v>
      </c>
      <c r="B392" t="s">
        <v>2983</v>
      </c>
      <c r="E392" t="s">
        <v>2984</v>
      </c>
      <c r="F392" t="s">
        <v>66</v>
      </c>
      <c r="G392" s="411" t="s">
        <v>253</v>
      </c>
      <c r="H392">
        <v>2011</v>
      </c>
      <c r="I392" s="413">
        <v>36.799999999999997</v>
      </c>
      <c r="J392" s="413"/>
      <c r="K392" t="s">
        <v>2985</v>
      </c>
      <c r="L392" t="s">
        <v>1863</v>
      </c>
      <c r="O392" s="417">
        <f t="shared" ref="O392:O418" si="16">I392/100</f>
        <v>0.36799999999999999</v>
      </c>
      <c r="T392">
        <v>0</v>
      </c>
      <c r="U392" t="s">
        <v>2851</v>
      </c>
      <c r="V392" t="s">
        <v>594</v>
      </c>
    </row>
    <row r="393" spans="1:22" x14ac:dyDescent="0.25">
      <c r="A393" t="s">
        <v>2852</v>
      </c>
      <c r="B393" t="s">
        <v>2983</v>
      </c>
      <c r="C393" t="str">
        <f t="shared" si="14"/>
        <v>VC12ETR</v>
      </c>
      <c r="E393" t="s">
        <v>2984</v>
      </c>
      <c r="F393" t="s">
        <v>66</v>
      </c>
      <c r="G393" s="411" t="s">
        <v>253</v>
      </c>
      <c r="H393">
        <v>2016</v>
      </c>
      <c r="I393" s="413">
        <v>42.2</v>
      </c>
      <c r="J393" s="413"/>
      <c r="K393" t="s">
        <v>2985</v>
      </c>
      <c r="L393" t="s">
        <v>1863</v>
      </c>
      <c r="O393" s="417">
        <f t="shared" si="16"/>
        <v>0.42200000000000004</v>
      </c>
      <c r="Q393" s="413">
        <f>(I393/I394)^(1/(H393-H394))</f>
        <v>1.0244438739233099</v>
      </c>
      <c r="T393">
        <v>0.5</v>
      </c>
      <c r="U393" t="s">
        <v>2868</v>
      </c>
      <c r="V393" t="s">
        <v>84</v>
      </c>
    </row>
    <row r="394" spans="1:22" x14ac:dyDescent="0.25">
      <c r="A394" t="s">
        <v>2852</v>
      </c>
      <c r="B394" t="s">
        <v>2983</v>
      </c>
      <c r="E394" t="s">
        <v>2984</v>
      </c>
      <c r="F394" t="s">
        <v>66</v>
      </c>
      <c r="G394" s="411" t="s">
        <v>253</v>
      </c>
      <c r="H394">
        <v>2011</v>
      </c>
      <c r="I394" s="413">
        <v>37.4</v>
      </c>
      <c r="J394" s="413"/>
      <c r="K394" t="s">
        <v>2985</v>
      </c>
      <c r="L394" t="s">
        <v>1863</v>
      </c>
      <c r="O394" s="417">
        <f t="shared" si="16"/>
        <v>0.374</v>
      </c>
      <c r="T394">
        <v>0.5</v>
      </c>
      <c r="U394" t="s">
        <v>2868</v>
      </c>
      <c r="V394" t="s">
        <v>84</v>
      </c>
    </row>
    <row r="395" spans="1:22" x14ac:dyDescent="0.25">
      <c r="A395" t="s">
        <v>2852</v>
      </c>
      <c r="B395" t="s">
        <v>2983</v>
      </c>
      <c r="C395" t="str">
        <f t="shared" si="14"/>
        <v>VC12ETU</v>
      </c>
      <c r="E395" t="s">
        <v>2984</v>
      </c>
      <c r="F395" t="s">
        <v>66</v>
      </c>
      <c r="G395" s="411" t="s">
        <v>253</v>
      </c>
      <c r="H395">
        <v>2016</v>
      </c>
      <c r="I395" s="413">
        <v>34.799999999999997</v>
      </c>
      <c r="J395" s="413"/>
      <c r="K395" t="s">
        <v>2985</v>
      </c>
      <c r="L395" t="s">
        <v>1863</v>
      </c>
      <c r="O395" s="417">
        <f t="shared" si="16"/>
        <v>0.34799999999999998</v>
      </c>
      <c r="Q395" s="413">
        <f>(I395/I396)^(1/(H395-H396))</f>
        <v>0.99828472403192414</v>
      </c>
      <c r="T395">
        <v>0.5</v>
      </c>
      <c r="U395" t="s">
        <v>2869</v>
      </c>
      <c r="V395" t="s">
        <v>336</v>
      </c>
    </row>
    <row r="396" spans="1:22" x14ac:dyDescent="0.25">
      <c r="A396" t="s">
        <v>2852</v>
      </c>
      <c r="B396" t="s">
        <v>2983</v>
      </c>
      <c r="E396" t="s">
        <v>2984</v>
      </c>
      <c r="F396" t="s">
        <v>66</v>
      </c>
      <c r="G396" s="411" t="s">
        <v>253</v>
      </c>
      <c r="H396">
        <v>2011</v>
      </c>
      <c r="I396" s="413">
        <v>35.1</v>
      </c>
      <c r="J396" s="413"/>
      <c r="K396" t="s">
        <v>2985</v>
      </c>
      <c r="L396" t="s">
        <v>1863</v>
      </c>
      <c r="O396" s="417">
        <f t="shared" si="16"/>
        <v>0.35100000000000003</v>
      </c>
      <c r="T396">
        <v>0.5</v>
      </c>
      <c r="U396" t="s">
        <v>2869</v>
      </c>
      <c r="V396" t="s">
        <v>336</v>
      </c>
    </row>
    <row r="397" spans="1:22" x14ac:dyDescent="0.25">
      <c r="A397" t="s">
        <v>2852</v>
      </c>
      <c r="B397" t="s">
        <v>2983</v>
      </c>
      <c r="C397" t="str">
        <f t="shared" si="14"/>
        <v>VC12ET01</v>
      </c>
      <c r="E397" t="s">
        <v>2984</v>
      </c>
      <c r="F397" t="s">
        <v>66</v>
      </c>
      <c r="G397" s="411" t="s">
        <v>253</v>
      </c>
      <c r="H397">
        <v>2016</v>
      </c>
      <c r="I397" s="413">
        <v>36.200000000000003</v>
      </c>
      <c r="J397" s="413"/>
      <c r="K397" t="s">
        <v>2985</v>
      </c>
      <c r="L397" t="s">
        <v>1863</v>
      </c>
      <c r="O397" s="417">
        <f t="shared" si="16"/>
        <v>0.36200000000000004</v>
      </c>
      <c r="Q397" s="413">
        <f>(I397/I398)^(1/(H397-H398))</f>
        <v>1.0341830816550965</v>
      </c>
      <c r="T397">
        <v>1</v>
      </c>
      <c r="U397" t="s">
        <v>2870</v>
      </c>
      <c r="V397" t="s">
        <v>806</v>
      </c>
    </row>
    <row r="398" spans="1:22" x14ac:dyDescent="0.25">
      <c r="A398" t="s">
        <v>2852</v>
      </c>
      <c r="B398" t="s">
        <v>2983</v>
      </c>
      <c r="E398" t="s">
        <v>2984</v>
      </c>
      <c r="F398" t="s">
        <v>66</v>
      </c>
      <c r="G398" s="411" t="s">
        <v>253</v>
      </c>
      <c r="H398">
        <v>2011</v>
      </c>
      <c r="I398" s="413">
        <v>30.6</v>
      </c>
      <c r="J398" s="413"/>
      <c r="K398" t="s">
        <v>2985</v>
      </c>
      <c r="L398" t="s">
        <v>1863</v>
      </c>
      <c r="O398" s="417">
        <f t="shared" si="16"/>
        <v>0.30599999999999999</v>
      </c>
      <c r="T398">
        <v>1</v>
      </c>
      <c r="U398" t="s">
        <v>2870</v>
      </c>
      <c r="V398" t="s">
        <v>806</v>
      </c>
    </row>
    <row r="399" spans="1:22" x14ac:dyDescent="0.25">
      <c r="A399" t="s">
        <v>2852</v>
      </c>
      <c r="B399" t="s">
        <v>2983</v>
      </c>
      <c r="C399" t="str">
        <f t="shared" si="14"/>
        <v>VC12ET02</v>
      </c>
      <c r="E399" t="s">
        <v>2984</v>
      </c>
      <c r="F399" t="s">
        <v>66</v>
      </c>
      <c r="G399" s="411" t="s">
        <v>253</v>
      </c>
      <c r="H399">
        <v>2016</v>
      </c>
      <c r="I399" s="413">
        <v>23</v>
      </c>
      <c r="J399" s="413"/>
      <c r="K399" t="s">
        <v>2985</v>
      </c>
      <c r="L399" t="s">
        <v>1863</v>
      </c>
      <c r="O399" s="417">
        <f t="shared" si="16"/>
        <v>0.23</v>
      </c>
      <c r="Q399" s="413">
        <f>(I399/I400)^(1/(H399-H400))</f>
        <v>1.0232807282153804</v>
      </c>
      <c r="T399">
        <v>1</v>
      </c>
      <c r="U399" t="s">
        <v>2871</v>
      </c>
      <c r="V399" t="s">
        <v>2948</v>
      </c>
    </row>
    <row r="400" spans="1:22" x14ac:dyDescent="0.25">
      <c r="A400" t="s">
        <v>2852</v>
      </c>
      <c r="B400" t="s">
        <v>2983</v>
      </c>
      <c r="E400" t="s">
        <v>2984</v>
      </c>
      <c r="F400" t="s">
        <v>66</v>
      </c>
      <c r="G400" s="411" t="s">
        <v>253</v>
      </c>
      <c r="H400">
        <v>2011</v>
      </c>
      <c r="I400" s="413">
        <v>20.5</v>
      </c>
      <c r="J400" s="413"/>
      <c r="K400" t="s">
        <v>2985</v>
      </c>
      <c r="L400" t="s">
        <v>1863</v>
      </c>
      <c r="O400" s="417">
        <f t="shared" si="16"/>
        <v>0.20499999999999999</v>
      </c>
      <c r="T400">
        <v>1</v>
      </c>
      <c r="U400" t="s">
        <v>2871</v>
      </c>
      <c r="V400" t="s">
        <v>2948</v>
      </c>
    </row>
    <row r="401" spans="1:22" x14ac:dyDescent="0.25">
      <c r="A401" t="s">
        <v>2852</v>
      </c>
      <c r="B401" t="s">
        <v>2983</v>
      </c>
      <c r="C401" t="str">
        <f t="shared" si="14"/>
        <v>VC12ET03</v>
      </c>
      <c r="E401" t="s">
        <v>2984</v>
      </c>
      <c r="F401" t="s">
        <v>66</v>
      </c>
      <c r="G401" s="411" t="s">
        <v>253</v>
      </c>
      <c r="H401">
        <v>2016</v>
      </c>
      <c r="I401" s="413">
        <v>45.9</v>
      </c>
      <c r="J401" s="413"/>
      <c r="K401" t="s">
        <v>2985</v>
      </c>
      <c r="L401" t="s">
        <v>1863</v>
      </c>
      <c r="O401" s="417">
        <f t="shared" si="16"/>
        <v>0.45899999999999996</v>
      </c>
      <c r="Q401" s="413">
        <f>(I401/I402)^(1/(H401-H402))</f>
        <v>1.0336478766775552</v>
      </c>
      <c r="T401">
        <v>1</v>
      </c>
      <c r="U401" t="s">
        <v>2873</v>
      </c>
      <c r="V401" t="s">
        <v>805</v>
      </c>
    </row>
    <row r="402" spans="1:22" x14ac:dyDescent="0.25">
      <c r="A402" t="s">
        <v>2852</v>
      </c>
      <c r="B402" t="s">
        <v>2983</v>
      </c>
      <c r="E402" t="s">
        <v>2984</v>
      </c>
      <c r="F402" t="s">
        <v>66</v>
      </c>
      <c r="G402" s="411" t="s">
        <v>253</v>
      </c>
      <c r="H402">
        <v>2011</v>
      </c>
      <c r="I402" s="413">
        <v>38.9</v>
      </c>
      <c r="J402" s="413"/>
      <c r="K402" t="s">
        <v>2985</v>
      </c>
      <c r="L402" t="s">
        <v>1863</v>
      </c>
      <c r="O402" s="417">
        <f t="shared" si="16"/>
        <v>0.38900000000000001</v>
      </c>
      <c r="T402">
        <v>1</v>
      </c>
      <c r="U402" t="s">
        <v>2873</v>
      </c>
      <c r="V402" t="s">
        <v>805</v>
      </c>
    </row>
    <row r="403" spans="1:22" x14ac:dyDescent="0.25">
      <c r="A403" t="s">
        <v>2852</v>
      </c>
      <c r="B403" t="s">
        <v>2983</v>
      </c>
      <c r="C403" t="str">
        <f t="shared" si="14"/>
        <v>VC12ET04</v>
      </c>
      <c r="E403" t="s">
        <v>2984</v>
      </c>
      <c r="F403" t="s">
        <v>66</v>
      </c>
      <c r="G403" s="411" t="s">
        <v>253</v>
      </c>
      <c r="H403">
        <v>2016</v>
      </c>
      <c r="I403" s="413">
        <v>42.4</v>
      </c>
      <c r="J403" s="413"/>
      <c r="K403" t="s">
        <v>2985</v>
      </c>
      <c r="L403" t="s">
        <v>1863</v>
      </c>
      <c r="O403" s="417">
        <f t="shared" si="16"/>
        <v>0.42399999999999999</v>
      </c>
      <c r="Q403" s="413">
        <f>(I403/I404)^(1/(H403-H404))</f>
        <v>1.0137576258089769</v>
      </c>
      <c r="T403">
        <v>1</v>
      </c>
      <c r="U403" t="s">
        <v>2874</v>
      </c>
      <c r="V403" t="s">
        <v>809</v>
      </c>
    </row>
    <row r="404" spans="1:22" x14ac:dyDescent="0.25">
      <c r="A404" t="s">
        <v>2852</v>
      </c>
      <c r="B404" t="s">
        <v>2983</v>
      </c>
      <c r="E404" t="s">
        <v>2984</v>
      </c>
      <c r="F404" t="s">
        <v>66</v>
      </c>
      <c r="G404" s="411" t="s">
        <v>253</v>
      </c>
      <c r="H404">
        <v>2011</v>
      </c>
      <c r="I404" s="413">
        <v>39.6</v>
      </c>
      <c r="J404" s="413"/>
      <c r="K404" t="s">
        <v>2985</v>
      </c>
      <c r="L404" t="s">
        <v>1863</v>
      </c>
      <c r="O404" s="417">
        <f t="shared" si="16"/>
        <v>0.39600000000000002</v>
      </c>
      <c r="T404">
        <v>1</v>
      </c>
      <c r="U404" t="s">
        <v>2874</v>
      </c>
      <c r="V404" t="s">
        <v>809</v>
      </c>
    </row>
    <row r="405" spans="1:22" x14ac:dyDescent="0.25">
      <c r="A405" t="s">
        <v>2852</v>
      </c>
      <c r="B405" t="s">
        <v>2983</v>
      </c>
      <c r="C405" t="str">
        <f t="shared" si="14"/>
        <v>VC12ET05</v>
      </c>
      <c r="E405" t="s">
        <v>2984</v>
      </c>
      <c r="F405" t="s">
        <v>66</v>
      </c>
      <c r="G405" s="411" t="s">
        <v>253</v>
      </c>
      <c r="H405">
        <v>2016</v>
      </c>
      <c r="I405" s="413">
        <v>10</v>
      </c>
      <c r="J405" s="413"/>
      <c r="K405" t="s">
        <v>2985</v>
      </c>
      <c r="L405" t="s">
        <v>1863</v>
      </c>
      <c r="O405" s="417">
        <f t="shared" si="16"/>
        <v>0.1</v>
      </c>
      <c r="Q405" s="413">
        <f>(I405/I406)^(1/(H405-H406))</f>
        <v>0.86292041323901691</v>
      </c>
      <c r="T405">
        <v>1</v>
      </c>
      <c r="U405" t="s">
        <v>2875</v>
      </c>
      <c r="V405" t="s">
        <v>2876</v>
      </c>
    </row>
    <row r="406" spans="1:22" x14ac:dyDescent="0.25">
      <c r="A406" t="s">
        <v>2852</v>
      </c>
      <c r="B406" t="s">
        <v>2983</v>
      </c>
      <c r="E406" t="s">
        <v>2984</v>
      </c>
      <c r="F406" t="s">
        <v>66</v>
      </c>
      <c r="G406" s="411" t="s">
        <v>253</v>
      </c>
      <c r="H406">
        <v>2011</v>
      </c>
      <c r="I406" s="413">
        <v>20.9</v>
      </c>
      <c r="J406" s="413"/>
      <c r="K406" t="s">
        <v>2985</v>
      </c>
      <c r="L406" t="s">
        <v>1863</v>
      </c>
      <c r="O406" s="417">
        <f t="shared" si="16"/>
        <v>0.20899999999999999</v>
      </c>
      <c r="T406">
        <v>1</v>
      </c>
      <c r="U406" t="s">
        <v>2875</v>
      </c>
      <c r="V406" t="s">
        <v>2876</v>
      </c>
    </row>
    <row r="407" spans="1:22" x14ac:dyDescent="0.25">
      <c r="A407" t="s">
        <v>2852</v>
      </c>
      <c r="B407" t="s">
        <v>2983</v>
      </c>
      <c r="C407" t="str">
        <f t="shared" si="14"/>
        <v>VC12ET06</v>
      </c>
      <c r="E407" t="s">
        <v>2984</v>
      </c>
      <c r="F407" t="s">
        <v>66</v>
      </c>
      <c r="G407" s="411" t="s">
        <v>253</v>
      </c>
      <c r="H407">
        <v>2016</v>
      </c>
      <c r="I407" s="413">
        <v>37.5</v>
      </c>
      <c r="J407" s="413"/>
      <c r="K407" t="s">
        <v>2985</v>
      </c>
      <c r="L407" t="s">
        <v>1863</v>
      </c>
      <c r="O407" s="417">
        <f t="shared" si="16"/>
        <v>0.375</v>
      </c>
      <c r="Q407" s="413">
        <f>(I407/I408)^(1/(H407-H408))</f>
        <v>0.99269614024780239</v>
      </c>
      <c r="T407">
        <v>1</v>
      </c>
      <c r="U407" t="s">
        <v>2878</v>
      </c>
      <c r="V407" t="s">
        <v>2879</v>
      </c>
    </row>
    <row r="408" spans="1:22" x14ac:dyDescent="0.25">
      <c r="A408" t="s">
        <v>2852</v>
      </c>
      <c r="B408" t="s">
        <v>2983</v>
      </c>
      <c r="E408" t="s">
        <v>2984</v>
      </c>
      <c r="F408" t="s">
        <v>66</v>
      </c>
      <c r="G408" s="411" t="s">
        <v>253</v>
      </c>
      <c r="H408">
        <v>2011</v>
      </c>
      <c r="I408" s="413">
        <v>38.9</v>
      </c>
      <c r="J408" s="413"/>
      <c r="K408" t="s">
        <v>2985</v>
      </c>
      <c r="L408" t="s">
        <v>1863</v>
      </c>
      <c r="O408" s="417">
        <f t="shared" si="16"/>
        <v>0.38900000000000001</v>
      </c>
      <c r="T408">
        <v>1</v>
      </c>
      <c r="U408" t="s">
        <v>2878</v>
      </c>
      <c r="V408" t="s">
        <v>2879</v>
      </c>
    </row>
    <row r="409" spans="1:22" x14ac:dyDescent="0.25">
      <c r="A409" t="s">
        <v>2852</v>
      </c>
      <c r="B409" t="s">
        <v>2983</v>
      </c>
      <c r="C409" t="str">
        <f t="shared" si="14"/>
        <v>VC12ET07</v>
      </c>
      <c r="E409" t="s">
        <v>2984</v>
      </c>
      <c r="F409" t="s">
        <v>66</v>
      </c>
      <c r="G409" s="411" t="s">
        <v>253</v>
      </c>
      <c r="H409">
        <v>2016</v>
      </c>
      <c r="I409" s="413">
        <v>40.700000000000003</v>
      </c>
      <c r="J409" s="413"/>
      <c r="K409" t="s">
        <v>2985</v>
      </c>
      <c r="L409" t="s">
        <v>1863</v>
      </c>
      <c r="O409" s="417">
        <f t="shared" si="16"/>
        <v>0.40700000000000003</v>
      </c>
      <c r="Q409" s="413">
        <f>(I409/I410)^(1/(H409-H410))</f>
        <v>1.0354131125857018</v>
      </c>
      <c r="T409">
        <v>1</v>
      </c>
      <c r="U409" t="s">
        <v>2880</v>
      </c>
      <c r="V409" t="s">
        <v>2881</v>
      </c>
    </row>
    <row r="410" spans="1:22" x14ac:dyDescent="0.25">
      <c r="A410" t="s">
        <v>2852</v>
      </c>
      <c r="B410" t="s">
        <v>2983</v>
      </c>
      <c r="E410" t="s">
        <v>2984</v>
      </c>
      <c r="F410" t="s">
        <v>66</v>
      </c>
      <c r="G410" s="411" t="s">
        <v>253</v>
      </c>
      <c r="H410">
        <v>2011</v>
      </c>
      <c r="I410" s="413">
        <v>34.200000000000003</v>
      </c>
      <c r="J410" s="413"/>
      <c r="K410" t="s">
        <v>2985</v>
      </c>
      <c r="L410" t="s">
        <v>1863</v>
      </c>
      <c r="O410" s="417">
        <f t="shared" si="16"/>
        <v>0.34200000000000003</v>
      </c>
      <c r="T410">
        <v>1</v>
      </c>
      <c r="U410" t="s">
        <v>2880</v>
      </c>
      <c r="V410" t="s">
        <v>2881</v>
      </c>
    </row>
    <row r="411" spans="1:22" x14ac:dyDescent="0.25">
      <c r="A411" t="s">
        <v>2852</v>
      </c>
      <c r="B411" t="s">
        <v>2983</v>
      </c>
      <c r="C411" t="str">
        <f t="shared" si="14"/>
        <v>VC12ET12</v>
      </c>
      <c r="E411" t="s">
        <v>2984</v>
      </c>
      <c r="F411" t="s">
        <v>66</v>
      </c>
      <c r="G411" s="411" t="s">
        <v>253</v>
      </c>
      <c r="H411">
        <v>2016</v>
      </c>
      <c r="I411" s="413">
        <v>43</v>
      </c>
      <c r="J411" s="413"/>
      <c r="K411" t="s">
        <v>2985</v>
      </c>
      <c r="L411" t="s">
        <v>1863</v>
      </c>
      <c r="O411" s="417">
        <f t="shared" si="16"/>
        <v>0.43</v>
      </c>
      <c r="Q411" s="413">
        <f>(I411/I412)^(1/(H411-H412))</f>
        <v>0.98362671380155908</v>
      </c>
      <c r="T411">
        <v>1</v>
      </c>
      <c r="U411" t="s">
        <v>2882</v>
      </c>
      <c r="V411" t="s">
        <v>2883</v>
      </c>
    </row>
    <row r="412" spans="1:22" x14ac:dyDescent="0.25">
      <c r="A412" t="s">
        <v>2852</v>
      </c>
      <c r="B412" t="s">
        <v>2983</v>
      </c>
      <c r="E412" t="s">
        <v>2984</v>
      </c>
      <c r="F412" t="s">
        <v>66</v>
      </c>
      <c r="G412" s="411" t="s">
        <v>253</v>
      </c>
      <c r="H412">
        <v>2011</v>
      </c>
      <c r="I412" s="413">
        <v>46.7</v>
      </c>
      <c r="J412" s="413"/>
      <c r="K412" t="s">
        <v>2985</v>
      </c>
      <c r="L412" t="s">
        <v>1863</v>
      </c>
      <c r="O412" s="417">
        <f t="shared" si="16"/>
        <v>0.46700000000000003</v>
      </c>
      <c r="T412">
        <v>1</v>
      </c>
      <c r="U412" t="s">
        <v>2882</v>
      </c>
      <c r="V412" t="s">
        <v>2883</v>
      </c>
    </row>
    <row r="413" spans="1:22" x14ac:dyDescent="0.25">
      <c r="A413" t="s">
        <v>2852</v>
      </c>
      <c r="B413" t="s">
        <v>2983</v>
      </c>
      <c r="C413" t="str">
        <f t="shared" si="14"/>
        <v>VC12ET13</v>
      </c>
      <c r="E413" t="s">
        <v>2984</v>
      </c>
      <c r="F413" t="s">
        <v>66</v>
      </c>
      <c r="G413" s="411" t="s">
        <v>253</v>
      </c>
      <c r="H413">
        <v>2016</v>
      </c>
      <c r="I413" s="413">
        <v>34.200000000000003</v>
      </c>
      <c r="J413" s="413"/>
      <c r="K413" t="s">
        <v>2985</v>
      </c>
      <c r="L413" t="s">
        <v>1863</v>
      </c>
      <c r="O413" s="417">
        <f t="shared" si="16"/>
        <v>0.34200000000000003</v>
      </c>
      <c r="Q413" s="413">
        <f>(I413/I414)^(1/(H413-H414))</f>
        <v>0.98438474856294911</v>
      </c>
      <c r="T413">
        <v>1</v>
      </c>
      <c r="U413" t="s">
        <v>2884</v>
      </c>
      <c r="V413" t="s">
        <v>2885</v>
      </c>
    </row>
    <row r="414" spans="1:22" x14ac:dyDescent="0.25">
      <c r="A414" t="s">
        <v>2852</v>
      </c>
      <c r="B414" t="s">
        <v>2983</v>
      </c>
      <c r="E414" t="s">
        <v>2984</v>
      </c>
      <c r="F414" t="s">
        <v>66</v>
      </c>
      <c r="G414" s="411" t="s">
        <v>253</v>
      </c>
      <c r="H414">
        <v>2011</v>
      </c>
      <c r="I414" s="413">
        <v>37</v>
      </c>
      <c r="J414" s="413"/>
      <c r="K414" t="s">
        <v>2985</v>
      </c>
      <c r="L414" t="s">
        <v>1863</v>
      </c>
      <c r="O414" s="417">
        <f t="shared" si="16"/>
        <v>0.37</v>
      </c>
      <c r="T414">
        <v>1</v>
      </c>
      <c r="U414" t="s">
        <v>2884</v>
      </c>
      <c r="V414" t="s">
        <v>2885</v>
      </c>
    </row>
    <row r="415" spans="1:22" x14ac:dyDescent="0.25">
      <c r="A415" t="s">
        <v>2852</v>
      </c>
      <c r="B415" t="s">
        <v>2983</v>
      </c>
      <c r="C415" t="str">
        <f t="shared" si="14"/>
        <v>VC12ET14</v>
      </c>
      <c r="E415" t="s">
        <v>2984</v>
      </c>
      <c r="F415" t="s">
        <v>66</v>
      </c>
      <c r="G415" s="411" t="s">
        <v>253</v>
      </c>
      <c r="H415">
        <v>2016</v>
      </c>
      <c r="I415" s="413">
        <v>30.9</v>
      </c>
      <c r="J415" s="413"/>
      <c r="K415" t="s">
        <v>2985</v>
      </c>
      <c r="L415" t="s">
        <v>1863</v>
      </c>
      <c r="O415" s="417">
        <f t="shared" si="16"/>
        <v>0.309</v>
      </c>
      <c r="Q415" s="413">
        <f>(I415/I416)^(1/(H415-H416))</f>
        <v>0.98934593996316489</v>
      </c>
      <c r="T415">
        <v>1</v>
      </c>
      <c r="U415" t="s">
        <v>2886</v>
      </c>
      <c r="V415" t="s">
        <v>814</v>
      </c>
    </row>
    <row r="416" spans="1:22" x14ac:dyDescent="0.25">
      <c r="A416" t="s">
        <v>2852</v>
      </c>
      <c r="B416" t="s">
        <v>2983</v>
      </c>
      <c r="E416" t="s">
        <v>2984</v>
      </c>
      <c r="F416" t="s">
        <v>66</v>
      </c>
      <c r="G416" s="411" t="s">
        <v>253</v>
      </c>
      <c r="H416">
        <v>2011</v>
      </c>
      <c r="I416" s="413">
        <v>32.6</v>
      </c>
      <c r="J416" s="413"/>
      <c r="K416" t="s">
        <v>2985</v>
      </c>
      <c r="L416" t="s">
        <v>1863</v>
      </c>
      <c r="O416" s="417">
        <f t="shared" si="16"/>
        <v>0.32600000000000001</v>
      </c>
      <c r="T416">
        <v>1</v>
      </c>
      <c r="U416" t="s">
        <v>2886</v>
      </c>
      <c r="V416" t="s">
        <v>814</v>
      </c>
    </row>
    <row r="417" spans="1:22" x14ac:dyDescent="0.25">
      <c r="A417" t="s">
        <v>2852</v>
      </c>
      <c r="B417" t="s">
        <v>2983</v>
      </c>
      <c r="C417" t="str">
        <f t="shared" si="14"/>
        <v>VC12ET15</v>
      </c>
      <c r="E417" t="s">
        <v>2984</v>
      </c>
      <c r="F417" t="s">
        <v>66</v>
      </c>
      <c r="G417" s="411" t="s">
        <v>253</v>
      </c>
      <c r="H417">
        <v>2016</v>
      </c>
      <c r="I417" s="413">
        <v>31.3</v>
      </c>
      <c r="J417" s="413"/>
      <c r="K417" t="s">
        <v>2985</v>
      </c>
      <c r="L417" t="s">
        <v>1863</v>
      </c>
      <c r="O417" s="417">
        <f t="shared" si="16"/>
        <v>0.313</v>
      </c>
      <c r="Q417" s="413">
        <f>(I417/I418)^(1/(H417-H418))</f>
        <v>0.98301012641318919</v>
      </c>
      <c r="T417">
        <v>1</v>
      </c>
      <c r="U417" t="s">
        <v>2887</v>
      </c>
      <c r="V417" t="s">
        <v>2888</v>
      </c>
    </row>
    <row r="418" spans="1:22" x14ac:dyDescent="0.25">
      <c r="A418" t="s">
        <v>2852</v>
      </c>
      <c r="B418" t="s">
        <v>2983</v>
      </c>
      <c r="E418" t="s">
        <v>2984</v>
      </c>
      <c r="F418" t="s">
        <v>66</v>
      </c>
      <c r="G418" s="411" t="s">
        <v>253</v>
      </c>
      <c r="H418">
        <v>2011</v>
      </c>
      <c r="I418" s="413">
        <v>34.1</v>
      </c>
      <c r="J418" s="413"/>
      <c r="K418" t="s">
        <v>2985</v>
      </c>
      <c r="L418" t="s">
        <v>1863</v>
      </c>
      <c r="O418" s="417">
        <f t="shared" si="16"/>
        <v>0.34100000000000003</v>
      </c>
      <c r="Q418" s="422"/>
      <c r="T418">
        <v>1</v>
      </c>
      <c r="U418" t="s">
        <v>2887</v>
      </c>
      <c r="V418" t="s">
        <v>2888</v>
      </c>
    </row>
    <row r="419" spans="1:22" x14ac:dyDescent="0.25">
      <c r="A419" t="s">
        <v>2852</v>
      </c>
      <c r="B419" t="s">
        <v>2986</v>
      </c>
      <c r="C419" t="str">
        <f t="shared" si="14"/>
        <v>VC13ET</v>
      </c>
      <c r="D419" t="s">
        <v>2296</v>
      </c>
      <c r="E419" t="s">
        <v>2293</v>
      </c>
      <c r="F419" t="s">
        <v>66</v>
      </c>
      <c r="G419" s="411" t="s">
        <v>253</v>
      </c>
      <c r="H419">
        <v>2016</v>
      </c>
      <c r="I419" s="413">
        <v>1.9911686746987955</v>
      </c>
      <c r="K419" t="s">
        <v>2987</v>
      </c>
      <c r="O419" s="412">
        <f>I419/100</f>
        <v>1.9911686746987955E-2</v>
      </c>
      <c r="P419" t="s">
        <v>1944</v>
      </c>
      <c r="Q419" s="422">
        <v>1</v>
      </c>
      <c r="T419">
        <v>0</v>
      </c>
      <c r="U419" t="s">
        <v>2851</v>
      </c>
      <c r="V419" t="s">
        <v>594</v>
      </c>
    </row>
    <row r="420" spans="1:22" x14ac:dyDescent="0.25">
      <c r="A420" t="s">
        <v>2852</v>
      </c>
      <c r="B420" t="s">
        <v>2986</v>
      </c>
      <c r="C420" t="str">
        <f t="shared" si="14"/>
        <v>VC13ETU</v>
      </c>
      <c r="E420" t="s">
        <v>2293</v>
      </c>
      <c r="F420" t="s">
        <v>66</v>
      </c>
      <c r="G420" s="411" t="s">
        <v>253</v>
      </c>
      <c r="H420">
        <v>2016</v>
      </c>
      <c r="I420" s="413">
        <v>2.2873323529411764</v>
      </c>
      <c r="K420" t="s">
        <v>2987</v>
      </c>
      <c r="O420" s="412">
        <f t="shared" ref="O420:O432" si="17">I420/100</f>
        <v>2.2873323529411765E-2</v>
      </c>
      <c r="P420" t="s">
        <v>1944</v>
      </c>
      <c r="Q420" s="422">
        <v>1</v>
      </c>
      <c r="T420">
        <v>0.5</v>
      </c>
      <c r="U420" t="s">
        <v>2869</v>
      </c>
      <c r="V420" t="s">
        <v>336</v>
      </c>
    </row>
    <row r="421" spans="1:22" x14ac:dyDescent="0.25">
      <c r="A421" t="s">
        <v>2852</v>
      </c>
      <c r="B421" t="s">
        <v>2986</v>
      </c>
      <c r="C421" t="str">
        <f t="shared" si="14"/>
        <v>VC13ETR</v>
      </c>
      <c r="E421" t="s">
        <v>2293</v>
      </c>
      <c r="F421" t="s">
        <v>66</v>
      </c>
      <c r="G421" s="411" t="s">
        <v>253</v>
      </c>
      <c r="H421">
        <v>2016</v>
      </c>
      <c r="I421" s="413">
        <v>1.8690066115702482</v>
      </c>
      <c r="K421" t="s">
        <v>2987</v>
      </c>
      <c r="O421" s="412">
        <f t="shared" si="17"/>
        <v>1.8690066115702481E-2</v>
      </c>
      <c r="P421" t="s">
        <v>1944</v>
      </c>
      <c r="Q421" s="422">
        <v>1</v>
      </c>
      <c r="T421">
        <v>0.5</v>
      </c>
      <c r="U421" t="s">
        <v>2868</v>
      </c>
      <c r="V421" t="s">
        <v>84</v>
      </c>
    </row>
    <row r="422" spans="1:22" x14ac:dyDescent="0.25">
      <c r="A422" t="s">
        <v>2852</v>
      </c>
      <c r="B422" t="s">
        <v>2986</v>
      </c>
      <c r="C422" t="str">
        <f t="shared" si="14"/>
        <v>VC13ET01</v>
      </c>
      <c r="E422" t="s">
        <v>2293</v>
      </c>
      <c r="F422" t="s">
        <v>66</v>
      </c>
      <c r="G422" s="411" t="s">
        <v>253</v>
      </c>
      <c r="H422">
        <v>2016</v>
      </c>
      <c r="I422" s="413">
        <v>1.9988310204081636</v>
      </c>
      <c r="K422" t="s">
        <v>2987</v>
      </c>
      <c r="O422" s="412">
        <f t="shared" si="17"/>
        <v>1.9988310204081636E-2</v>
      </c>
      <c r="P422" t="s">
        <v>1944</v>
      </c>
      <c r="Q422" s="422">
        <v>1</v>
      </c>
      <c r="T422">
        <v>1</v>
      </c>
      <c r="U422" t="s">
        <v>2870</v>
      </c>
      <c r="V422" t="s">
        <v>806</v>
      </c>
    </row>
    <row r="423" spans="1:22" x14ac:dyDescent="0.25">
      <c r="A423" t="s">
        <v>2852</v>
      </c>
      <c r="B423" t="s">
        <v>2986</v>
      </c>
      <c r="C423" t="str">
        <f t="shared" si="14"/>
        <v>VC13ET02</v>
      </c>
      <c r="E423" t="s">
        <v>2293</v>
      </c>
      <c r="F423" t="s">
        <v>66</v>
      </c>
      <c r="G423" s="411" t="s">
        <v>253</v>
      </c>
      <c r="H423">
        <v>2016</v>
      </c>
      <c r="I423" s="413">
        <v>1.1421800000000002</v>
      </c>
      <c r="K423" t="s">
        <v>2987</v>
      </c>
      <c r="O423" s="412">
        <f t="shared" si="17"/>
        <v>1.1421800000000003E-2</v>
      </c>
      <c r="P423" t="s">
        <v>1944</v>
      </c>
      <c r="Q423" s="422">
        <v>1</v>
      </c>
      <c r="T423">
        <v>1</v>
      </c>
      <c r="U423" t="s">
        <v>2871</v>
      </c>
      <c r="V423" t="s">
        <v>2948</v>
      </c>
    </row>
    <row r="424" spans="1:22" x14ac:dyDescent="0.25">
      <c r="A424" t="s">
        <v>2852</v>
      </c>
      <c r="B424" t="s">
        <v>2986</v>
      </c>
      <c r="C424" t="str">
        <f t="shared" si="14"/>
        <v>VC13ET03</v>
      </c>
      <c r="E424" t="s">
        <v>2293</v>
      </c>
      <c r="F424" t="s">
        <v>66</v>
      </c>
      <c r="G424" s="411" t="s">
        <v>253</v>
      </c>
      <c r="H424">
        <v>2016</v>
      </c>
      <c r="I424" s="413">
        <v>2.1103103857566761</v>
      </c>
      <c r="K424" t="s">
        <v>2987</v>
      </c>
      <c r="O424" s="412">
        <f t="shared" si="17"/>
        <v>2.1103103857566762E-2</v>
      </c>
      <c r="P424" t="s">
        <v>1944</v>
      </c>
      <c r="Q424" s="422">
        <v>1</v>
      </c>
      <c r="T424">
        <v>1</v>
      </c>
      <c r="U424" t="s">
        <v>2873</v>
      </c>
      <c r="V424" t="s">
        <v>805</v>
      </c>
    </row>
    <row r="425" spans="1:22" x14ac:dyDescent="0.25">
      <c r="A425" t="s">
        <v>2852</v>
      </c>
      <c r="B425" t="s">
        <v>2986</v>
      </c>
      <c r="C425" t="str">
        <f t="shared" si="14"/>
        <v>VC13ET04</v>
      </c>
      <c r="E425" t="s">
        <v>2293</v>
      </c>
      <c r="F425" t="s">
        <v>66</v>
      </c>
      <c r="G425" s="411" t="s">
        <v>253</v>
      </c>
      <c r="H425">
        <v>2016</v>
      </c>
      <c r="I425" s="413">
        <v>2.0915980861244021</v>
      </c>
      <c r="K425" t="s">
        <v>2987</v>
      </c>
      <c r="O425" s="412">
        <f t="shared" si="17"/>
        <v>2.0915980861244021E-2</v>
      </c>
      <c r="P425" t="s">
        <v>1944</v>
      </c>
      <c r="Q425" s="422">
        <v>1</v>
      </c>
      <c r="T425">
        <v>1</v>
      </c>
      <c r="U425" t="s">
        <v>2874</v>
      </c>
      <c r="V425" t="s">
        <v>809</v>
      </c>
    </row>
    <row r="426" spans="1:22" x14ac:dyDescent="0.25">
      <c r="A426" t="s">
        <v>2852</v>
      </c>
      <c r="B426" t="s">
        <v>2986</v>
      </c>
      <c r="C426" t="str">
        <f t="shared" ref="C426:C487" si="18">_xlfn.CONCAT(B426,U426)</f>
        <v>VC13ET05</v>
      </c>
      <c r="E426" t="s">
        <v>2293</v>
      </c>
      <c r="F426" t="s">
        <v>66</v>
      </c>
      <c r="G426" s="411" t="s">
        <v>253</v>
      </c>
      <c r="H426">
        <v>2016</v>
      </c>
      <c r="I426" s="413">
        <v>1.06</v>
      </c>
      <c r="K426" t="s">
        <v>2987</v>
      </c>
      <c r="O426" s="412">
        <f t="shared" si="17"/>
        <v>1.06E-2</v>
      </c>
      <c r="P426" t="s">
        <v>1944</v>
      </c>
      <c r="Q426" s="422">
        <v>1</v>
      </c>
      <c r="T426">
        <v>1</v>
      </c>
      <c r="U426" t="s">
        <v>2875</v>
      </c>
      <c r="V426" t="s">
        <v>2876</v>
      </c>
    </row>
    <row r="427" spans="1:22" x14ac:dyDescent="0.25">
      <c r="A427" t="s">
        <v>2852</v>
      </c>
      <c r="B427" t="s">
        <v>2986</v>
      </c>
      <c r="C427" t="str">
        <f t="shared" si="18"/>
        <v>VC13ET06</v>
      </c>
      <c r="E427" t="s">
        <v>2293</v>
      </c>
      <c r="F427" t="s">
        <v>66</v>
      </c>
      <c r="G427" s="411" t="s">
        <v>253</v>
      </c>
      <c r="H427">
        <v>2016</v>
      </c>
      <c r="I427" s="413">
        <v>1.6917808219178085</v>
      </c>
      <c r="K427" t="s">
        <v>2987</v>
      </c>
      <c r="O427" s="412">
        <f t="shared" si="17"/>
        <v>1.6917808219178085E-2</v>
      </c>
      <c r="P427" t="s">
        <v>1944</v>
      </c>
      <c r="Q427" s="422">
        <v>1</v>
      </c>
      <c r="T427">
        <v>1</v>
      </c>
      <c r="U427" t="s">
        <v>2878</v>
      </c>
      <c r="V427" t="s">
        <v>2879</v>
      </c>
    </row>
    <row r="428" spans="1:22" x14ac:dyDescent="0.25">
      <c r="A428" t="s">
        <v>2852</v>
      </c>
      <c r="B428" t="s">
        <v>2986</v>
      </c>
      <c r="C428" t="str">
        <f t="shared" si="18"/>
        <v>VC13ET07</v>
      </c>
      <c r="E428" t="s">
        <v>2293</v>
      </c>
      <c r="F428" t="s">
        <v>66</v>
      </c>
      <c r="G428" s="411" t="s">
        <v>253</v>
      </c>
      <c r="H428">
        <v>2016</v>
      </c>
      <c r="I428" s="413">
        <v>1.8903230188679245</v>
      </c>
      <c r="K428" t="s">
        <v>2987</v>
      </c>
      <c r="O428" s="412">
        <f t="shared" si="17"/>
        <v>1.8903230188679246E-2</v>
      </c>
      <c r="P428" t="s">
        <v>1944</v>
      </c>
      <c r="Q428" s="422">
        <v>1</v>
      </c>
      <c r="T428">
        <v>1</v>
      </c>
      <c r="U428" t="s">
        <v>2880</v>
      </c>
      <c r="V428" t="s">
        <v>2881</v>
      </c>
    </row>
    <row r="429" spans="1:22" x14ac:dyDescent="0.25">
      <c r="A429" t="s">
        <v>2852</v>
      </c>
      <c r="B429" t="s">
        <v>2986</v>
      </c>
      <c r="C429" t="str">
        <f t="shared" si="18"/>
        <v>VC13ET12</v>
      </c>
      <c r="E429" t="s">
        <v>2293</v>
      </c>
      <c r="F429" t="s">
        <v>66</v>
      </c>
      <c r="G429" s="411" t="s">
        <v>253</v>
      </c>
      <c r="H429">
        <v>2016</v>
      </c>
      <c r="I429" s="413">
        <v>2.8431924528301886</v>
      </c>
      <c r="K429" t="s">
        <v>2987</v>
      </c>
      <c r="O429" s="412">
        <f t="shared" si="17"/>
        <v>2.8431924528301886E-2</v>
      </c>
      <c r="P429" t="s">
        <v>1944</v>
      </c>
      <c r="Q429" s="422">
        <v>1</v>
      </c>
      <c r="T429">
        <v>1</v>
      </c>
      <c r="U429" t="s">
        <v>2882</v>
      </c>
      <c r="V429" t="s">
        <v>2883</v>
      </c>
    </row>
    <row r="430" spans="1:22" x14ac:dyDescent="0.25">
      <c r="A430" t="s">
        <v>2852</v>
      </c>
      <c r="B430" t="s">
        <v>2986</v>
      </c>
      <c r="C430" t="str">
        <f t="shared" si="18"/>
        <v>VC13ET13</v>
      </c>
      <c r="E430" t="s">
        <v>2293</v>
      </c>
      <c r="F430" t="s">
        <v>66</v>
      </c>
      <c r="G430" s="411" t="s">
        <v>253</v>
      </c>
      <c r="H430">
        <v>2016</v>
      </c>
      <c r="I430" s="413">
        <v>2.5399880597014923</v>
      </c>
      <c r="K430" t="s">
        <v>2987</v>
      </c>
      <c r="O430" s="412">
        <f t="shared" si="17"/>
        <v>2.5399880597014923E-2</v>
      </c>
      <c r="P430" t="s">
        <v>1944</v>
      </c>
      <c r="Q430" s="422">
        <v>1</v>
      </c>
      <c r="T430">
        <v>1</v>
      </c>
      <c r="U430" t="s">
        <v>2884</v>
      </c>
      <c r="V430" t="s">
        <v>2885</v>
      </c>
    </row>
    <row r="431" spans="1:22" x14ac:dyDescent="0.25">
      <c r="A431" t="s">
        <v>2852</v>
      </c>
      <c r="B431" t="s">
        <v>2986</v>
      </c>
      <c r="C431" t="str">
        <f t="shared" si="18"/>
        <v>VC13ET14</v>
      </c>
      <c r="E431" t="s">
        <v>2293</v>
      </c>
      <c r="F431" t="s">
        <v>66</v>
      </c>
      <c r="G431" s="411" t="s">
        <v>253</v>
      </c>
      <c r="H431">
        <v>2016</v>
      </c>
      <c r="I431" s="413">
        <v>2.115318103448276</v>
      </c>
      <c r="K431" t="s">
        <v>2987</v>
      </c>
      <c r="O431" s="412">
        <f t="shared" si="17"/>
        <v>2.115318103448276E-2</v>
      </c>
      <c r="P431" t="s">
        <v>1944</v>
      </c>
      <c r="Q431" s="422">
        <v>1</v>
      </c>
      <c r="T431">
        <v>1</v>
      </c>
      <c r="U431" t="s">
        <v>2886</v>
      </c>
      <c r="V431" t="s">
        <v>814</v>
      </c>
    </row>
    <row r="432" spans="1:22" x14ac:dyDescent="0.25">
      <c r="A432" t="s">
        <v>2852</v>
      </c>
      <c r="B432" t="s">
        <v>2986</v>
      </c>
      <c r="C432" t="str">
        <f t="shared" si="18"/>
        <v>VC13ET15</v>
      </c>
      <c r="E432" t="s">
        <v>2293</v>
      </c>
      <c r="F432" t="s">
        <v>66</v>
      </c>
      <c r="G432" s="411" t="s">
        <v>253</v>
      </c>
      <c r="H432">
        <v>2016</v>
      </c>
      <c r="I432" s="413">
        <v>1.8543585106382978</v>
      </c>
      <c r="K432" t="s">
        <v>2987</v>
      </c>
      <c r="O432" s="412">
        <f t="shared" si="17"/>
        <v>1.8543585106382977E-2</v>
      </c>
      <c r="P432" t="s">
        <v>1944</v>
      </c>
      <c r="Q432" s="422">
        <v>1</v>
      </c>
      <c r="T432">
        <v>1</v>
      </c>
      <c r="U432" t="s">
        <v>2887</v>
      </c>
      <c r="V432" t="s">
        <v>2888</v>
      </c>
    </row>
    <row r="433" spans="1:22" x14ac:dyDescent="0.25">
      <c r="A433" t="s">
        <v>2852</v>
      </c>
      <c r="B433" t="s">
        <v>2988</v>
      </c>
      <c r="C433" t="str">
        <f t="shared" si="18"/>
        <v>VC14ET</v>
      </c>
      <c r="D433" t="s">
        <v>2645</v>
      </c>
      <c r="E433" t="s">
        <v>2269</v>
      </c>
      <c r="F433" t="s">
        <v>66</v>
      </c>
      <c r="G433" s="411" t="s">
        <v>253</v>
      </c>
      <c r="H433">
        <v>2016</v>
      </c>
      <c r="I433" s="413">
        <v>27.813253012048197</v>
      </c>
      <c r="K433" t="s">
        <v>2985</v>
      </c>
      <c r="O433" s="412">
        <f>I433/100</f>
        <v>0.27813253012048195</v>
      </c>
      <c r="P433" t="s">
        <v>1863</v>
      </c>
      <c r="T433">
        <v>0</v>
      </c>
      <c r="U433" t="s">
        <v>2851</v>
      </c>
      <c r="V433" t="s">
        <v>594</v>
      </c>
    </row>
    <row r="434" spans="1:22" x14ac:dyDescent="0.25">
      <c r="A434" t="s">
        <v>2852</v>
      </c>
      <c r="B434" t="s">
        <v>2988</v>
      </c>
      <c r="C434" t="str">
        <f t="shared" si="18"/>
        <v>VC14ETU</v>
      </c>
      <c r="E434" t="s">
        <v>2269</v>
      </c>
      <c r="F434" t="s">
        <v>66</v>
      </c>
      <c r="G434" s="411" t="s">
        <v>253</v>
      </c>
      <c r="H434">
        <v>2016</v>
      </c>
      <c r="I434" s="413">
        <v>22.517647058823528</v>
      </c>
      <c r="K434" t="s">
        <v>2985</v>
      </c>
      <c r="O434" s="412">
        <f t="shared" ref="O434:O446" si="19">I434/100</f>
        <v>0.22517647058823528</v>
      </c>
      <c r="P434" t="s">
        <v>1863</v>
      </c>
      <c r="T434">
        <v>0.5</v>
      </c>
      <c r="U434" t="s">
        <v>2869</v>
      </c>
      <c r="V434" t="s">
        <v>336</v>
      </c>
    </row>
    <row r="435" spans="1:22" x14ac:dyDescent="0.25">
      <c r="A435" t="s">
        <v>2852</v>
      </c>
      <c r="B435" t="s">
        <v>2988</v>
      </c>
      <c r="C435" t="str">
        <f t="shared" si="18"/>
        <v>VC14ETR</v>
      </c>
      <c r="E435" t="s">
        <v>2269</v>
      </c>
      <c r="F435" t="s">
        <v>66</v>
      </c>
      <c r="G435" s="411" t="s">
        <v>253</v>
      </c>
      <c r="H435">
        <v>2016</v>
      </c>
      <c r="I435" s="413">
        <v>29.644628099173559</v>
      </c>
      <c r="K435" t="s">
        <v>2985</v>
      </c>
      <c r="O435" s="412">
        <f t="shared" si="19"/>
        <v>0.29644628099173559</v>
      </c>
      <c r="P435" t="s">
        <v>1863</v>
      </c>
      <c r="T435">
        <v>0.5</v>
      </c>
      <c r="U435" t="s">
        <v>2868</v>
      </c>
      <c r="V435" t="s">
        <v>84</v>
      </c>
    </row>
    <row r="436" spans="1:22" x14ac:dyDescent="0.25">
      <c r="A436" t="s">
        <v>2852</v>
      </c>
      <c r="B436" t="s">
        <v>2988</v>
      </c>
      <c r="C436" t="str">
        <f t="shared" si="18"/>
        <v>VC14ET01</v>
      </c>
      <c r="E436" t="s">
        <v>2269</v>
      </c>
      <c r="F436" t="s">
        <v>66</v>
      </c>
      <c r="G436" s="411" t="s">
        <v>253</v>
      </c>
      <c r="H436">
        <v>2016</v>
      </c>
      <c r="I436" s="413">
        <v>23.197551020408167</v>
      </c>
      <c r="K436" t="s">
        <v>2985</v>
      </c>
      <c r="O436" s="412">
        <f t="shared" si="19"/>
        <v>0.23197551020408166</v>
      </c>
      <c r="P436" t="s">
        <v>1863</v>
      </c>
      <c r="T436">
        <v>1</v>
      </c>
      <c r="U436" t="s">
        <v>2870</v>
      </c>
      <c r="V436" t="s">
        <v>806</v>
      </c>
    </row>
    <row r="437" spans="1:22" x14ac:dyDescent="0.25">
      <c r="A437" t="s">
        <v>2852</v>
      </c>
      <c r="B437" t="s">
        <v>2988</v>
      </c>
      <c r="C437" t="str">
        <f t="shared" si="18"/>
        <v>VC14ET02</v>
      </c>
      <c r="E437" t="s">
        <v>2269</v>
      </c>
      <c r="F437" t="s">
        <v>66</v>
      </c>
      <c r="G437" s="411" t="s">
        <v>253</v>
      </c>
      <c r="H437">
        <v>2016</v>
      </c>
      <c r="I437" s="413">
        <v>19.090000000000003</v>
      </c>
      <c r="K437" t="s">
        <v>2985</v>
      </c>
      <c r="O437" s="412">
        <f t="shared" si="19"/>
        <v>0.19090000000000004</v>
      </c>
      <c r="P437" t="s">
        <v>1863</v>
      </c>
      <c r="T437">
        <v>1</v>
      </c>
      <c r="U437" t="s">
        <v>2871</v>
      </c>
      <c r="V437" t="s">
        <v>2948</v>
      </c>
    </row>
    <row r="438" spans="1:22" x14ac:dyDescent="0.25">
      <c r="A438" t="s">
        <v>2852</v>
      </c>
      <c r="B438" t="s">
        <v>2988</v>
      </c>
      <c r="C438" t="str">
        <f t="shared" si="18"/>
        <v>VC14ET03</v>
      </c>
      <c r="E438" t="s">
        <v>2269</v>
      </c>
      <c r="F438" t="s">
        <v>66</v>
      </c>
      <c r="G438" s="411" t="s">
        <v>253</v>
      </c>
      <c r="H438">
        <v>2016</v>
      </c>
      <c r="I438" s="413">
        <v>30.100593471810082</v>
      </c>
      <c r="K438" t="s">
        <v>2985</v>
      </c>
      <c r="O438" s="412">
        <f t="shared" si="19"/>
        <v>0.30100593471810083</v>
      </c>
      <c r="P438" t="s">
        <v>1863</v>
      </c>
      <c r="T438">
        <v>1</v>
      </c>
      <c r="U438" t="s">
        <v>2873</v>
      </c>
      <c r="V438" t="s">
        <v>805</v>
      </c>
    </row>
    <row r="439" spans="1:22" x14ac:dyDescent="0.25">
      <c r="A439" t="s">
        <v>2852</v>
      </c>
      <c r="B439" t="s">
        <v>2988</v>
      </c>
      <c r="C439" t="str">
        <f t="shared" si="18"/>
        <v>VC14ET04</v>
      </c>
      <c r="E439" t="s">
        <v>2269</v>
      </c>
      <c r="F439" t="s">
        <v>66</v>
      </c>
      <c r="G439" s="411" t="s">
        <v>253</v>
      </c>
      <c r="H439">
        <v>2016</v>
      </c>
      <c r="I439" s="413">
        <v>31.242105263157896</v>
      </c>
      <c r="K439" t="s">
        <v>2985</v>
      </c>
      <c r="O439" s="412">
        <f t="shared" si="19"/>
        <v>0.31242105263157893</v>
      </c>
      <c r="P439" t="s">
        <v>1863</v>
      </c>
      <c r="T439">
        <v>1</v>
      </c>
      <c r="U439" t="s">
        <v>2874</v>
      </c>
      <c r="V439" t="s">
        <v>809</v>
      </c>
    </row>
    <row r="440" spans="1:22" x14ac:dyDescent="0.25">
      <c r="A440" t="s">
        <v>2852</v>
      </c>
      <c r="B440" t="s">
        <v>2988</v>
      </c>
      <c r="C440" t="str">
        <f t="shared" si="18"/>
        <v>VC14ET05</v>
      </c>
      <c r="E440" t="s">
        <v>2269</v>
      </c>
      <c r="F440" t="s">
        <v>66</v>
      </c>
      <c r="G440" s="411" t="s">
        <v>253</v>
      </c>
      <c r="H440">
        <v>2016</v>
      </c>
      <c r="I440" s="413">
        <v>7</v>
      </c>
      <c r="K440" t="s">
        <v>2985</v>
      </c>
      <c r="O440" s="412">
        <f t="shared" si="19"/>
        <v>7.0000000000000007E-2</v>
      </c>
      <c r="P440" t="s">
        <v>1863</v>
      </c>
      <c r="T440">
        <v>1</v>
      </c>
      <c r="U440" t="s">
        <v>2875</v>
      </c>
      <c r="V440" t="s">
        <v>2876</v>
      </c>
    </row>
    <row r="441" spans="1:22" x14ac:dyDescent="0.25">
      <c r="A441" t="s">
        <v>2852</v>
      </c>
      <c r="B441" t="s">
        <v>2988</v>
      </c>
      <c r="C441" t="str">
        <f t="shared" si="18"/>
        <v>VC14ET06</v>
      </c>
      <c r="E441" t="s">
        <v>2269</v>
      </c>
      <c r="F441" t="s">
        <v>66</v>
      </c>
      <c r="G441" s="411" t="s">
        <v>253</v>
      </c>
      <c r="H441">
        <v>2016</v>
      </c>
      <c r="I441" s="413">
        <v>26.369863013698634</v>
      </c>
      <c r="K441" t="s">
        <v>2985</v>
      </c>
      <c r="O441" s="412">
        <f t="shared" si="19"/>
        <v>0.26369863013698636</v>
      </c>
      <c r="P441" t="s">
        <v>1863</v>
      </c>
      <c r="T441">
        <v>1</v>
      </c>
      <c r="U441" t="s">
        <v>2878</v>
      </c>
      <c r="V441" t="s">
        <v>2879</v>
      </c>
    </row>
    <row r="442" spans="1:22" x14ac:dyDescent="0.25">
      <c r="A442" t="s">
        <v>2852</v>
      </c>
      <c r="B442" t="s">
        <v>2988</v>
      </c>
      <c r="C442" t="str">
        <f t="shared" si="18"/>
        <v>VC14ET07</v>
      </c>
      <c r="E442" t="s">
        <v>2269</v>
      </c>
      <c r="F442" t="s">
        <v>66</v>
      </c>
      <c r="G442" s="411" t="s">
        <v>253</v>
      </c>
      <c r="H442">
        <v>2016</v>
      </c>
      <c r="I442" s="413">
        <v>29.795471698113207</v>
      </c>
      <c r="K442" t="s">
        <v>2985</v>
      </c>
      <c r="O442" s="412">
        <f t="shared" si="19"/>
        <v>0.29795471698113207</v>
      </c>
      <c r="P442" t="s">
        <v>1863</v>
      </c>
      <c r="T442">
        <v>1</v>
      </c>
      <c r="U442" t="s">
        <v>2880</v>
      </c>
      <c r="V442" t="s">
        <v>2881</v>
      </c>
    </row>
    <row r="443" spans="1:22" x14ac:dyDescent="0.25">
      <c r="A443" t="s">
        <v>2852</v>
      </c>
      <c r="B443" t="s">
        <v>2988</v>
      </c>
      <c r="C443" t="str">
        <f t="shared" si="18"/>
        <v>VC14ET12</v>
      </c>
      <c r="E443" t="s">
        <v>2269</v>
      </c>
      <c r="F443" t="s">
        <v>66</v>
      </c>
      <c r="G443" s="411" t="s">
        <v>253</v>
      </c>
      <c r="H443">
        <v>2016</v>
      </c>
      <c r="I443" s="413">
        <v>38.618867924528303</v>
      </c>
      <c r="K443" t="s">
        <v>2985</v>
      </c>
      <c r="O443" s="412">
        <f t="shared" si="19"/>
        <v>0.38618867924528305</v>
      </c>
      <c r="P443" t="s">
        <v>1863</v>
      </c>
      <c r="T443">
        <v>1</v>
      </c>
      <c r="U443" t="s">
        <v>2882</v>
      </c>
      <c r="V443" t="s">
        <v>2883</v>
      </c>
    </row>
    <row r="444" spans="1:22" x14ac:dyDescent="0.25">
      <c r="A444" t="s">
        <v>2852</v>
      </c>
      <c r="B444" t="s">
        <v>2988</v>
      </c>
      <c r="C444" t="str">
        <f t="shared" si="18"/>
        <v>VC14ET13</v>
      </c>
      <c r="E444" t="s">
        <v>2269</v>
      </c>
      <c r="F444" t="s">
        <v>66</v>
      </c>
      <c r="G444" s="411" t="s">
        <v>253</v>
      </c>
      <c r="H444">
        <v>2016</v>
      </c>
      <c r="I444" s="413">
        <v>19.567164179104477</v>
      </c>
      <c r="K444" t="s">
        <v>2985</v>
      </c>
      <c r="O444" s="412">
        <f t="shared" si="19"/>
        <v>0.19567164179104476</v>
      </c>
      <c r="P444" t="s">
        <v>1863</v>
      </c>
      <c r="T444">
        <v>1</v>
      </c>
      <c r="U444" t="s">
        <v>2884</v>
      </c>
      <c r="V444" t="s">
        <v>2885</v>
      </c>
    </row>
    <row r="445" spans="1:22" x14ac:dyDescent="0.25">
      <c r="A445" t="s">
        <v>2852</v>
      </c>
      <c r="B445" t="s">
        <v>2988</v>
      </c>
      <c r="C445" t="str">
        <f t="shared" si="18"/>
        <v>VC14ET14</v>
      </c>
      <c r="E445" t="s">
        <v>2269</v>
      </c>
      <c r="F445" t="s">
        <v>66</v>
      </c>
      <c r="G445" s="411" t="s">
        <v>253</v>
      </c>
      <c r="H445">
        <v>2016</v>
      </c>
      <c r="I445" s="413">
        <v>14.517672413793104</v>
      </c>
      <c r="K445" t="s">
        <v>2985</v>
      </c>
      <c r="O445" s="412">
        <f t="shared" si="19"/>
        <v>0.14517672413793103</v>
      </c>
      <c r="P445" t="s">
        <v>1863</v>
      </c>
      <c r="T445">
        <v>1</v>
      </c>
      <c r="U445" t="s">
        <v>2886</v>
      </c>
      <c r="V445" t="s">
        <v>814</v>
      </c>
    </row>
    <row r="446" spans="1:22" x14ac:dyDescent="0.25">
      <c r="A446" t="s">
        <v>2852</v>
      </c>
      <c r="B446" t="s">
        <v>2988</v>
      </c>
      <c r="C446" t="str">
        <f t="shared" si="18"/>
        <v>VC14ET15</v>
      </c>
      <c r="E446" t="s">
        <v>2269</v>
      </c>
      <c r="F446" t="s">
        <v>66</v>
      </c>
      <c r="G446" s="411" t="s">
        <v>253</v>
      </c>
      <c r="H446">
        <v>2016</v>
      </c>
      <c r="I446" s="413">
        <v>14.484574468085105</v>
      </c>
      <c r="K446" t="s">
        <v>2985</v>
      </c>
      <c r="O446" s="412">
        <f t="shared" si="19"/>
        <v>0.14484574468085104</v>
      </c>
      <c r="P446" t="s">
        <v>1863</v>
      </c>
      <c r="T446">
        <v>1</v>
      </c>
      <c r="U446" t="s">
        <v>2887</v>
      </c>
      <c r="V446" t="s">
        <v>2888</v>
      </c>
    </row>
    <row r="447" spans="1:22" x14ac:dyDescent="0.25">
      <c r="A447" t="s">
        <v>2852</v>
      </c>
      <c r="B447" t="s">
        <v>2989</v>
      </c>
      <c r="C447" t="str">
        <f t="shared" si="18"/>
        <v>VC15ET</v>
      </c>
      <c r="D447" t="s">
        <v>2646</v>
      </c>
      <c r="E447" t="s">
        <v>2290</v>
      </c>
      <c r="F447" t="s">
        <v>66</v>
      </c>
      <c r="G447" s="411" t="s">
        <v>253</v>
      </c>
      <c r="H447">
        <v>2016</v>
      </c>
      <c r="I447" s="413">
        <v>11.548192771084338</v>
      </c>
      <c r="K447" t="s">
        <v>2985</v>
      </c>
      <c r="O447" s="412">
        <f>I447/100</f>
        <v>0.11548192771084338</v>
      </c>
      <c r="P447" t="s">
        <v>1863</v>
      </c>
      <c r="T447">
        <v>0</v>
      </c>
      <c r="U447" t="s">
        <v>2851</v>
      </c>
      <c r="V447" t="s">
        <v>594</v>
      </c>
    </row>
    <row r="448" spans="1:22" x14ac:dyDescent="0.25">
      <c r="A448" t="s">
        <v>2852</v>
      </c>
      <c r="B448" t="s">
        <v>2989</v>
      </c>
      <c r="C448" t="str">
        <f t="shared" si="18"/>
        <v>VC15ETU</v>
      </c>
      <c r="E448" t="s">
        <v>2290</v>
      </c>
      <c r="F448" t="s">
        <v>66</v>
      </c>
      <c r="G448" s="411" t="s">
        <v>253</v>
      </c>
      <c r="H448">
        <v>2016</v>
      </c>
      <c r="I448" s="413">
        <v>11.002941176470589</v>
      </c>
      <c r="K448" t="s">
        <v>2985</v>
      </c>
      <c r="O448" s="412">
        <f t="shared" ref="O448:O460" si="20">I448/100</f>
        <v>0.11002941176470589</v>
      </c>
      <c r="P448" t="s">
        <v>1863</v>
      </c>
      <c r="T448">
        <v>0.5</v>
      </c>
      <c r="U448" t="s">
        <v>2869</v>
      </c>
      <c r="V448" t="s">
        <v>336</v>
      </c>
    </row>
    <row r="449" spans="1:22" x14ac:dyDescent="0.25">
      <c r="A449" t="s">
        <v>2852</v>
      </c>
      <c r="B449" t="s">
        <v>2989</v>
      </c>
      <c r="C449" t="str">
        <f t="shared" si="18"/>
        <v>VC15ETR</v>
      </c>
      <c r="E449" t="s">
        <v>2290</v>
      </c>
      <c r="F449" t="s">
        <v>66</v>
      </c>
      <c r="G449" s="411" t="s">
        <v>253</v>
      </c>
      <c r="H449">
        <v>2016</v>
      </c>
      <c r="I449" s="413">
        <v>11.85785123966942</v>
      </c>
      <c r="K449" t="s">
        <v>2985</v>
      </c>
      <c r="O449" s="412">
        <f t="shared" si="20"/>
        <v>0.1185785123966942</v>
      </c>
      <c r="P449" t="s">
        <v>1863</v>
      </c>
      <c r="T449">
        <v>0.5</v>
      </c>
      <c r="U449" t="s">
        <v>2868</v>
      </c>
      <c r="V449" t="s">
        <v>84</v>
      </c>
    </row>
    <row r="450" spans="1:22" x14ac:dyDescent="0.25">
      <c r="A450" t="s">
        <v>2852</v>
      </c>
      <c r="B450" t="s">
        <v>2989</v>
      </c>
      <c r="C450" t="str">
        <f t="shared" si="18"/>
        <v>VC15ET01</v>
      </c>
      <c r="E450" t="s">
        <v>2290</v>
      </c>
      <c r="F450" t="s">
        <v>66</v>
      </c>
      <c r="G450" s="411" t="s">
        <v>253</v>
      </c>
      <c r="H450">
        <v>2016</v>
      </c>
      <c r="I450" s="413">
        <v>12.263673469387756</v>
      </c>
      <c r="K450" t="s">
        <v>2985</v>
      </c>
      <c r="O450" s="412">
        <f t="shared" si="20"/>
        <v>0.12263673469387756</v>
      </c>
      <c r="P450" t="s">
        <v>1863</v>
      </c>
      <c r="T450">
        <v>1</v>
      </c>
      <c r="U450" t="s">
        <v>2870</v>
      </c>
      <c r="V450" t="s">
        <v>806</v>
      </c>
    </row>
    <row r="451" spans="1:22" x14ac:dyDescent="0.25">
      <c r="A451" t="s">
        <v>2852</v>
      </c>
      <c r="B451" t="s">
        <v>2989</v>
      </c>
      <c r="C451" t="str">
        <f t="shared" si="18"/>
        <v>VC15ET02</v>
      </c>
      <c r="E451" t="s">
        <v>2290</v>
      </c>
      <c r="F451" t="s">
        <v>66</v>
      </c>
      <c r="G451" s="411" t="s">
        <v>253</v>
      </c>
      <c r="H451">
        <v>2016</v>
      </c>
      <c r="I451" s="413">
        <v>2.99</v>
      </c>
      <c r="K451" t="s">
        <v>2985</v>
      </c>
      <c r="O451" s="412">
        <f t="shared" si="20"/>
        <v>2.9900000000000003E-2</v>
      </c>
      <c r="P451" t="s">
        <v>1863</v>
      </c>
      <c r="T451">
        <v>1</v>
      </c>
      <c r="U451" t="s">
        <v>2871</v>
      </c>
      <c r="V451" t="s">
        <v>2948</v>
      </c>
    </row>
    <row r="452" spans="1:22" x14ac:dyDescent="0.25">
      <c r="A452" t="s">
        <v>2852</v>
      </c>
      <c r="B452" t="s">
        <v>2989</v>
      </c>
      <c r="C452" t="str">
        <f t="shared" si="18"/>
        <v>VC15ET03</v>
      </c>
      <c r="E452" t="s">
        <v>2290</v>
      </c>
      <c r="F452" t="s">
        <v>66</v>
      </c>
      <c r="G452" s="411" t="s">
        <v>253</v>
      </c>
      <c r="H452">
        <v>2016</v>
      </c>
      <c r="I452" s="413">
        <v>15.254599406528186</v>
      </c>
      <c r="K452" t="s">
        <v>2985</v>
      </c>
      <c r="O452" s="412">
        <f t="shared" si="20"/>
        <v>0.15254599406528185</v>
      </c>
      <c r="P452" t="s">
        <v>1863</v>
      </c>
      <c r="T452">
        <v>1</v>
      </c>
      <c r="U452" t="s">
        <v>2873</v>
      </c>
      <c r="V452" t="s">
        <v>805</v>
      </c>
    </row>
    <row r="453" spans="1:22" x14ac:dyDescent="0.25">
      <c r="A453" t="s">
        <v>2852</v>
      </c>
      <c r="B453" t="s">
        <v>2989</v>
      </c>
      <c r="C453" t="str">
        <f t="shared" si="18"/>
        <v>VC15ET04</v>
      </c>
      <c r="E453" t="s">
        <v>2290</v>
      </c>
      <c r="F453" t="s">
        <v>66</v>
      </c>
      <c r="G453" s="411" t="s">
        <v>253</v>
      </c>
      <c r="H453">
        <v>2016</v>
      </c>
      <c r="I453" s="413">
        <v>10.346411483253588</v>
      </c>
      <c r="K453" t="s">
        <v>2985</v>
      </c>
      <c r="O453" s="412">
        <f t="shared" si="20"/>
        <v>0.10346411483253588</v>
      </c>
      <c r="P453" t="s">
        <v>1863</v>
      </c>
      <c r="T453">
        <v>1</v>
      </c>
      <c r="U453" t="s">
        <v>2874</v>
      </c>
      <c r="V453" t="s">
        <v>809</v>
      </c>
    </row>
    <row r="454" spans="1:22" x14ac:dyDescent="0.25">
      <c r="A454" t="s">
        <v>2852</v>
      </c>
      <c r="B454" t="s">
        <v>2989</v>
      </c>
      <c r="C454" t="str">
        <f t="shared" si="18"/>
        <v>VC15ET05</v>
      </c>
      <c r="E454" t="s">
        <v>2290</v>
      </c>
      <c r="F454" t="s">
        <v>66</v>
      </c>
      <c r="G454" s="411" t="s">
        <v>253</v>
      </c>
      <c r="H454">
        <v>2016</v>
      </c>
      <c r="I454" s="413">
        <v>2</v>
      </c>
      <c r="K454" t="s">
        <v>2985</v>
      </c>
      <c r="O454" s="412">
        <f t="shared" si="20"/>
        <v>0.02</v>
      </c>
      <c r="P454" t="s">
        <v>1863</v>
      </c>
      <c r="T454">
        <v>1</v>
      </c>
      <c r="U454" t="s">
        <v>2875</v>
      </c>
      <c r="V454" t="s">
        <v>2876</v>
      </c>
    </row>
    <row r="455" spans="1:22" x14ac:dyDescent="0.25">
      <c r="A455" t="s">
        <v>2852</v>
      </c>
      <c r="B455" t="s">
        <v>2989</v>
      </c>
      <c r="C455" t="str">
        <f t="shared" si="18"/>
        <v>VC15ET06</v>
      </c>
      <c r="E455" t="s">
        <v>2290</v>
      </c>
      <c r="F455" t="s">
        <v>66</v>
      </c>
      <c r="G455" s="411" t="s">
        <v>253</v>
      </c>
      <c r="H455">
        <v>2016</v>
      </c>
      <c r="I455" s="413">
        <v>10.616438356164386</v>
      </c>
      <c r="K455" t="s">
        <v>2985</v>
      </c>
      <c r="O455" s="412">
        <f t="shared" si="20"/>
        <v>0.10616438356164386</v>
      </c>
      <c r="P455" t="s">
        <v>1863</v>
      </c>
      <c r="T455">
        <v>1</v>
      </c>
      <c r="U455" t="s">
        <v>2878</v>
      </c>
      <c r="V455" t="s">
        <v>2879</v>
      </c>
    </row>
    <row r="456" spans="1:22" x14ac:dyDescent="0.25">
      <c r="A456" t="s">
        <v>2852</v>
      </c>
      <c r="B456" t="s">
        <v>2989</v>
      </c>
      <c r="C456" t="str">
        <f t="shared" si="18"/>
        <v>VC15ET07</v>
      </c>
      <c r="E456" t="s">
        <v>2290</v>
      </c>
      <c r="F456" t="s">
        <v>66</v>
      </c>
      <c r="G456" s="411" t="s">
        <v>253</v>
      </c>
      <c r="H456">
        <v>2016</v>
      </c>
      <c r="I456" s="413">
        <v>9.6758490566037736</v>
      </c>
      <c r="K456" t="s">
        <v>2985</v>
      </c>
      <c r="O456" s="412">
        <f t="shared" si="20"/>
        <v>9.6758490566037733E-2</v>
      </c>
      <c r="P456" t="s">
        <v>1863</v>
      </c>
      <c r="T456">
        <v>1</v>
      </c>
      <c r="U456" t="s">
        <v>2880</v>
      </c>
      <c r="V456" t="s">
        <v>2881</v>
      </c>
    </row>
    <row r="457" spans="1:22" x14ac:dyDescent="0.25">
      <c r="A457" t="s">
        <v>2852</v>
      </c>
      <c r="B457" t="s">
        <v>2989</v>
      </c>
      <c r="C457" t="str">
        <f t="shared" si="18"/>
        <v>VC15ET12</v>
      </c>
      <c r="E457" t="s">
        <v>2290</v>
      </c>
      <c r="F457" t="s">
        <v>66</v>
      </c>
      <c r="G457" s="411" t="s">
        <v>253</v>
      </c>
      <c r="H457">
        <v>2016</v>
      </c>
      <c r="I457" s="413">
        <v>3.0830188679245283</v>
      </c>
      <c r="K457" t="s">
        <v>2985</v>
      </c>
      <c r="O457" s="412">
        <f t="shared" si="20"/>
        <v>3.0830188679245283E-2</v>
      </c>
      <c r="P457" t="s">
        <v>1863</v>
      </c>
      <c r="T457">
        <v>1</v>
      </c>
      <c r="U457" t="s">
        <v>2882</v>
      </c>
      <c r="V457" t="s">
        <v>2883</v>
      </c>
    </row>
    <row r="458" spans="1:22" x14ac:dyDescent="0.25">
      <c r="A458" t="s">
        <v>2852</v>
      </c>
      <c r="B458" t="s">
        <v>2989</v>
      </c>
      <c r="C458" t="str">
        <f t="shared" si="18"/>
        <v>VC15ET13</v>
      </c>
      <c r="E458" t="s">
        <v>2290</v>
      </c>
      <c r="F458" t="s">
        <v>66</v>
      </c>
      <c r="G458" s="411" t="s">
        <v>253</v>
      </c>
      <c r="H458">
        <v>2016</v>
      </c>
      <c r="I458" s="413">
        <v>12.591044776119404</v>
      </c>
      <c r="K458" t="s">
        <v>2985</v>
      </c>
      <c r="O458" s="412">
        <f t="shared" si="20"/>
        <v>0.12591044776119403</v>
      </c>
      <c r="P458" t="s">
        <v>1863</v>
      </c>
      <c r="T458">
        <v>1</v>
      </c>
      <c r="U458" t="s">
        <v>2884</v>
      </c>
      <c r="V458" t="s">
        <v>2885</v>
      </c>
    </row>
    <row r="459" spans="1:22" x14ac:dyDescent="0.25">
      <c r="A459" t="s">
        <v>2852</v>
      </c>
      <c r="B459" t="s">
        <v>2989</v>
      </c>
      <c r="C459" t="str">
        <f t="shared" si="18"/>
        <v>VC15ET14</v>
      </c>
      <c r="E459" t="s">
        <v>2290</v>
      </c>
      <c r="F459" t="s">
        <v>66</v>
      </c>
      <c r="G459" s="411" t="s">
        <v>253</v>
      </c>
      <c r="H459">
        <v>2016</v>
      </c>
      <c r="I459" s="413">
        <v>13.718534482758621</v>
      </c>
      <c r="K459" t="s">
        <v>2985</v>
      </c>
      <c r="O459" s="412">
        <f t="shared" si="20"/>
        <v>0.13718534482758621</v>
      </c>
      <c r="P459" t="s">
        <v>1863</v>
      </c>
      <c r="T459">
        <v>1</v>
      </c>
      <c r="U459" t="s">
        <v>2886</v>
      </c>
      <c r="V459" t="s">
        <v>814</v>
      </c>
    </row>
    <row r="460" spans="1:22" x14ac:dyDescent="0.25">
      <c r="A460" t="s">
        <v>2852</v>
      </c>
      <c r="B460" t="s">
        <v>2989</v>
      </c>
      <c r="C460" t="str">
        <f t="shared" si="18"/>
        <v>VC15ET15</v>
      </c>
      <c r="E460" t="s">
        <v>2290</v>
      </c>
      <c r="F460" t="s">
        <v>66</v>
      </c>
      <c r="G460" s="411" t="s">
        <v>253</v>
      </c>
      <c r="H460">
        <v>2016</v>
      </c>
      <c r="I460" s="413">
        <v>14.98404255319149</v>
      </c>
      <c r="K460" t="s">
        <v>2985</v>
      </c>
      <c r="O460" s="412">
        <f t="shared" si="20"/>
        <v>0.1498404255319149</v>
      </c>
      <c r="P460" t="s">
        <v>1863</v>
      </c>
      <c r="T460">
        <v>1</v>
      </c>
      <c r="U460" t="s">
        <v>2887</v>
      </c>
      <c r="V460" t="s">
        <v>2888</v>
      </c>
    </row>
    <row r="461" spans="1:22" x14ac:dyDescent="0.25">
      <c r="A461" t="s">
        <v>2990</v>
      </c>
      <c r="B461" t="s">
        <v>2991</v>
      </c>
      <c r="C461" t="str">
        <f t="shared" si="18"/>
        <v>VC16ET</v>
      </c>
      <c r="D461" t="s">
        <v>2649</v>
      </c>
      <c r="E461" t="s">
        <v>2271</v>
      </c>
      <c r="F461" t="s">
        <v>66</v>
      </c>
      <c r="G461" s="411" t="s">
        <v>156</v>
      </c>
      <c r="H461">
        <v>2008</v>
      </c>
      <c r="I461" s="413">
        <v>9.6</v>
      </c>
      <c r="J461" s="413"/>
      <c r="K461" t="s">
        <v>2992</v>
      </c>
      <c r="O461" s="412">
        <f>I461/100</f>
        <v>9.6000000000000002E-2</v>
      </c>
      <c r="P461" t="s">
        <v>2196</v>
      </c>
      <c r="T461">
        <v>0</v>
      </c>
      <c r="U461" t="s">
        <v>2851</v>
      </c>
      <c r="V461" t="s">
        <v>594</v>
      </c>
    </row>
    <row r="462" spans="1:22" x14ac:dyDescent="0.25">
      <c r="A462" t="s">
        <v>2993</v>
      </c>
      <c r="B462" t="s">
        <v>2991</v>
      </c>
      <c r="C462" t="str">
        <f t="shared" si="18"/>
        <v>VC16ET</v>
      </c>
      <c r="E462" t="s">
        <v>2994</v>
      </c>
      <c r="F462" t="s">
        <v>66</v>
      </c>
      <c r="G462" s="411" t="s">
        <v>156</v>
      </c>
      <c r="H462">
        <v>2014</v>
      </c>
      <c r="I462" s="413">
        <v>12.61</v>
      </c>
      <c r="J462" s="413"/>
      <c r="K462" t="s">
        <v>2992</v>
      </c>
      <c r="O462" s="412">
        <f t="shared" ref="O462:O473" si="21">I462/100</f>
        <v>0.12609999999999999</v>
      </c>
      <c r="P462" t="s">
        <v>2196</v>
      </c>
      <c r="T462">
        <v>0</v>
      </c>
      <c r="U462" t="s">
        <v>2851</v>
      </c>
      <c r="V462" t="s">
        <v>594</v>
      </c>
    </row>
    <row r="463" spans="1:22" x14ac:dyDescent="0.25">
      <c r="A463" t="s">
        <v>2993</v>
      </c>
      <c r="B463" t="s">
        <v>2991</v>
      </c>
      <c r="C463" t="str">
        <f t="shared" si="18"/>
        <v>VC16ET01</v>
      </c>
      <c r="E463" t="s">
        <v>2994</v>
      </c>
      <c r="F463" t="s">
        <v>66</v>
      </c>
      <c r="G463" s="411" t="s">
        <v>156</v>
      </c>
      <c r="H463">
        <v>2014</v>
      </c>
      <c r="I463" s="413">
        <v>13.89</v>
      </c>
      <c r="J463" s="413"/>
      <c r="K463" t="s">
        <v>2992</v>
      </c>
      <c r="O463" s="412">
        <f t="shared" si="21"/>
        <v>0.1389</v>
      </c>
      <c r="P463" t="s">
        <v>2196</v>
      </c>
      <c r="T463">
        <v>1</v>
      </c>
      <c r="U463" t="s">
        <v>2870</v>
      </c>
      <c r="V463" t="s">
        <v>806</v>
      </c>
    </row>
    <row r="464" spans="1:22" x14ac:dyDescent="0.25">
      <c r="A464" t="s">
        <v>2993</v>
      </c>
      <c r="B464" t="s">
        <v>2991</v>
      </c>
      <c r="C464" t="str">
        <f t="shared" si="18"/>
        <v>VC16ET02</v>
      </c>
      <c r="E464" t="s">
        <v>2994</v>
      </c>
      <c r="F464" t="s">
        <v>66</v>
      </c>
      <c r="G464" s="411" t="s">
        <v>156</v>
      </c>
      <c r="H464">
        <v>2014</v>
      </c>
      <c r="I464" s="413">
        <v>2.4300000000000002</v>
      </c>
      <c r="J464" s="413"/>
      <c r="K464" t="s">
        <v>2992</v>
      </c>
      <c r="O464" s="412">
        <f t="shared" si="21"/>
        <v>2.4300000000000002E-2</v>
      </c>
      <c r="P464" t="s">
        <v>2196</v>
      </c>
      <c r="T464">
        <v>1</v>
      </c>
      <c r="U464" t="s">
        <v>2871</v>
      </c>
      <c r="V464" t="s">
        <v>2948</v>
      </c>
    </row>
    <row r="465" spans="1:22" x14ac:dyDescent="0.25">
      <c r="A465" t="s">
        <v>2993</v>
      </c>
      <c r="B465" t="s">
        <v>2991</v>
      </c>
      <c r="C465" t="str">
        <f t="shared" si="18"/>
        <v>VC16ET03</v>
      </c>
      <c r="E465" t="s">
        <v>2994</v>
      </c>
      <c r="F465" t="s">
        <v>66</v>
      </c>
      <c r="G465" s="411" t="s">
        <v>156</v>
      </c>
      <c r="H465">
        <v>2014</v>
      </c>
      <c r="I465" s="413">
        <v>16.649999999999999</v>
      </c>
      <c r="J465" s="413"/>
      <c r="K465" t="s">
        <v>2992</v>
      </c>
      <c r="O465" s="412">
        <f t="shared" si="21"/>
        <v>0.16649999999999998</v>
      </c>
      <c r="P465" t="s">
        <v>2196</v>
      </c>
      <c r="T465">
        <v>1</v>
      </c>
      <c r="U465" t="s">
        <v>2873</v>
      </c>
      <c r="V465" t="s">
        <v>805</v>
      </c>
    </row>
    <row r="466" spans="1:22" x14ac:dyDescent="0.25">
      <c r="A466" t="s">
        <v>2993</v>
      </c>
      <c r="B466" t="s">
        <v>2991</v>
      </c>
      <c r="C466" t="str">
        <f t="shared" si="18"/>
        <v>VC16ET04</v>
      </c>
      <c r="E466" t="s">
        <v>2994</v>
      </c>
      <c r="F466" t="s">
        <v>66</v>
      </c>
      <c r="G466" s="411" t="s">
        <v>156</v>
      </c>
      <c r="H466">
        <v>2014</v>
      </c>
      <c r="I466" s="413">
        <v>7.35</v>
      </c>
      <c r="J466" s="413"/>
      <c r="K466" t="s">
        <v>2992</v>
      </c>
      <c r="O466" s="412">
        <f t="shared" si="21"/>
        <v>7.3499999999999996E-2</v>
      </c>
      <c r="P466" t="s">
        <v>2196</v>
      </c>
      <c r="T466">
        <v>1</v>
      </c>
      <c r="U466" t="s">
        <v>2874</v>
      </c>
      <c r="V466" t="s">
        <v>809</v>
      </c>
    </row>
    <row r="467" spans="1:22" x14ac:dyDescent="0.25">
      <c r="A467" t="s">
        <v>2993</v>
      </c>
      <c r="B467" t="s">
        <v>2991</v>
      </c>
      <c r="C467" t="str">
        <f t="shared" si="18"/>
        <v>VC16ET05</v>
      </c>
      <c r="E467" t="s">
        <v>2994</v>
      </c>
      <c r="F467" t="s">
        <v>66</v>
      </c>
      <c r="G467" s="411" t="s">
        <v>156</v>
      </c>
      <c r="H467">
        <v>2014</v>
      </c>
      <c r="I467" s="413">
        <v>2.4300000000000002</v>
      </c>
      <c r="J467" s="413"/>
      <c r="K467" t="s">
        <v>2992</v>
      </c>
      <c r="O467" s="412">
        <f t="shared" si="21"/>
        <v>2.4300000000000002E-2</v>
      </c>
      <c r="P467" t="s">
        <v>2196</v>
      </c>
      <c r="T467">
        <v>1</v>
      </c>
      <c r="U467" t="s">
        <v>2875</v>
      </c>
      <c r="V467" t="s">
        <v>2876</v>
      </c>
    </row>
    <row r="468" spans="1:22" x14ac:dyDescent="0.25">
      <c r="A468" t="s">
        <v>2993</v>
      </c>
      <c r="B468" t="s">
        <v>2991</v>
      </c>
      <c r="C468" t="str">
        <f t="shared" si="18"/>
        <v>VC16ET06</v>
      </c>
      <c r="E468" t="s">
        <v>2994</v>
      </c>
      <c r="F468" t="s">
        <v>66</v>
      </c>
      <c r="G468" s="411" t="s">
        <v>156</v>
      </c>
      <c r="H468">
        <v>2014</v>
      </c>
      <c r="I468" s="413">
        <v>2.4300000000000002</v>
      </c>
      <c r="J468" s="413"/>
      <c r="K468" t="s">
        <v>2992</v>
      </c>
      <c r="O468" s="412">
        <f t="shared" si="21"/>
        <v>2.4300000000000002E-2</v>
      </c>
      <c r="P468" t="s">
        <v>2196</v>
      </c>
      <c r="T468">
        <v>1</v>
      </c>
      <c r="U468" t="s">
        <v>2878</v>
      </c>
      <c r="V468" t="s">
        <v>2879</v>
      </c>
    </row>
    <row r="469" spans="1:22" x14ac:dyDescent="0.25">
      <c r="A469" t="s">
        <v>2993</v>
      </c>
      <c r="B469" t="s">
        <v>2991</v>
      </c>
      <c r="C469" t="str">
        <f t="shared" si="18"/>
        <v>VC16ET07</v>
      </c>
      <c r="E469" t="s">
        <v>2994</v>
      </c>
      <c r="F469" t="s">
        <v>66</v>
      </c>
      <c r="G469" s="411" t="s">
        <v>156</v>
      </c>
      <c r="H469">
        <v>2014</v>
      </c>
      <c r="I469" s="413">
        <v>15.76</v>
      </c>
      <c r="J469" s="413"/>
      <c r="K469" t="s">
        <v>2992</v>
      </c>
      <c r="O469" s="412">
        <f t="shared" si="21"/>
        <v>0.15759999999999999</v>
      </c>
      <c r="P469" t="s">
        <v>2196</v>
      </c>
      <c r="T469">
        <v>1</v>
      </c>
      <c r="U469" t="s">
        <v>2880</v>
      </c>
      <c r="V469" t="s">
        <v>2881</v>
      </c>
    </row>
    <row r="470" spans="1:22" x14ac:dyDescent="0.25">
      <c r="A470" t="s">
        <v>2993</v>
      </c>
      <c r="B470" t="s">
        <v>2991</v>
      </c>
      <c r="C470" t="str">
        <f t="shared" si="18"/>
        <v>VC16ET12</v>
      </c>
      <c r="E470" t="s">
        <v>2994</v>
      </c>
      <c r="F470" t="s">
        <v>66</v>
      </c>
      <c r="G470" s="411" t="s">
        <v>156</v>
      </c>
      <c r="H470">
        <v>2014</v>
      </c>
      <c r="I470" s="413">
        <v>2.4300000000000002</v>
      </c>
      <c r="J470" s="413"/>
      <c r="K470" t="s">
        <v>2992</v>
      </c>
      <c r="O470" s="412">
        <f t="shared" si="21"/>
        <v>2.4300000000000002E-2</v>
      </c>
      <c r="P470" t="s">
        <v>2196</v>
      </c>
      <c r="T470">
        <v>1</v>
      </c>
      <c r="U470" t="s">
        <v>2882</v>
      </c>
      <c r="V470" t="s">
        <v>2883</v>
      </c>
    </row>
    <row r="471" spans="1:22" x14ac:dyDescent="0.25">
      <c r="A471" t="s">
        <v>2993</v>
      </c>
      <c r="B471" t="s">
        <v>2991</v>
      </c>
      <c r="C471" t="str">
        <f t="shared" si="18"/>
        <v>VC16ET13</v>
      </c>
      <c r="E471" t="s">
        <v>2994</v>
      </c>
      <c r="F471" t="s">
        <v>66</v>
      </c>
      <c r="G471" s="411" t="s">
        <v>156</v>
      </c>
      <c r="H471">
        <v>2014</v>
      </c>
      <c r="I471" s="413">
        <v>23.09</v>
      </c>
      <c r="J471" s="413"/>
      <c r="K471" t="s">
        <v>2992</v>
      </c>
      <c r="O471" s="412">
        <f t="shared" si="21"/>
        <v>0.23089999999999999</v>
      </c>
      <c r="P471" t="s">
        <v>2196</v>
      </c>
      <c r="T471">
        <v>1</v>
      </c>
      <c r="U471" t="s">
        <v>2884</v>
      </c>
      <c r="V471" t="s">
        <v>2885</v>
      </c>
    </row>
    <row r="472" spans="1:22" x14ac:dyDescent="0.25">
      <c r="A472" t="s">
        <v>2993</v>
      </c>
      <c r="B472" t="s">
        <v>2991</v>
      </c>
      <c r="C472" t="str">
        <f t="shared" si="18"/>
        <v>VC16ET14</v>
      </c>
      <c r="E472" t="s">
        <v>2994</v>
      </c>
      <c r="F472" t="s">
        <v>66</v>
      </c>
      <c r="G472" s="411" t="s">
        <v>156</v>
      </c>
      <c r="H472">
        <v>2014</v>
      </c>
      <c r="I472" s="413">
        <v>32.380000000000003</v>
      </c>
      <c r="J472" s="413"/>
      <c r="K472" t="s">
        <v>2992</v>
      </c>
      <c r="O472" s="412">
        <f t="shared" si="21"/>
        <v>0.32380000000000003</v>
      </c>
      <c r="P472" t="s">
        <v>2196</v>
      </c>
      <c r="T472">
        <v>1</v>
      </c>
      <c r="U472" t="s">
        <v>2886</v>
      </c>
      <c r="V472" t="s">
        <v>814</v>
      </c>
    </row>
    <row r="473" spans="1:22" x14ac:dyDescent="0.25">
      <c r="A473" t="s">
        <v>2993</v>
      </c>
      <c r="B473" t="s">
        <v>2991</v>
      </c>
      <c r="C473" t="str">
        <f t="shared" si="18"/>
        <v>VC16ET15</v>
      </c>
      <c r="E473" t="s">
        <v>2994</v>
      </c>
      <c r="F473" t="s">
        <v>66</v>
      </c>
      <c r="G473" s="411" t="s">
        <v>156</v>
      </c>
      <c r="H473">
        <v>2014</v>
      </c>
      <c r="I473" s="413">
        <v>23.09</v>
      </c>
      <c r="J473" s="413"/>
      <c r="K473" t="s">
        <v>2992</v>
      </c>
      <c r="O473" s="412">
        <f t="shared" si="21"/>
        <v>0.23089999999999999</v>
      </c>
      <c r="P473" t="s">
        <v>2196</v>
      </c>
      <c r="T473">
        <v>1</v>
      </c>
      <c r="U473" t="s">
        <v>2887</v>
      </c>
      <c r="V473" t="s">
        <v>2888</v>
      </c>
    </row>
    <row r="474" spans="1:22" x14ac:dyDescent="0.25">
      <c r="A474" t="s">
        <v>2995</v>
      </c>
      <c r="B474" t="s">
        <v>2996</v>
      </c>
      <c r="C474" t="str">
        <f t="shared" si="18"/>
        <v>VC17ET</v>
      </c>
      <c r="D474" t="s">
        <v>2652</v>
      </c>
      <c r="E474" t="s">
        <v>2274</v>
      </c>
      <c r="F474" t="s">
        <v>2241</v>
      </c>
      <c r="G474" s="411" t="s">
        <v>253</v>
      </c>
      <c r="H474">
        <v>2016</v>
      </c>
      <c r="I474" s="413">
        <v>14</v>
      </c>
      <c r="J474" s="413"/>
      <c r="K474" t="s">
        <v>2997</v>
      </c>
      <c r="O474" s="412">
        <f>I474/100</f>
        <v>0.14000000000000001</v>
      </c>
      <c r="P474" t="s">
        <v>1863</v>
      </c>
      <c r="T474">
        <v>0</v>
      </c>
      <c r="U474" t="s">
        <v>2851</v>
      </c>
      <c r="V474" t="s">
        <v>594</v>
      </c>
    </row>
    <row r="475" spans="1:22" s="418" customFormat="1" x14ac:dyDescent="0.25">
      <c r="A475" s="418" t="s">
        <v>2998</v>
      </c>
      <c r="D475" s="418" t="s">
        <v>2660</v>
      </c>
      <c r="E475" s="418" t="s">
        <v>2282</v>
      </c>
      <c r="F475" s="418" t="s">
        <v>2241</v>
      </c>
      <c r="G475" s="419"/>
      <c r="I475" s="428">
        <v>13.09</v>
      </c>
      <c r="J475" s="428"/>
      <c r="K475" s="418" t="s">
        <v>2999</v>
      </c>
      <c r="O475" s="430">
        <f>I475/100/(49-15)</f>
        <v>3.8499999999999997E-3</v>
      </c>
      <c r="P475" s="418" t="s">
        <v>2196</v>
      </c>
      <c r="Q475" s="426"/>
      <c r="T475" s="418">
        <v>0</v>
      </c>
      <c r="U475" s="418" t="s">
        <v>2851</v>
      </c>
      <c r="V475" s="418" t="s">
        <v>594</v>
      </c>
    </row>
    <row r="476" spans="1:22" x14ac:dyDescent="0.25">
      <c r="A476" t="s">
        <v>2852</v>
      </c>
      <c r="B476" t="s">
        <v>3000</v>
      </c>
      <c r="C476" t="str">
        <f t="shared" si="18"/>
        <v>VC18ET</v>
      </c>
      <c r="D476" t="s">
        <v>2660</v>
      </c>
      <c r="E476" t="s">
        <v>3001</v>
      </c>
      <c r="F476" t="s">
        <v>2241</v>
      </c>
      <c r="G476" s="411" t="s">
        <v>253</v>
      </c>
      <c r="H476">
        <v>2016</v>
      </c>
      <c r="I476" s="413">
        <v>6.5</v>
      </c>
      <c r="J476" s="413"/>
      <c r="K476" t="s">
        <v>2997</v>
      </c>
      <c r="L476" t="s">
        <v>2196</v>
      </c>
      <c r="O476" s="412">
        <f>I476/100</f>
        <v>6.5000000000000002E-2</v>
      </c>
      <c r="P476" t="s">
        <v>2196</v>
      </c>
      <c r="T476">
        <v>0</v>
      </c>
      <c r="U476" t="s">
        <v>2851</v>
      </c>
      <c r="V476" t="s">
        <v>594</v>
      </c>
    </row>
    <row r="477" spans="1:22" x14ac:dyDescent="0.25">
      <c r="A477" t="s">
        <v>2852</v>
      </c>
      <c r="B477" t="s">
        <v>3000</v>
      </c>
      <c r="C477" t="str">
        <f t="shared" si="18"/>
        <v>VC18ETU</v>
      </c>
      <c r="E477" t="s">
        <v>3001</v>
      </c>
      <c r="F477" t="s">
        <v>2241</v>
      </c>
      <c r="G477" s="411" t="s">
        <v>253</v>
      </c>
      <c r="H477">
        <v>2016</v>
      </c>
      <c r="I477" s="413">
        <v>2</v>
      </c>
      <c r="J477" s="413"/>
      <c r="K477" t="s">
        <v>2997</v>
      </c>
      <c r="L477" t="s">
        <v>2196</v>
      </c>
      <c r="O477" s="412">
        <f t="shared" ref="O477:O503" si="22">I477/100</f>
        <v>0.02</v>
      </c>
      <c r="P477" t="s">
        <v>2196</v>
      </c>
      <c r="T477">
        <v>0.5</v>
      </c>
      <c r="U477" t="s">
        <v>2869</v>
      </c>
      <c r="V477" t="s">
        <v>336</v>
      </c>
    </row>
    <row r="478" spans="1:22" x14ac:dyDescent="0.25">
      <c r="A478" t="s">
        <v>2852</v>
      </c>
      <c r="B478" t="s">
        <v>3000</v>
      </c>
      <c r="C478" t="str">
        <f t="shared" si="18"/>
        <v>VC18ETR</v>
      </c>
      <c r="E478" t="s">
        <v>3001</v>
      </c>
      <c r="F478" t="s">
        <v>2241</v>
      </c>
      <c r="G478" s="411" t="s">
        <v>253</v>
      </c>
      <c r="H478">
        <v>2016</v>
      </c>
      <c r="I478" s="413">
        <v>7.7</v>
      </c>
      <c r="J478" s="413"/>
      <c r="K478" t="s">
        <v>2997</v>
      </c>
      <c r="L478" t="s">
        <v>2196</v>
      </c>
      <c r="O478" s="412">
        <f t="shared" si="22"/>
        <v>7.6999999999999999E-2</v>
      </c>
      <c r="P478" t="s">
        <v>2196</v>
      </c>
      <c r="T478">
        <v>0.5</v>
      </c>
      <c r="U478" t="s">
        <v>2868</v>
      </c>
      <c r="V478" t="s">
        <v>84</v>
      </c>
    </row>
    <row r="479" spans="1:22" x14ac:dyDescent="0.25">
      <c r="A479" t="s">
        <v>2852</v>
      </c>
      <c r="B479" t="s">
        <v>3000</v>
      </c>
      <c r="C479" t="str">
        <f t="shared" si="18"/>
        <v>VC18ET01</v>
      </c>
      <c r="E479" t="s">
        <v>3001</v>
      </c>
      <c r="F479" t="s">
        <v>2241</v>
      </c>
      <c r="G479" s="411" t="s">
        <v>253</v>
      </c>
      <c r="H479">
        <v>2016</v>
      </c>
      <c r="I479" s="413">
        <v>6.2</v>
      </c>
      <c r="J479" s="413"/>
      <c r="K479" t="s">
        <v>2997</v>
      </c>
      <c r="L479" t="s">
        <v>2196</v>
      </c>
      <c r="O479" s="412">
        <f t="shared" si="22"/>
        <v>6.2E-2</v>
      </c>
      <c r="P479" t="s">
        <v>2196</v>
      </c>
      <c r="T479">
        <v>1</v>
      </c>
      <c r="U479" t="s">
        <v>2870</v>
      </c>
      <c r="V479" t="s">
        <v>806</v>
      </c>
    </row>
    <row r="480" spans="1:22" x14ac:dyDescent="0.25">
      <c r="A480" t="s">
        <v>2852</v>
      </c>
      <c r="B480" t="s">
        <v>3000</v>
      </c>
      <c r="C480" t="str">
        <f t="shared" si="18"/>
        <v>VC18ET02</v>
      </c>
      <c r="E480" t="s">
        <v>3001</v>
      </c>
      <c r="F480" t="s">
        <v>2241</v>
      </c>
      <c r="G480" s="411" t="s">
        <v>253</v>
      </c>
      <c r="H480">
        <v>2016</v>
      </c>
      <c r="I480" s="413">
        <v>1.4</v>
      </c>
      <c r="J480" s="413"/>
      <c r="K480" t="s">
        <v>2997</v>
      </c>
      <c r="L480" t="s">
        <v>2196</v>
      </c>
      <c r="O480" s="412">
        <f t="shared" si="22"/>
        <v>1.3999999999999999E-2</v>
      </c>
      <c r="P480" t="s">
        <v>2196</v>
      </c>
      <c r="T480">
        <v>1</v>
      </c>
      <c r="U480" t="s">
        <v>2871</v>
      </c>
      <c r="V480" t="s">
        <v>2948</v>
      </c>
    </row>
    <row r="481" spans="1:22" x14ac:dyDescent="0.25">
      <c r="A481" t="s">
        <v>2852</v>
      </c>
      <c r="B481" t="s">
        <v>3000</v>
      </c>
      <c r="C481" t="str">
        <f t="shared" si="18"/>
        <v>VC18ET03</v>
      </c>
      <c r="E481" t="s">
        <v>3001</v>
      </c>
      <c r="F481" t="s">
        <v>2241</v>
      </c>
      <c r="G481" s="411" t="s">
        <v>253</v>
      </c>
      <c r="H481">
        <v>2016</v>
      </c>
      <c r="I481" s="413">
        <v>6.9</v>
      </c>
      <c r="J481" s="413"/>
      <c r="K481" t="s">
        <v>2997</v>
      </c>
      <c r="L481" t="s">
        <v>2196</v>
      </c>
      <c r="O481" s="412">
        <f t="shared" si="22"/>
        <v>6.9000000000000006E-2</v>
      </c>
      <c r="P481" t="s">
        <v>2196</v>
      </c>
      <c r="T481">
        <v>1</v>
      </c>
      <c r="U481" t="s">
        <v>2873</v>
      </c>
      <c r="V481" t="s">
        <v>805</v>
      </c>
    </row>
    <row r="482" spans="1:22" x14ac:dyDescent="0.25">
      <c r="A482" t="s">
        <v>2852</v>
      </c>
      <c r="B482" t="s">
        <v>3000</v>
      </c>
      <c r="C482" t="str">
        <f t="shared" si="18"/>
        <v>VC18ET04</v>
      </c>
      <c r="E482" t="s">
        <v>3001</v>
      </c>
      <c r="F482" t="s">
        <v>2241</v>
      </c>
      <c r="G482" s="411" t="s">
        <v>253</v>
      </c>
      <c r="H482">
        <v>2016</v>
      </c>
      <c r="I482" s="413">
        <v>9.4</v>
      </c>
      <c r="J482" s="413"/>
      <c r="K482" t="s">
        <v>2997</v>
      </c>
      <c r="L482" t="s">
        <v>2196</v>
      </c>
      <c r="O482" s="412">
        <f t="shared" si="22"/>
        <v>9.4E-2</v>
      </c>
      <c r="P482" t="s">
        <v>2196</v>
      </c>
      <c r="T482">
        <v>1</v>
      </c>
      <c r="U482" t="s">
        <v>2874</v>
      </c>
      <c r="V482" t="s">
        <v>809</v>
      </c>
    </row>
    <row r="483" spans="1:22" x14ac:dyDescent="0.25">
      <c r="A483" t="s">
        <v>2852</v>
      </c>
      <c r="B483" t="s">
        <v>3000</v>
      </c>
      <c r="C483" t="str">
        <f t="shared" si="18"/>
        <v>VC18ET05</v>
      </c>
      <c r="E483" t="s">
        <v>3001</v>
      </c>
      <c r="F483" t="s">
        <v>2241</v>
      </c>
      <c r="G483" s="411" t="s">
        <v>253</v>
      </c>
      <c r="H483">
        <v>2016</v>
      </c>
      <c r="I483" s="413">
        <v>0.3</v>
      </c>
      <c r="J483" s="413"/>
      <c r="K483" t="s">
        <v>2997</v>
      </c>
      <c r="L483" t="s">
        <v>2196</v>
      </c>
      <c r="O483" s="412">
        <f t="shared" si="22"/>
        <v>3.0000000000000001E-3</v>
      </c>
      <c r="P483" t="s">
        <v>2196</v>
      </c>
      <c r="T483">
        <v>1</v>
      </c>
      <c r="U483" t="s">
        <v>2875</v>
      </c>
      <c r="V483" t="s">
        <v>2876</v>
      </c>
    </row>
    <row r="484" spans="1:22" x14ac:dyDescent="0.25">
      <c r="A484" t="s">
        <v>2852</v>
      </c>
      <c r="B484" t="s">
        <v>3000</v>
      </c>
      <c r="C484" t="str">
        <f t="shared" si="18"/>
        <v>VC18ET06</v>
      </c>
      <c r="E484" t="s">
        <v>3001</v>
      </c>
      <c r="F484" t="s">
        <v>2241</v>
      </c>
      <c r="G484" s="411" t="s">
        <v>253</v>
      </c>
      <c r="H484">
        <v>2016</v>
      </c>
      <c r="I484" s="413">
        <v>4.5999999999999996</v>
      </c>
      <c r="J484" s="413"/>
      <c r="K484" t="s">
        <v>2997</v>
      </c>
      <c r="L484" t="s">
        <v>2196</v>
      </c>
      <c r="O484" s="412">
        <f t="shared" si="22"/>
        <v>4.5999999999999999E-2</v>
      </c>
      <c r="P484" t="s">
        <v>2196</v>
      </c>
      <c r="T484">
        <v>1</v>
      </c>
      <c r="U484" t="s">
        <v>2878</v>
      </c>
      <c r="V484" t="s">
        <v>2879</v>
      </c>
    </row>
    <row r="485" spans="1:22" ht="12.95" customHeight="1" x14ac:dyDescent="0.25">
      <c r="A485" t="s">
        <v>2852</v>
      </c>
      <c r="B485" t="s">
        <v>3000</v>
      </c>
      <c r="C485" t="str">
        <f t="shared" si="18"/>
        <v>VC18ET07</v>
      </c>
      <c r="E485" t="s">
        <v>3001</v>
      </c>
      <c r="F485" t="s">
        <v>2241</v>
      </c>
      <c r="G485" s="411" t="s">
        <v>253</v>
      </c>
      <c r="H485">
        <v>2016</v>
      </c>
      <c r="I485" s="413">
        <v>3.7</v>
      </c>
      <c r="J485" s="413"/>
      <c r="K485" t="s">
        <v>2997</v>
      </c>
      <c r="L485" t="s">
        <v>2196</v>
      </c>
      <c r="O485" s="412">
        <f t="shared" si="22"/>
        <v>3.7000000000000005E-2</v>
      </c>
      <c r="P485" t="s">
        <v>2196</v>
      </c>
      <c r="T485">
        <v>1</v>
      </c>
      <c r="U485" t="s">
        <v>2880</v>
      </c>
      <c r="V485" t="s">
        <v>2881</v>
      </c>
    </row>
    <row r="486" spans="1:22" ht="12.95" customHeight="1" x14ac:dyDescent="0.25">
      <c r="A486" t="s">
        <v>2852</v>
      </c>
      <c r="B486" t="s">
        <v>3000</v>
      </c>
      <c r="C486" t="str">
        <f t="shared" si="18"/>
        <v>VC18ET12</v>
      </c>
      <c r="E486" t="s">
        <v>3001</v>
      </c>
      <c r="F486" t="s">
        <v>2241</v>
      </c>
      <c r="G486" s="411" t="s">
        <v>253</v>
      </c>
      <c r="H486">
        <v>2016</v>
      </c>
      <c r="I486" s="413">
        <v>7.3</v>
      </c>
      <c r="J486" s="413"/>
      <c r="K486" t="s">
        <v>2997</v>
      </c>
      <c r="L486" t="s">
        <v>2196</v>
      </c>
      <c r="O486" s="412">
        <f t="shared" si="22"/>
        <v>7.2999999999999995E-2</v>
      </c>
      <c r="P486" t="s">
        <v>2196</v>
      </c>
      <c r="T486">
        <v>1</v>
      </c>
      <c r="U486" t="s">
        <v>2882</v>
      </c>
      <c r="V486" t="s">
        <v>2883</v>
      </c>
    </row>
    <row r="487" spans="1:22" ht="12.95" customHeight="1" x14ac:dyDescent="0.25">
      <c r="A487" t="s">
        <v>2852</v>
      </c>
      <c r="B487" t="s">
        <v>3000</v>
      </c>
      <c r="C487" t="str">
        <f t="shared" si="18"/>
        <v>VC18ET13</v>
      </c>
      <c r="E487" t="s">
        <v>3001</v>
      </c>
      <c r="F487" t="s">
        <v>2241</v>
      </c>
      <c r="G487" s="411" t="s">
        <v>253</v>
      </c>
      <c r="H487">
        <v>2016</v>
      </c>
      <c r="I487" s="413">
        <v>2.6</v>
      </c>
      <c r="J487" s="413"/>
      <c r="K487" t="s">
        <v>2997</v>
      </c>
      <c r="L487" t="s">
        <v>2196</v>
      </c>
      <c r="O487" s="412">
        <f t="shared" si="22"/>
        <v>2.6000000000000002E-2</v>
      </c>
      <c r="P487" t="s">
        <v>2196</v>
      </c>
      <c r="T487">
        <v>1</v>
      </c>
      <c r="U487" t="s">
        <v>2884</v>
      </c>
      <c r="V487" t="s">
        <v>2885</v>
      </c>
    </row>
    <row r="488" spans="1:22" ht="12.95" customHeight="1" x14ac:dyDescent="0.25">
      <c r="A488" t="s">
        <v>2852</v>
      </c>
      <c r="B488" t="s">
        <v>3000</v>
      </c>
      <c r="C488" t="str">
        <f t="shared" ref="C488:C512" si="23">_xlfn.CONCAT(B488,U488)</f>
        <v>VC18ET14</v>
      </c>
      <c r="E488" t="s">
        <v>3001</v>
      </c>
      <c r="F488" t="s">
        <v>2241</v>
      </c>
      <c r="G488" s="411" t="s">
        <v>253</v>
      </c>
      <c r="H488">
        <v>2016</v>
      </c>
      <c r="I488" s="413">
        <v>1.4</v>
      </c>
      <c r="J488" s="413"/>
      <c r="K488" t="s">
        <v>2997</v>
      </c>
      <c r="L488" t="s">
        <v>2196</v>
      </c>
      <c r="O488" s="412">
        <f t="shared" si="22"/>
        <v>1.3999999999999999E-2</v>
      </c>
      <c r="P488" t="s">
        <v>2196</v>
      </c>
      <c r="T488">
        <v>1</v>
      </c>
      <c r="U488" t="s">
        <v>2886</v>
      </c>
      <c r="V488" t="s">
        <v>814</v>
      </c>
    </row>
    <row r="489" spans="1:22" ht="12.95" customHeight="1" x14ac:dyDescent="0.25">
      <c r="A489" t="s">
        <v>2852</v>
      </c>
      <c r="B489" t="s">
        <v>3000</v>
      </c>
      <c r="C489" t="str">
        <f t="shared" si="23"/>
        <v>VC18ET15</v>
      </c>
      <c r="E489" t="s">
        <v>3001</v>
      </c>
      <c r="F489" t="s">
        <v>2241</v>
      </c>
      <c r="G489" s="411" t="s">
        <v>253</v>
      </c>
      <c r="H489">
        <v>2016</v>
      </c>
      <c r="I489" s="413">
        <v>3.5</v>
      </c>
      <c r="J489" s="413"/>
      <c r="K489" t="s">
        <v>2997</v>
      </c>
      <c r="L489" t="s">
        <v>2196</v>
      </c>
      <c r="O489" s="412">
        <f t="shared" si="22"/>
        <v>3.5000000000000003E-2</v>
      </c>
      <c r="P489" t="s">
        <v>2196</v>
      </c>
      <c r="T489">
        <v>1</v>
      </c>
      <c r="U489" t="s">
        <v>2887</v>
      </c>
      <c r="V489" t="s">
        <v>2888</v>
      </c>
    </row>
    <row r="490" spans="1:22" ht="12.95" customHeight="1" x14ac:dyDescent="0.25">
      <c r="A490" t="s">
        <v>2852</v>
      </c>
      <c r="B490" t="s">
        <v>3002</v>
      </c>
      <c r="C490" t="str">
        <f t="shared" si="23"/>
        <v>VC19ET</v>
      </c>
      <c r="D490" t="s">
        <v>2662</v>
      </c>
      <c r="E490" t="s">
        <v>3003</v>
      </c>
      <c r="F490" t="s">
        <v>2241</v>
      </c>
      <c r="G490" s="411" t="s">
        <v>253</v>
      </c>
      <c r="H490">
        <v>2016</v>
      </c>
      <c r="I490" s="413">
        <v>14.8</v>
      </c>
      <c r="J490" s="413"/>
      <c r="K490" t="s">
        <v>2997</v>
      </c>
      <c r="L490" t="s">
        <v>2196</v>
      </c>
      <c r="O490" s="412">
        <f t="shared" si="22"/>
        <v>0.14800000000000002</v>
      </c>
      <c r="P490" t="s">
        <v>2196</v>
      </c>
      <c r="T490">
        <v>0</v>
      </c>
      <c r="U490" t="s">
        <v>2851</v>
      </c>
      <c r="V490" t="s">
        <v>594</v>
      </c>
    </row>
    <row r="491" spans="1:22" ht="12.95" customHeight="1" x14ac:dyDescent="0.25">
      <c r="A491" t="s">
        <v>2852</v>
      </c>
      <c r="B491" t="s">
        <v>3002</v>
      </c>
      <c r="C491" t="str">
        <f t="shared" si="23"/>
        <v>VC19ETU</v>
      </c>
      <c r="E491" t="s">
        <v>3003</v>
      </c>
      <c r="F491" t="s">
        <v>2241</v>
      </c>
      <c r="G491" s="411" t="s">
        <v>253</v>
      </c>
      <c r="H491">
        <v>2016</v>
      </c>
      <c r="I491" s="413">
        <v>10.6</v>
      </c>
      <c r="J491" s="413"/>
      <c r="K491" t="s">
        <v>2997</v>
      </c>
      <c r="L491" t="s">
        <v>2196</v>
      </c>
      <c r="O491" s="412">
        <f t="shared" si="22"/>
        <v>0.106</v>
      </c>
      <c r="P491" t="s">
        <v>2196</v>
      </c>
      <c r="T491">
        <v>0.5</v>
      </c>
      <c r="U491" t="s">
        <v>2869</v>
      </c>
      <c r="V491" t="s">
        <v>336</v>
      </c>
    </row>
    <row r="492" spans="1:22" ht="12.95" customHeight="1" x14ac:dyDescent="0.25">
      <c r="A492" t="s">
        <v>2852</v>
      </c>
      <c r="B492" t="s">
        <v>3002</v>
      </c>
      <c r="C492" t="str">
        <f t="shared" si="23"/>
        <v>VC19ETR</v>
      </c>
      <c r="E492" t="s">
        <v>3003</v>
      </c>
      <c r="F492" t="s">
        <v>2241</v>
      </c>
      <c r="G492" s="411" t="s">
        <v>253</v>
      </c>
      <c r="H492">
        <v>2016</v>
      </c>
      <c r="I492" s="413">
        <v>16</v>
      </c>
      <c r="J492" s="413"/>
      <c r="K492" t="s">
        <v>2997</v>
      </c>
      <c r="L492" t="s">
        <v>2196</v>
      </c>
      <c r="O492" s="412">
        <f t="shared" si="22"/>
        <v>0.16</v>
      </c>
      <c r="P492" t="s">
        <v>2196</v>
      </c>
      <c r="T492">
        <v>0.5</v>
      </c>
      <c r="U492" t="s">
        <v>2868</v>
      </c>
      <c r="V492" t="s">
        <v>84</v>
      </c>
    </row>
    <row r="493" spans="1:22" ht="12.95" customHeight="1" x14ac:dyDescent="0.25">
      <c r="A493" t="s">
        <v>2852</v>
      </c>
      <c r="B493" t="s">
        <v>3002</v>
      </c>
      <c r="C493" t="str">
        <f t="shared" si="23"/>
        <v>VC19ET01</v>
      </c>
      <c r="E493" t="s">
        <v>3003</v>
      </c>
      <c r="F493" t="s">
        <v>2241</v>
      </c>
      <c r="G493" s="411" t="s">
        <v>253</v>
      </c>
      <c r="H493">
        <v>2016</v>
      </c>
      <c r="I493" s="413">
        <v>10.8</v>
      </c>
      <c r="J493" s="413"/>
      <c r="K493" t="s">
        <v>2997</v>
      </c>
      <c r="L493" t="s">
        <v>2196</v>
      </c>
      <c r="O493" s="412">
        <f t="shared" si="22"/>
        <v>0.10800000000000001</v>
      </c>
      <c r="P493" t="s">
        <v>2196</v>
      </c>
      <c r="T493">
        <v>1</v>
      </c>
      <c r="U493" t="s">
        <v>2870</v>
      </c>
      <c r="V493" t="s">
        <v>806</v>
      </c>
    </row>
    <row r="494" spans="1:22" ht="12.95" customHeight="1" x14ac:dyDescent="0.25">
      <c r="A494" t="s">
        <v>2852</v>
      </c>
      <c r="B494" t="s">
        <v>3002</v>
      </c>
      <c r="C494" t="str">
        <f t="shared" si="23"/>
        <v>VC19ET02</v>
      </c>
      <c r="E494" t="s">
        <v>3003</v>
      </c>
      <c r="F494" t="s">
        <v>2241</v>
      </c>
      <c r="G494" s="411" t="s">
        <v>253</v>
      </c>
      <c r="H494">
        <v>2016</v>
      </c>
      <c r="I494" s="413">
        <v>6</v>
      </c>
      <c r="J494" s="413"/>
      <c r="K494" t="s">
        <v>2997</v>
      </c>
      <c r="L494" t="s">
        <v>2196</v>
      </c>
      <c r="O494" s="412">
        <f t="shared" si="22"/>
        <v>0.06</v>
      </c>
      <c r="P494" t="s">
        <v>2196</v>
      </c>
      <c r="T494">
        <v>1</v>
      </c>
      <c r="U494" t="s">
        <v>2871</v>
      </c>
      <c r="V494" t="s">
        <v>2948</v>
      </c>
    </row>
    <row r="495" spans="1:22" ht="12.95" customHeight="1" x14ac:dyDescent="0.25">
      <c r="A495" t="s">
        <v>2852</v>
      </c>
      <c r="B495" t="s">
        <v>3002</v>
      </c>
      <c r="C495" t="str">
        <f t="shared" si="23"/>
        <v>VC19ET03</v>
      </c>
      <c r="E495" t="s">
        <v>3003</v>
      </c>
      <c r="F495" t="s">
        <v>2241</v>
      </c>
      <c r="G495" s="411" t="s">
        <v>253</v>
      </c>
      <c r="H495">
        <v>2016</v>
      </c>
      <c r="I495" s="413">
        <v>13.4</v>
      </c>
      <c r="J495" s="413"/>
      <c r="K495" t="s">
        <v>2997</v>
      </c>
      <c r="L495" t="s">
        <v>2196</v>
      </c>
      <c r="O495" s="412">
        <f t="shared" si="22"/>
        <v>0.13400000000000001</v>
      </c>
      <c r="P495" t="s">
        <v>2196</v>
      </c>
      <c r="T495">
        <v>1</v>
      </c>
      <c r="U495" t="s">
        <v>2873</v>
      </c>
      <c r="V495" t="s">
        <v>805</v>
      </c>
    </row>
    <row r="496" spans="1:22" ht="12.95" customHeight="1" x14ac:dyDescent="0.25">
      <c r="A496" t="s">
        <v>2852</v>
      </c>
      <c r="B496" t="s">
        <v>3002</v>
      </c>
      <c r="C496" t="str">
        <f t="shared" si="23"/>
        <v>VC19ET04</v>
      </c>
      <c r="E496" t="s">
        <v>3003</v>
      </c>
      <c r="F496" t="s">
        <v>2241</v>
      </c>
      <c r="G496" s="411" t="s">
        <v>253</v>
      </c>
      <c r="H496">
        <v>2016</v>
      </c>
      <c r="I496" s="413">
        <v>20.2</v>
      </c>
      <c r="J496" s="413"/>
      <c r="K496" t="s">
        <v>2997</v>
      </c>
      <c r="L496" t="s">
        <v>2196</v>
      </c>
      <c r="O496" s="412">
        <f t="shared" si="22"/>
        <v>0.20199999999999999</v>
      </c>
      <c r="P496" t="s">
        <v>2196</v>
      </c>
      <c r="T496">
        <v>1</v>
      </c>
      <c r="U496" t="s">
        <v>2874</v>
      </c>
      <c r="V496" t="s">
        <v>809</v>
      </c>
    </row>
    <row r="497" spans="1:22" ht="12.95" customHeight="1" x14ac:dyDescent="0.25">
      <c r="A497" t="s">
        <v>2852</v>
      </c>
      <c r="B497" t="s">
        <v>3002</v>
      </c>
      <c r="C497" t="str">
        <f t="shared" si="23"/>
        <v>VC19ET05</v>
      </c>
      <c r="E497" t="s">
        <v>3003</v>
      </c>
      <c r="F497" t="s">
        <v>2241</v>
      </c>
      <c r="G497" s="411" t="s">
        <v>253</v>
      </c>
      <c r="H497">
        <v>2016</v>
      </c>
      <c r="I497" s="413">
        <v>4.5999999999999996</v>
      </c>
      <c r="J497" s="413"/>
      <c r="K497" t="s">
        <v>2997</v>
      </c>
      <c r="L497" t="s">
        <v>2196</v>
      </c>
      <c r="O497" s="412">
        <f t="shared" si="22"/>
        <v>4.5999999999999999E-2</v>
      </c>
      <c r="P497" t="s">
        <v>2196</v>
      </c>
      <c r="T497">
        <v>1</v>
      </c>
      <c r="U497" t="s">
        <v>2875</v>
      </c>
      <c r="V497" t="s">
        <v>2876</v>
      </c>
    </row>
    <row r="498" spans="1:22" ht="12.95" customHeight="1" x14ac:dyDescent="0.25">
      <c r="A498" t="s">
        <v>2852</v>
      </c>
      <c r="B498" t="s">
        <v>3002</v>
      </c>
      <c r="C498" t="str">
        <f t="shared" si="23"/>
        <v>VC19ET06</v>
      </c>
      <c r="E498" t="s">
        <v>3003</v>
      </c>
      <c r="F498" t="s">
        <v>2241</v>
      </c>
      <c r="G498" s="411" t="s">
        <v>253</v>
      </c>
      <c r="H498">
        <v>2016</v>
      </c>
      <c r="I498" s="413">
        <v>12.5</v>
      </c>
      <c r="J498" s="413"/>
      <c r="K498" t="s">
        <v>2997</v>
      </c>
      <c r="L498" t="s">
        <v>2196</v>
      </c>
      <c r="O498" s="412">
        <f t="shared" si="22"/>
        <v>0.125</v>
      </c>
      <c r="P498" t="s">
        <v>2196</v>
      </c>
      <c r="T498">
        <v>1</v>
      </c>
      <c r="U498" t="s">
        <v>2878</v>
      </c>
      <c r="V498" t="s">
        <v>2879</v>
      </c>
    </row>
    <row r="499" spans="1:22" ht="12.95" customHeight="1" x14ac:dyDescent="0.25">
      <c r="A499" t="s">
        <v>2852</v>
      </c>
      <c r="B499" t="s">
        <v>3002</v>
      </c>
      <c r="C499" t="str">
        <f t="shared" si="23"/>
        <v>VC19ET07</v>
      </c>
      <c r="E499" t="s">
        <v>3003</v>
      </c>
      <c r="F499" t="s">
        <v>2241</v>
      </c>
      <c r="G499" s="411" t="s">
        <v>253</v>
      </c>
      <c r="H499">
        <v>2016</v>
      </c>
      <c r="I499" s="413">
        <v>11.4</v>
      </c>
      <c r="J499" s="413"/>
      <c r="K499" t="s">
        <v>2997</v>
      </c>
      <c r="L499" t="s">
        <v>2196</v>
      </c>
      <c r="O499" s="412">
        <f t="shared" si="22"/>
        <v>0.114</v>
      </c>
      <c r="P499" t="s">
        <v>2196</v>
      </c>
      <c r="T499">
        <v>1</v>
      </c>
      <c r="U499" t="s">
        <v>2880</v>
      </c>
      <c r="V499" t="s">
        <v>2881</v>
      </c>
    </row>
    <row r="500" spans="1:22" ht="12.95" customHeight="1" x14ac:dyDescent="0.25">
      <c r="A500" t="s">
        <v>2852</v>
      </c>
      <c r="B500" t="s">
        <v>3002</v>
      </c>
      <c r="C500" t="str">
        <f t="shared" si="23"/>
        <v>VC19ET12</v>
      </c>
      <c r="E500" t="s">
        <v>3003</v>
      </c>
      <c r="F500" t="s">
        <v>2241</v>
      </c>
      <c r="G500" s="411" t="s">
        <v>253</v>
      </c>
      <c r="H500">
        <v>2016</v>
      </c>
      <c r="I500" s="413">
        <v>18.899999999999999</v>
      </c>
      <c r="J500" s="413"/>
      <c r="K500" t="s">
        <v>2997</v>
      </c>
      <c r="L500" t="s">
        <v>2196</v>
      </c>
      <c r="O500" s="412">
        <f t="shared" si="22"/>
        <v>0.18899999999999997</v>
      </c>
      <c r="P500" t="s">
        <v>2196</v>
      </c>
      <c r="T500">
        <v>1</v>
      </c>
      <c r="U500" t="s">
        <v>2882</v>
      </c>
      <c r="V500" t="s">
        <v>2883</v>
      </c>
    </row>
    <row r="501" spans="1:22" ht="12.95" customHeight="1" x14ac:dyDescent="0.25">
      <c r="A501" t="s">
        <v>2852</v>
      </c>
      <c r="B501" t="s">
        <v>3002</v>
      </c>
      <c r="C501" t="str">
        <f t="shared" si="23"/>
        <v>VC19ET13</v>
      </c>
      <c r="E501" t="s">
        <v>3003</v>
      </c>
      <c r="F501" t="s">
        <v>2241</v>
      </c>
      <c r="G501" s="411" t="s">
        <v>253</v>
      </c>
      <c r="H501">
        <v>2016</v>
      </c>
      <c r="I501" s="413">
        <v>19.899999999999999</v>
      </c>
      <c r="J501" s="413"/>
      <c r="K501" t="s">
        <v>2997</v>
      </c>
      <c r="L501" t="s">
        <v>2196</v>
      </c>
      <c r="O501" s="412">
        <f t="shared" si="22"/>
        <v>0.19899999999999998</v>
      </c>
      <c r="P501" t="s">
        <v>2196</v>
      </c>
      <c r="T501">
        <v>1</v>
      </c>
      <c r="U501" t="s">
        <v>2884</v>
      </c>
      <c r="V501" t="s">
        <v>2885</v>
      </c>
    </row>
    <row r="502" spans="1:22" ht="12.95" customHeight="1" x14ac:dyDescent="0.25">
      <c r="A502" t="s">
        <v>2852</v>
      </c>
      <c r="B502" t="s">
        <v>3002</v>
      </c>
      <c r="C502" t="str">
        <f t="shared" si="23"/>
        <v>VC19ET14</v>
      </c>
      <c r="E502" t="s">
        <v>3003</v>
      </c>
      <c r="F502" t="s">
        <v>2241</v>
      </c>
      <c r="G502" s="411" t="s">
        <v>253</v>
      </c>
      <c r="H502">
        <v>2016</v>
      </c>
      <c r="I502" s="413">
        <v>10.199999999999999</v>
      </c>
      <c r="J502" s="413"/>
      <c r="K502" t="s">
        <v>2997</v>
      </c>
      <c r="L502" t="s">
        <v>2196</v>
      </c>
      <c r="O502" s="412">
        <f t="shared" si="22"/>
        <v>0.10199999999999999</v>
      </c>
      <c r="P502" t="s">
        <v>2196</v>
      </c>
      <c r="T502">
        <v>1</v>
      </c>
      <c r="U502" t="s">
        <v>2886</v>
      </c>
      <c r="V502" t="s">
        <v>814</v>
      </c>
    </row>
    <row r="503" spans="1:22" ht="12.95" customHeight="1" x14ac:dyDescent="0.25">
      <c r="A503" t="s">
        <v>2852</v>
      </c>
      <c r="B503" t="s">
        <v>3002</v>
      </c>
      <c r="C503" t="str">
        <f t="shared" si="23"/>
        <v>VC19ET15</v>
      </c>
      <c r="E503" t="s">
        <v>3003</v>
      </c>
      <c r="F503" t="s">
        <v>2241</v>
      </c>
      <c r="G503" s="411" t="s">
        <v>253</v>
      </c>
      <c r="H503">
        <v>2016</v>
      </c>
      <c r="I503" s="413">
        <v>11</v>
      </c>
      <c r="J503" s="413"/>
      <c r="K503" t="s">
        <v>2997</v>
      </c>
      <c r="L503" t="s">
        <v>2196</v>
      </c>
      <c r="O503" s="412">
        <f t="shared" si="22"/>
        <v>0.11</v>
      </c>
      <c r="P503" t="s">
        <v>2196</v>
      </c>
      <c r="T503">
        <v>1</v>
      </c>
      <c r="U503" t="s">
        <v>2887</v>
      </c>
      <c r="V503" t="s">
        <v>2888</v>
      </c>
    </row>
    <row r="504" spans="1:22" s="418" customFormat="1" x14ac:dyDescent="0.25">
      <c r="A504" s="418" t="s">
        <v>2998</v>
      </c>
      <c r="D504" s="418" t="s">
        <v>2664</v>
      </c>
      <c r="E504" s="418" t="s">
        <v>2285</v>
      </c>
      <c r="F504" s="418" t="s">
        <v>2241</v>
      </c>
      <c r="G504" s="419"/>
      <c r="I504" s="428">
        <v>37.020000000000003</v>
      </c>
      <c r="J504" s="428"/>
      <c r="P504" s="418" t="s">
        <v>2911</v>
      </c>
      <c r="Q504" s="426"/>
      <c r="T504" s="418">
        <v>0</v>
      </c>
      <c r="U504" s="418" t="s">
        <v>2851</v>
      </c>
      <c r="V504" s="418" t="s">
        <v>594</v>
      </c>
    </row>
    <row r="505" spans="1:22" x14ac:dyDescent="0.25">
      <c r="A505" t="s">
        <v>3004</v>
      </c>
      <c r="B505" t="s">
        <v>3005</v>
      </c>
      <c r="C505" t="str">
        <f t="shared" si="23"/>
        <v>VC20ET</v>
      </c>
      <c r="D505" t="s">
        <v>2673</v>
      </c>
      <c r="E505" t="s">
        <v>3006</v>
      </c>
      <c r="F505" t="s">
        <v>70</v>
      </c>
      <c r="G505" s="411" t="s">
        <v>156</v>
      </c>
      <c r="H505" t="s">
        <v>3007</v>
      </c>
      <c r="I505" s="413">
        <v>29.07</v>
      </c>
      <c r="J505" s="413"/>
      <c r="K505" t="s">
        <v>2901</v>
      </c>
      <c r="O505" s="412">
        <f>I505/100</f>
        <v>0.29070000000000001</v>
      </c>
      <c r="P505" t="s">
        <v>2911</v>
      </c>
      <c r="T505">
        <v>0</v>
      </c>
      <c r="U505" t="s">
        <v>2851</v>
      </c>
      <c r="V505" t="s">
        <v>594</v>
      </c>
    </row>
    <row r="506" spans="1:22" x14ac:dyDescent="0.25">
      <c r="A506" t="s">
        <v>3004</v>
      </c>
      <c r="B506" t="s">
        <v>3005</v>
      </c>
      <c r="C506" t="str">
        <f t="shared" si="23"/>
        <v>VC20ET04</v>
      </c>
      <c r="E506" t="s">
        <v>3006</v>
      </c>
      <c r="F506" t="s">
        <v>70</v>
      </c>
      <c r="G506" s="411" t="s">
        <v>156</v>
      </c>
      <c r="H506" t="s">
        <v>3007</v>
      </c>
      <c r="I506" s="413">
        <v>30.4</v>
      </c>
      <c r="J506" s="413"/>
      <c r="K506" t="s">
        <v>2901</v>
      </c>
      <c r="O506" s="412">
        <f t="shared" ref="O506:O512" si="24">I506/100</f>
        <v>0.30399999999999999</v>
      </c>
      <c r="P506" t="s">
        <v>2911</v>
      </c>
      <c r="T506">
        <v>1</v>
      </c>
      <c r="U506" t="s">
        <v>2874</v>
      </c>
      <c r="V506" t="s">
        <v>809</v>
      </c>
    </row>
    <row r="507" spans="1:22" x14ac:dyDescent="0.25">
      <c r="A507" t="s">
        <v>3004</v>
      </c>
      <c r="B507" t="s">
        <v>3005</v>
      </c>
      <c r="C507" t="str">
        <f t="shared" si="23"/>
        <v>VC20ET03</v>
      </c>
      <c r="E507" t="s">
        <v>3006</v>
      </c>
      <c r="F507" t="s">
        <v>70</v>
      </c>
      <c r="G507" s="411" t="s">
        <v>156</v>
      </c>
      <c r="H507" t="s">
        <v>3008</v>
      </c>
      <c r="I507" s="413">
        <v>25.9</v>
      </c>
      <c r="J507" s="413"/>
      <c r="K507" t="s">
        <v>2901</v>
      </c>
      <c r="O507" s="412">
        <f t="shared" si="24"/>
        <v>0.25900000000000001</v>
      </c>
      <c r="P507" t="s">
        <v>2911</v>
      </c>
      <c r="T507">
        <v>1</v>
      </c>
      <c r="U507" t="s">
        <v>2873</v>
      </c>
      <c r="V507" t="s">
        <v>805</v>
      </c>
    </row>
    <row r="508" spans="1:22" x14ac:dyDescent="0.25">
      <c r="A508" t="s">
        <v>3004</v>
      </c>
      <c r="B508" t="s">
        <v>3005</v>
      </c>
      <c r="C508" t="str">
        <f t="shared" si="23"/>
        <v>VC20ET07</v>
      </c>
      <c r="E508" t="s">
        <v>3006</v>
      </c>
      <c r="F508" t="s">
        <v>70</v>
      </c>
      <c r="G508" s="411" t="s">
        <v>156</v>
      </c>
      <c r="H508" t="s">
        <v>3007</v>
      </c>
      <c r="I508" s="413">
        <v>33.9</v>
      </c>
      <c r="J508" s="413"/>
      <c r="K508" t="s">
        <v>2901</v>
      </c>
      <c r="O508" s="412">
        <f t="shared" si="24"/>
        <v>0.33899999999999997</v>
      </c>
      <c r="P508" t="s">
        <v>2911</v>
      </c>
      <c r="T508">
        <v>1</v>
      </c>
      <c r="U508" t="s">
        <v>2880</v>
      </c>
      <c r="V508" t="s">
        <v>2881</v>
      </c>
    </row>
    <row r="509" spans="1:22" x14ac:dyDescent="0.25">
      <c r="A509" t="s">
        <v>3004</v>
      </c>
      <c r="B509" t="s">
        <v>3005</v>
      </c>
      <c r="C509" t="str">
        <f t="shared" si="23"/>
        <v>VC20ET01</v>
      </c>
      <c r="E509" t="s">
        <v>3006</v>
      </c>
      <c r="F509" t="s">
        <v>70</v>
      </c>
      <c r="G509" s="411" t="s">
        <v>156</v>
      </c>
      <c r="H509">
        <v>2019</v>
      </c>
      <c r="I509" s="413">
        <v>22.3</v>
      </c>
      <c r="J509" s="413"/>
      <c r="K509" t="s">
        <v>2901</v>
      </c>
      <c r="O509" s="412">
        <f t="shared" si="24"/>
        <v>0.223</v>
      </c>
      <c r="P509" t="s">
        <v>1863</v>
      </c>
      <c r="T509">
        <v>1</v>
      </c>
      <c r="U509" t="s">
        <v>2870</v>
      </c>
      <c r="V509" t="s">
        <v>806</v>
      </c>
    </row>
    <row r="510" spans="1:22" x14ac:dyDescent="0.25">
      <c r="A510" t="s">
        <v>3004</v>
      </c>
      <c r="B510" t="s">
        <v>3005</v>
      </c>
      <c r="C510" t="str">
        <f t="shared" si="23"/>
        <v>VC20ET12</v>
      </c>
      <c r="E510" t="s">
        <v>3006</v>
      </c>
      <c r="F510" t="s">
        <v>70</v>
      </c>
      <c r="G510" s="411" t="s">
        <v>156</v>
      </c>
      <c r="H510">
        <v>2018</v>
      </c>
      <c r="I510" s="413">
        <v>28.6</v>
      </c>
      <c r="J510" s="413"/>
      <c r="K510" t="s">
        <v>2901</v>
      </c>
      <c r="O510" s="412">
        <f t="shared" si="24"/>
        <v>0.28600000000000003</v>
      </c>
      <c r="P510" t="s">
        <v>1863</v>
      </c>
      <c r="T510">
        <v>1</v>
      </c>
      <c r="U510" t="s">
        <v>2882</v>
      </c>
      <c r="V510" t="s">
        <v>2883</v>
      </c>
    </row>
    <row r="511" spans="1:22" x14ac:dyDescent="0.25">
      <c r="A511" t="s">
        <v>3004</v>
      </c>
      <c r="B511" t="s">
        <v>3005</v>
      </c>
      <c r="C511" t="str">
        <f t="shared" si="23"/>
        <v>VC20ET15</v>
      </c>
      <c r="E511" t="s">
        <v>3006</v>
      </c>
      <c r="F511" t="s">
        <v>70</v>
      </c>
      <c r="G511" s="411" t="s">
        <v>156</v>
      </c>
      <c r="H511">
        <v>2018</v>
      </c>
      <c r="I511" s="413">
        <v>18.2</v>
      </c>
      <c r="J511" s="413"/>
      <c r="K511" t="s">
        <v>2901</v>
      </c>
      <c r="O511" s="412">
        <f t="shared" si="24"/>
        <v>0.182</v>
      </c>
      <c r="P511" t="s">
        <v>1863</v>
      </c>
      <c r="T511">
        <v>1</v>
      </c>
      <c r="U511" t="s">
        <v>2887</v>
      </c>
      <c r="V511" t="s">
        <v>2888</v>
      </c>
    </row>
    <row r="512" spans="1:22" x14ac:dyDescent="0.25">
      <c r="A512" t="s">
        <v>3004</v>
      </c>
      <c r="B512" t="s">
        <v>3005</v>
      </c>
      <c r="C512" t="str">
        <f t="shared" si="23"/>
        <v>VC20ET05</v>
      </c>
      <c r="E512" t="s">
        <v>3006</v>
      </c>
      <c r="F512" t="s">
        <v>70</v>
      </c>
      <c r="G512" s="411" t="s">
        <v>156</v>
      </c>
      <c r="H512">
        <v>2016</v>
      </c>
      <c r="I512" s="413">
        <v>18.899999999999999</v>
      </c>
      <c r="J512" s="413"/>
      <c r="K512" t="s">
        <v>2901</v>
      </c>
      <c r="O512" s="412">
        <f t="shared" si="24"/>
        <v>0.18899999999999997</v>
      </c>
      <c r="P512" t="s">
        <v>1863</v>
      </c>
      <c r="T512">
        <v>1</v>
      </c>
      <c r="U512" t="s">
        <v>2875</v>
      </c>
      <c r="V512" t="s">
        <v>2876</v>
      </c>
    </row>
    <row r="513" spans="1:22" x14ac:dyDescent="0.25">
      <c r="A513" t="s">
        <v>2852</v>
      </c>
      <c r="E513" t="s">
        <v>3009</v>
      </c>
      <c r="F513" t="s">
        <v>70</v>
      </c>
      <c r="G513" s="411" t="s">
        <v>2544</v>
      </c>
      <c r="H513">
        <v>2016</v>
      </c>
      <c r="I513" s="413">
        <v>22.4</v>
      </c>
      <c r="J513" s="413"/>
      <c r="L513" t="s">
        <v>1863</v>
      </c>
      <c r="Q513" s="413">
        <f>(I513/I514)^(1/(H513-H514))</f>
        <v>0.96404908699434666</v>
      </c>
      <c r="T513">
        <v>0</v>
      </c>
      <c r="U513" t="s">
        <v>2851</v>
      </c>
      <c r="V513" t="s">
        <v>594</v>
      </c>
    </row>
    <row r="514" spans="1:22" x14ac:dyDescent="0.25">
      <c r="A514" t="s">
        <v>2852</v>
      </c>
      <c r="E514" t="s">
        <v>3009</v>
      </c>
      <c r="F514" t="s">
        <v>70</v>
      </c>
      <c r="G514" s="411" t="s">
        <v>2544</v>
      </c>
      <c r="H514">
        <v>2011</v>
      </c>
      <c r="I514" s="413">
        <v>26.9</v>
      </c>
      <c r="J514" s="413"/>
      <c r="L514" t="s">
        <v>1863</v>
      </c>
      <c r="T514">
        <v>0</v>
      </c>
      <c r="U514" t="s">
        <v>2851</v>
      </c>
      <c r="V514" t="s">
        <v>594</v>
      </c>
    </row>
    <row r="515" spans="1:22" x14ac:dyDescent="0.25">
      <c r="A515" t="s">
        <v>2852</v>
      </c>
      <c r="E515" t="s">
        <v>3009</v>
      </c>
      <c r="F515" t="s">
        <v>70</v>
      </c>
      <c r="G515" s="411" t="s">
        <v>2544</v>
      </c>
      <c r="H515">
        <v>2016</v>
      </c>
      <c r="I515" s="413">
        <v>24.7</v>
      </c>
      <c r="J515" s="413"/>
      <c r="L515" t="s">
        <v>1863</v>
      </c>
      <c r="Q515" s="413">
        <f>(I515/I516)^(1/(H515-H516))</f>
        <v>0.96774468069513997</v>
      </c>
      <c r="T515">
        <v>0.5</v>
      </c>
      <c r="U515" t="s">
        <v>2868</v>
      </c>
      <c r="V515" t="s">
        <v>84</v>
      </c>
    </row>
    <row r="516" spans="1:22" x14ac:dyDescent="0.25">
      <c r="A516" t="s">
        <v>2852</v>
      </c>
      <c r="E516" t="s">
        <v>3009</v>
      </c>
      <c r="F516" t="s">
        <v>70</v>
      </c>
      <c r="G516" s="411" t="s">
        <v>2544</v>
      </c>
      <c r="H516">
        <v>2011</v>
      </c>
      <c r="I516" s="413">
        <v>29.1</v>
      </c>
      <c r="J516" s="413"/>
      <c r="L516" t="s">
        <v>1863</v>
      </c>
      <c r="T516">
        <v>0.5</v>
      </c>
      <c r="U516" t="s">
        <v>2868</v>
      </c>
      <c r="V516" t="s">
        <v>84</v>
      </c>
    </row>
    <row r="517" spans="1:22" x14ac:dyDescent="0.25">
      <c r="A517" t="s">
        <v>2852</v>
      </c>
      <c r="E517" t="s">
        <v>3009</v>
      </c>
      <c r="F517" t="s">
        <v>70</v>
      </c>
      <c r="G517" s="411" t="s">
        <v>2544</v>
      </c>
      <c r="H517">
        <v>2016</v>
      </c>
      <c r="I517" s="413">
        <v>14.8</v>
      </c>
      <c r="J517" s="413"/>
      <c r="L517" t="s">
        <v>1863</v>
      </c>
      <c r="Q517" s="413">
        <f>(I517/I518)^(1/(H517-H518))</f>
        <v>0.94061766709094929</v>
      </c>
      <c r="T517">
        <v>0.5</v>
      </c>
      <c r="U517" t="s">
        <v>2869</v>
      </c>
      <c r="V517" t="s">
        <v>336</v>
      </c>
    </row>
    <row r="518" spans="1:22" x14ac:dyDescent="0.25">
      <c r="A518" t="s">
        <v>2852</v>
      </c>
      <c r="E518" t="s">
        <v>3009</v>
      </c>
      <c r="F518" t="s">
        <v>70</v>
      </c>
      <c r="G518" s="411" t="s">
        <v>2544</v>
      </c>
      <c r="H518">
        <v>2011</v>
      </c>
      <c r="I518" s="413">
        <v>20.100000000000001</v>
      </c>
      <c r="J518" s="413"/>
      <c r="L518" t="s">
        <v>1863</v>
      </c>
      <c r="T518">
        <v>0.5</v>
      </c>
      <c r="U518" t="s">
        <v>2869</v>
      </c>
      <c r="V518" t="s">
        <v>336</v>
      </c>
    </row>
    <row r="519" spans="1:22" x14ac:dyDescent="0.25">
      <c r="A519" t="s">
        <v>2852</v>
      </c>
      <c r="E519" t="s">
        <v>3009</v>
      </c>
      <c r="F519" t="s">
        <v>70</v>
      </c>
      <c r="G519" s="411" t="s">
        <v>2544</v>
      </c>
      <c r="H519">
        <v>2016</v>
      </c>
      <c r="I519" s="413">
        <v>34</v>
      </c>
      <c r="J519" s="413"/>
      <c r="L519" t="s">
        <v>1863</v>
      </c>
      <c r="Q519" s="413">
        <f>(I519/I520)^(1/(H519-H520))</f>
        <v>0.9680187850024814</v>
      </c>
      <c r="T519">
        <v>1</v>
      </c>
      <c r="U519" t="s">
        <v>2870</v>
      </c>
      <c r="V519" t="s">
        <v>806</v>
      </c>
    </row>
    <row r="520" spans="1:22" x14ac:dyDescent="0.25">
      <c r="A520" t="s">
        <v>2852</v>
      </c>
      <c r="E520" t="s">
        <v>3009</v>
      </c>
      <c r="F520" t="s">
        <v>70</v>
      </c>
      <c r="G520" s="411" t="s">
        <v>2544</v>
      </c>
      <c r="H520">
        <v>2011</v>
      </c>
      <c r="I520" s="413">
        <v>40</v>
      </c>
      <c r="J520" s="413"/>
      <c r="L520" t="s">
        <v>1863</v>
      </c>
      <c r="T520">
        <v>1</v>
      </c>
      <c r="U520" t="s">
        <v>2870</v>
      </c>
      <c r="V520" t="s">
        <v>806</v>
      </c>
    </row>
    <row r="521" spans="1:22" x14ac:dyDescent="0.25">
      <c r="A521" t="s">
        <v>2852</v>
      </c>
      <c r="E521" t="s">
        <v>3009</v>
      </c>
      <c r="F521" t="s">
        <v>70</v>
      </c>
      <c r="G521" s="411" t="s">
        <v>2544</v>
      </c>
      <c r="H521">
        <v>2016</v>
      </c>
      <c r="I521" s="413">
        <v>39.1</v>
      </c>
      <c r="J521" s="413"/>
      <c r="L521" t="s">
        <v>1863</v>
      </c>
      <c r="Q521" s="413">
        <f>(I521/I522)^(1/(H521-H522))</f>
        <v>0.97889813274424442</v>
      </c>
      <c r="T521">
        <v>1</v>
      </c>
      <c r="U521" t="s">
        <v>2871</v>
      </c>
      <c r="V521" t="s">
        <v>2948</v>
      </c>
    </row>
    <row r="522" spans="1:22" x14ac:dyDescent="0.25">
      <c r="A522" t="s">
        <v>2852</v>
      </c>
      <c r="E522" t="s">
        <v>3009</v>
      </c>
      <c r="F522" t="s">
        <v>70</v>
      </c>
      <c r="G522" s="411" t="s">
        <v>2544</v>
      </c>
      <c r="H522">
        <v>2011</v>
      </c>
      <c r="I522" s="413">
        <v>43.5</v>
      </c>
      <c r="J522" s="413"/>
      <c r="L522" t="s">
        <v>1863</v>
      </c>
      <c r="T522">
        <v>1</v>
      </c>
      <c r="U522" t="s">
        <v>2871</v>
      </c>
      <c r="V522" t="s">
        <v>2948</v>
      </c>
    </row>
    <row r="523" spans="1:22" x14ac:dyDescent="0.25">
      <c r="A523" t="s">
        <v>2852</v>
      </c>
      <c r="E523" t="s">
        <v>3009</v>
      </c>
      <c r="F523" t="s">
        <v>70</v>
      </c>
      <c r="G523" s="411" t="s">
        <v>2544</v>
      </c>
      <c r="H523">
        <v>2016</v>
      </c>
      <c r="I523" s="413">
        <v>22.9</v>
      </c>
      <c r="J523" s="413"/>
      <c r="L523" t="s">
        <v>1863</v>
      </c>
      <c r="Q523" s="413">
        <f>(I523/I524)^(1/(H523-H524))</f>
        <v>0.94868895339494175</v>
      </c>
      <c r="T523">
        <v>1</v>
      </c>
      <c r="U523" t="s">
        <v>2873</v>
      </c>
      <c r="V523" t="s">
        <v>805</v>
      </c>
    </row>
    <row r="524" spans="1:22" x14ac:dyDescent="0.25">
      <c r="A524" t="s">
        <v>2852</v>
      </c>
      <c r="E524" t="s">
        <v>3009</v>
      </c>
      <c r="F524" t="s">
        <v>70</v>
      </c>
      <c r="G524" s="411" t="s">
        <v>2544</v>
      </c>
      <c r="H524">
        <v>2011</v>
      </c>
      <c r="I524" s="413">
        <v>29.8</v>
      </c>
      <c r="J524" s="413"/>
      <c r="L524" t="s">
        <v>1863</v>
      </c>
      <c r="T524">
        <v>1</v>
      </c>
      <c r="U524" t="s">
        <v>2873</v>
      </c>
      <c r="V524" t="s">
        <v>805</v>
      </c>
    </row>
    <row r="525" spans="1:22" x14ac:dyDescent="0.25">
      <c r="A525" t="s">
        <v>2852</v>
      </c>
      <c r="E525" t="s">
        <v>3009</v>
      </c>
      <c r="F525" t="s">
        <v>70</v>
      </c>
      <c r="G525" s="411" t="s">
        <v>2544</v>
      </c>
      <c r="H525">
        <v>2016</v>
      </c>
      <c r="I525" s="413">
        <v>24.7</v>
      </c>
      <c r="J525" s="413"/>
      <c r="L525" t="s">
        <v>1863</v>
      </c>
      <c r="Q525" s="413">
        <f>(I525/I526)^(1/(H525-H526))</f>
        <v>0.98308016715489566</v>
      </c>
      <c r="T525">
        <v>1</v>
      </c>
      <c r="U525" t="s">
        <v>2874</v>
      </c>
      <c r="V525" t="s">
        <v>809</v>
      </c>
    </row>
    <row r="526" spans="1:22" x14ac:dyDescent="0.25">
      <c r="A526" t="s">
        <v>2852</v>
      </c>
      <c r="E526" t="s">
        <v>3009</v>
      </c>
      <c r="F526" t="s">
        <v>70</v>
      </c>
      <c r="G526" s="411" t="s">
        <v>2544</v>
      </c>
      <c r="H526">
        <v>2011</v>
      </c>
      <c r="I526" s="413">
        <v>26.9</v>
      </c>
      <c r="J526" s="413"/>
      <c r="L526" t="s">
        <v>1863</v>
      </c>
      <c r="T526">
        <v>1</v>
      </c>
      <c r="U526" t="s">
        <v>2874</v>
      </c>
      <c r="V526" t="s">
        <v>809</v>
      </c>
    </row>
    <row r="527" spans="1:22" x14ac:dyDescent="0.25">
      <c r="A527" t="s">
        <v>2852</v>
      </c>
      <c r="E527" t="s">
        <v>3009</v>
      </c>
      <c r="F527" t="s">
        <v>70</v>
      </c>
      <c r="G527" s="411" t="s">
        <v>2544</v>
      </c>
      <c r="H527">
        <v>2016</v>
      </c>
      <c r="I527" s="413">
        <v>31.2</v>
      </c>
      <c r="J527" s="413"/>
      <c r="L527" t="s">
        <v>1863</v>
      </c>
      <c r="Q527" s="413">
        <f>(I527/I528)^(1/(H527-H528))</f>
        <v>0.99065256482025776</v>
      </c>
      <c r="T527">
        <v>1</v>
      </c>
      <c r="U527" t="s">
        <v>2875</v>
      </c>
      <c r="V527" t="s">
        <v>2876</v>
      </c>
    </row>
    <row r="528" spans="1:22" x14ac:dyDescent="0.25">
      <c r="A528" t="s">
        <v>2852</v>
      </c>
      <c r="E528" t="s">
        <v>3009</v>
      </c>
      <c r="F528" t="s">
        <v>70</v>
      </c>
      <c r="G528" s="411" t="s">
        <v>2544</v>
      </c>
      <c r="H528">
        <v>2011</v>
      </c>
      <c r="I528" s="413">
        <v>32.700000000000003</v>
      </c>
      <c r="J528" s="413"/>
      <c r="L528" t="s">
        <v>1863</v>
      </c>
      <c r="T528">
        <v>1</v>
      </c>
      <c r="U528" t="s">
        <v>2875</v>
      </c>
      <c r="V528" t="s">
        <v>2876</v>
      </c>
    </row>
    <row r="529" spans="1:22" x14ac:dyDescent="0.25">
      <c r="A529" t="s">
        <v>2852</v>
      </c>
      <c r="E529" t="s">
        <v>3009</v>
      </c>
      <c r="F529" t="s">
        <v>70</v>
      </c>
      <c r="G529" s="411" t="s">
        <v>2544</v>
      </c>
      <c r="H529">
        <v>2016</v>
      </c>
      <c r="I529" s="413">
        <v>20.100000000000001</v>
      </c>
      <c r="J529" s="413"/>
      <c r="L529" t="s">
        <v>1863</v>
      </c>
      <c r="Q529" s="413">
        <f>(I529/I530)^(1/(H529-H530))</f>
        <v>0.93719562443164539</v>
      </c>
      <c r="T529">
        <v>1</v>
      </c>
      <c r="U529" t="s">
        <v>2878</v>
      </c>
      <c r="V529" t="s">
        <v>2879</v>
      </c>
    </row>
    <row r="530" spans="1:22" x14ac:dyDescent="0.25">
      <c r="A530" t="s">
        <v>2852</v>
      </c>
      <c r="E530" t="s">
        <v>3009</v>
      </c>
      <c r="F530" t="s">
        <v>70</v>
      </c>
      <c r="G530" s="411" t="s">
        <v>2544</v>
      </c>
      <c r="H530">
        <v>2011</v>
      </c>
      <c r="I530" s="413">
        <v>27.8</v>
      </c>
      <c r="J530" s="413"/>
      <c r="L530" t="s">
        <v>1863</v>
      </c>
      <c r="T530">
        <v>1</v>
      </c>
      <c r="U530" t="s">
        <v>2878</v>
      </c>
      <c r="V530" t="s">
        <v>2879</v>
      </c>
    </row>
    <row r="531" spans="1:22" x14ac:dyDescent="0.25">
      <c r="A531" t="s">
        <v>2852</v>
      </c>
      <c r="E531" t="s">
        <v>3009</v>
      </c>
      <c r="F531" t="s">
        <v>70</v>
      </c>
      <c r="G531" s="411" t="s">
        <v>2544</v>
      </c>
      <c r="H531">
        <v>2016</v>
      </c>
      <c r="I531" s="413">
        <v>14.9</v>
      </c>
      <c r="J531" s="413"/>
      <c r="L531" t="s">
        <v>1863</v>
      </c>
      <c r="Q531" s="413">
        <f>(I531/I532)^(1/(H531-H532))</f>
        <v>0.9400220612117699</v>
      </c>
      <c r="T531">
        <v>1</v>
      </c>
      <c r="U531" t="s">
        <v>2880</v>
      </c>
      <c r="V531" t="s">
        <v>2881</v>
      </c>
    </row>
    <row r="532" spans="1:22" x14ac:dyDescent="0.25">
      <c r="A532" t="s">
        <v>2852</v>
      </c>
      <c r="E532" t="s">
        <v>3009</v>
      </c>
      <c r="F532" t="s">
        <v>70</v>
      </c>
      <c r="G532" s="411" t="s">
        <v>2544</v>
      </c>
      <c r="H532">
        <v>2011</v>
      </c>
      <c r="I532" s="413">
        <v>20.3</v>
      </c>
      <c r="J532" s="413"/>
      <c r="L532" t="s">
        <v>1863</v>
      </c>
      <c r="T532">
        <v>1</v>
      </c>
      <c r="U532" t="s">
        <v>2880</v>
      </c>
      <c r="V532" t="s">
        <v>2881</v>
      </c>
    </row>
    <row r="533" spans="1:22" x14ac:dyDescent="0.25">
      <c r="A533" t="s">
        <v>2852</v>
      </c>
      <c r="E533" t="s">
        <v>3009</v>
      </c>
      <c r="F533" t="s">
        <v>70</v>
      </c>
      <c r="G533" s="411" t="s">
        <v>2544</v>
      </c>
      <c r="H533">
        <v>2016</v>
      </c>
      <c r="I533" s="413">
        <v>31.8</v>
      </c>
      <c r="J533" s="413"/>
      <c r="L533" t="s">
        <v>1863</v>
      </c>
      <c r="Q533" s="413">
        <f>(I533/I534)^(1/(H533-H534))</f>
        <v>1.0051088228182226</v>
      </c>
      <c r="T533">
        <v>1</v>
      </c>
      <c r="U533" t="s">
        <v>2882</v>
      </c>
      <c r="V533" t="s">
        <v>2883</v>
      </c>
    </row>
    <row r="534" spans="1:22" x14ac:dyDescent="0.25">
      <c r="A534" t="s">
        <v>2852</v>
      </c>
      <c r="E534" t="s">
        <v>3009</v>
      </c>
      <c r="F534" t="s">
        <v>70</v>
      </c>
      <c r="G534" s="411" t="s">
        <v>2544</v>
      </c>
      <c r="H534">
        <v>2011</v>
      </c>
      <c r="I534" s="413">
        <v>31</v>
      </c>
      <c r="J534" s="413"/>
      <c r="L534" t="s">
        <v>1863</v>
      </c>
      <c r="T534">
        <v>1</v>
      </c>
      <c r="U534" t="s">
        <v>2882</v>
      </c>
      <c r="V534" t="s">
        <v>2883</v>
      </c>
    </row>
    <row r="535" spans="1:22" x14ac:dyDescent="0.25">
      <c r="A535" t="s">
        <v>2852</v>
      </c>
      <c r="E535" t="s">
        <v>3009</v>
      </c>
      <c r="F535" t="s">
        <v>70</v>
      </c>
      <c r="G535" s="411" t="s">
        <v>2544</v>
      </c>
      <c r="H535">
        <v>2016</v>
      </c>
      <c r="I535" s="413">
        <v>21</v>
      </c>
      <c r="J535" s="413"/>
      <c r="L535" t="s">
        <v>1863</v>
      </c>
      <c r="Q535" s="413">
        <f>(I535/I536)^(1/(H535-H536))</f>
        <v>0.98984092145867864</v>
      </c>
      <c r="T535">
        <v>1</v>
      </c>
      <c r="U535" t="s">
        <v>2884</v>
      </c>
      <c r="V535" t="s">
        <v>2885</v>
      </c>
    </row>
    <row r="536" spans="1:22" x14ac:dyDescent="0.25">
      <c r="A536" t="s">
        <v>2852</v>
      </c>
      <c r="E536" t="s">
        <v>3009</v>
      </c>
      <c r="F536" t="s">
        <v>70</v>
      </c>
      <c r="G536" s="411" t="s">
        <v>2544</v>
      </c>
      <c r="H536">
        <v>2011</v>
      </c>
      <c r="I536" s="413">
        <v>22.1</v>
      </c>
      <c r="J536" s="413"/>
      <c r="L536" t="s">
        <v>1863</v>
      </c>
      <c r="T536">
        <v>1</v>
      </c>
      <c r="U536" t="s">
        <v>2884</v>
      </c>
      <c r="V536" t="s">
        <v>2885</v>
      </c>
    </row>
    <row r="537" spans="1:22" x14ac:dyDescent="0.25">
      <c r="A537" t="s">
        <v>2852</v>
      </c>
      <c r="E537" t="s">
        <v>3009</v>
      </c>
      <c r="F537" t="s">
        <v>70</v>
      </c>
      <c r="G537" s="411" t="s">
        <v>2544</v>
      </c>
      <c r="H537">
        <v>2016</v>
      </c>
      <c r="I537" s="413">
        <v>13.4</v>
      </c>
      <c r="J537" s="413"/>
      <c r="L537" t="s">
        <v>1863</v>
      </c>
      <c r="Q537" s="413">
        <f>(I537/I538)^(1/(H537-H538))</f>
        <v>0.98570840843707364</v>
      </c>
      <c r="T537">
        <v>1</v>
      </c>
      <c r="U537" t="s">
        <v>2886</v>
      </c>
      <c r="V537" t="s">
        <v>814</v>
      </c>
    </row>
    <row r="538" spans="1:22" x14ac:dyDescent="0.25">
      <c r="A538" t="s">
        <v>2852</v>
      </c>
      <c r="E538" t="s">
        <v>3009</v>
      </c>
      <c r="F538" t="s">
        <v>70</v>
      </c>
      <c r="G538" s="411" t="s">
        <v>2544</v>
      </c>
      <c r="H538">
        <v>2011</v>
      </c>
      <c r="I538" s="413">
        <v>14.4</v>
      </c>
      <c r="J538" s="413"/>
      <c r="L538" t="s">
        <v>1863</v>
      </c>
      <c r="T538">
        <v>1</v>
      </c>
      <c r="U538" t="s">
        <v>2886</v>
      </c>
      <c r="V538" t="s">
        <v>814</v>
      </c>
    </row>
    <row r="539" spans="1:22" x14ac:dyDescent="0.25">
      <c r="A539" t="s">
        <v>2852</v>
      </c>
      <c r="E539" t="s">
        <v>3009</v>
      </c>
      <c r="F539" t="s">
        <v>70</v>
      </c>
      <c r="G539" s="411" t="s">
        <v>2544</v>
      </c>
      <c r="H539">
        <v>2016</v>
      </c>
      <c r="I539" s="413">
        <v>22.1</v>
      </c>
      <c r="J539" s="413"/>
      <c r="L539" t="s">
        <v>1863</v>
      </c>
      <c r="Q539" s="413">
        <f>(I539/I540)^(1/(H539-H540))</f>
        <v>0.97642431410188335</v>
      </c>
      <c r="T539">
        <v>1</v>
      </c>
      <c r="U539" t="s">
        <v>2887</v>
      </c>
      <c r="V539" t="s">
        <v>2888</v>
      </c>
    </row>
    <row r="540" spans="1:22" x14ac:dyDescent="0.25">
      <c r="A540" t="s">
        <v>2852</v>
      </c>
      <c r="E540" t="s">
        <v>3009</v>
      </c>
      <c r="F540" t="s">
        <v>70</v>
      </c>
      <c r="G540" s="411" t="s">
        <v>2544</v>
      </c>
      <c r="H540">
        <v>2011</v>
      </c>
      <c r="I540" s="413">
        <v>24.9</v>
      </c>
      <c r="J540" s="413"/>
      <c r="L540" t="s">
        <v>1863</v>
      </c>
      <c r="T540">
        <v>1</v>
      </c>
      <c r="U540" t="s">
        <v>2887</v>
      </c>
      <c r="V540" t="s">
        <v>2888</v>
      </c>
    </row>
    <row r="541" spans="1:22" x14ac:dyDescent="0.25">
      <c r="A541" t="s">
        <v>2852</v>
      </c>
      <c r="B541" t="s">
        <v>3010</v>
      </c>
      <c r="C541" t="str">
        <f t="shared" ref="C541" si="25">_xlfn.CONCAT(B541,U541)</f>
        <v>VC21ET</v>
      </c>
      <c r="D541" t="s">
        <v>2623</v>
      </c>
      <c r="E541" t="s">
        <v>2538</v>
      </c>
      <c r="F541" t="s">
        <v>70</v>
      </c>
      <c r="G541" t="s">
        <v>3011</v>
      </c>
      <c r="H541">
        <v>2016</v>
      </c>
      <c r="I541" s="413">
        <v>3.1</v>
      </c>
      <c r="J541" s="413"/>
      <c r="K541" t="s">
        <v>3012</v>
      </c>
      <c r="L541" t="s">
        <v>1863</v>
      </c>
      <c r="O541" s="412">
        <f>I541/100</f>
        <v>3.1E-2</v>
      </c>
      <c r="P541" t="s">
        <v>1863</v>
      </c>
      <c r="Q541" s="422">
        <f>(I541/I542)^(1/(H541-H542))</f>
        <v>1.0439611497901928</v>
      </c>
      <c r="T541">
        <v>0</v>
      </c>
      <c r="U541" t="s">
        <v>2851</v>
      </c>
      <c r="V541" t="s">
        <v>594</v>
      </c>
    </row>
    <row r="542" spans="1:22" x14ac:dyDescent="0.25">
      <c r="A542" t="s">
        <v>2852</v>
      </c>
      <c r="B542" t="s">
        <v>3010</v>
      </c>
      <c r="E542" t="s">
        <v>2538</v>
      </c>
      <c r="F542" t="s">
        <v>70</v>
      </c>
      <c r="G542" t="s">
        <v>3011</v>
      </c>
      <c r="H542">
        <v>2011</v>
      </c>
      <c r="I542" s="413">
        <v>2.5</v>
      </c>
      <c r="J542" s="413"/>
      <c r="K542" t="s">
        <v>3012</v>
      </c>
      <c r="L542" t="s">
        <v>1863</v>
      </c>
      <c r="O542" s="412">
        <f t="shared" ref="O542:O605" si="26">I542/100</f>
        <v>2.5000000000000001E-2</v>
      </c>
      <c r="Q542" s="422">
        <f t="shared" ref="Q542" si="27">(I542/I543)^(1/(H542-H543))</f>
        <v>0.92856554944232006</v>
      </c>
      <c r="T542">
        <v>0</v>
      </c>
      <c r="U542" t="s">
        <v>2851</v>
      </c>
      <c r="V542" t="s">
        <v>594</v>
      </c>
    </row>
    <row r="543" spans="1:22" x14ac:dyDescent="0.25">
      <c r="A543" t="s">
        <v>2852</v>
      </c>
      <c r="B543" t="s">
        <v>3010</v>
      </c>
      <c r="E543" t="s">
        <v>2538</v>
      </c>
      <c r="F543" t="s">
        <v>70</v>
      </c>
      <c r="G543" t="s">
        <v>3011</v>
      </c>
      <c r="H543">
        <v>2005</v>
      </c>
      <c r="I543" s="413">
        <v>3.9</v>
      </c>
      <c r="J543" s="413"/>
      <c r="K543" t="s">
        <v>3012</v>
      </c>
      <c r="L543" t="s">
        <v>1863</v>
      </c>
      <c r="O543" s="412">
        <f t="shared" si="26"/>
        <v>3.9E-2</v>
      </c>
      <c r="Q543" s="422"/>
      <c r="T543">
        <v>0</v>
      </c>
      <c r="U543" t="s">
        <v>2851</v>
      </c>
      <c r="V543" t="s">
        <v>594</v>
      </c>
    </row>
    <row r="544" spans="1:22" x14ac:dyDescent="0.25">
      <c r="A544" t="s">
        <v>2852</v>
      </c>
      <c r="B544" t="s">
        <v>3010</v>
      </c>
      <c r="C544" t="str">
        <f t="shared" ref="C544" si="28">_xlfn.CONCAT(B544,U544)</f>
        <v>VC21ETR</v>
      </c>
      <c r="E544" t="s">
        <v>2538</v>
      </c>
      <c r="F544" t="s">
        <v>70</v>
      </c>
      <c r="G544" t="s">
        <v>3011</v>
      </c>
      <c r="H544">
        <v>2016</v>
      </c>
      <c r="I544" s="413">
        <v>3.3</v>
      </c>
      <c r="J544" s="413"/>
      <c r="K544" t="s">
        <v>3012</v>
      </c>
      <c r="L544" t="s">
        <v>1863</v>
      </c>
      <c r="O544" s="412">
        <f t="shared" si="26"/>
        <v>3.3000000000000002E-2</v>
      </c>
      <c r="Q544" s="422">
        <f>(I544/I545)^(1/(H544-H545))</f>
        <v>1.0488372867840543</v>
      </c>
      <c r="T544">
        <v>0.5</v>
      </c>
      <c r="U544" t="s">
        <v>2868</v>
      </c>
      <c r="V544" t="s">
        <v>84</v>
      </c>
    </row>
    <row r="545" spans="1:22" x14ac:dyDescent="0.25">
      <c r="A545" t="s">
        <v>2852</v>
      </c>
      <c r="B545" t="s">
        <v>3010</v>
      </c>
      <c r="E545" t="s">
        <v>2538</v>
      </c>
      <c r="F545" t="s">
        <v>70</v>
      </c>
      <c r="G545" t="s">
        <v>3011</v>
      </c>
      <c r="H545">
        <v>2011</v>
      </c>
      <c r="I545" s="413">
        <v>2.6</v>
      </c>
      <c r="J545" s="413"/>
      <c r="K545" t="s">
        <v>3012</v>
      </c>
      <c r="L545" t="s">
        <v>1863</v>
      </c>
      <c r="O545" s="412">
        <f t="shared" si="26"/>
        <v>2.6000000000000002E-2</v>
      </c>
      <c r="Q545" s="422">
        <f>(I545/I546)^(1/(H545-H546))</f>
        <v>0.93465526518406716</v>
      </c>
      <c r="T545">
        <v>0.5</v>
      </c>
      <c r="U545" t="s">
        <v>2868</v>
      </c>
      <c r="V545" t="s">
        <v>84</v>
      </c>
    </row>
    <row r="546" spans="1:22" x14ac:dyDescent="0.25">
      <c r="A546" t="s">
        <v>2852</v>
      </c>
      <c r="B546" t="s">
        <v>3010</v>
      </c>
      <c r="E546" t="s">
        <v>2538</v>
      </c>
      <c r="F546" t="s">
        <v>70</v>
      </c>
      <c r="G546" t="s">
        <v>3011</v>
      </c>
      <c r="H546">
        <v>2005</v>
      </c>
      <c r="I546" s="413">
        <v>3.9</v>
      </c>
      <c r="J546" s="413"/>
      <c r="K546" t="s">
        <v>3012</v>
      </c>
      <c r="L546" t="s">
        <v>1863</v>
      </c>
      <c r="O546" s="412">
        <f t="shared" si="26"/>
        <v>3.9E-2</v>
      </c>
      <c r="Q546" s="422"/>
      <c r="T546">
        <v>0.5</v>
      </c>
      <c r="U546" t="s">
        <v>2868</v>
      </c>
      <c r="V546" t="s">
        <v>84</v>
      </c>
    </row>
    <row r="547" spans="1:22" x14ac:dyDescent="0.25">
      <c r="A547" t="s">
        <v>2852</v>
      </c>
      <c r="B547" t="s">
        <v>3010</v>
      </c>
      <c r="C547" t="str">
        <f t="shared" ref="C547" si="29">_xlfn.CONCAT(B547,U547)</f>
        <v>VC21ETU</v>
      </c>
      <c r="E547" t="s">
        <v>2538</v>
      </c>
      <c r="F547" t="s">
        <v>70</v>
      </c>
      <c r="G547" t="s">
        <v>3011</v>
      </c>
      <c r="H547">
        <v>2016</v>
      </c>
      <c r="I547" s="413">
        <v>1.5</v>
      </c>
      <c r="J547" s="413"/>
      <c r="K547" t="s">
        <v>3012</v>
      </c>
      <c r="L547" t="s">
        <v>1863</v>
      </c>
      <c r="O547" s="412">
        <f t="shared" si="26"/>
        <v>1.4999999999999999E-2</v>
      </c>
      <c r="Q547" s="422">
        <f>(I547/I548)^(1/(H547-H548))</f>
        <v>1</v>
      </c>
      <c r="T547">
        <v>0.5</v>
      </c>
      <c r="U547" t="s">
        <v>2869</v>
      </c>
      <c r="V547" t="s">
        <v>336</v>
      </c>
    </row>
    <row r="548" spans="1:22" x14ac:dyDescent="0.25">
      <c r="A548" t="s">
        <v>2852</v>
      </c>
      <c r="B548" t="s">
        <v>3010</v>
      </c>
      <c r="E548" t="s">
        <v>2538</v>
      </c>
      <c r="F548" t="s">
        <v>70</v>
      </c>
      <c r="G548" t="s">
        <v>3011</v>
      </c>
      <c r="H548">
        <v>2011</v>
      </c>
      <c r="I548" s="413">
        <v>1.5</v>
      </c>
      <c r="J548" s="413"/>
      <c r="K548" t="s">
        <v>3012</v>
      </c>
      <c r="L548" t="s">
        <v>1863</v>
      </c>
      <c r="O548" s="412">
        <f t="shared" si="26"/>
        <v>1.4999999999999999E-2</v>
      </c>
      <c r="Q548" s="422">
        <f>(I548/I549)^(1/(H548-H549))</f>
        <v>0.86830146903546912</v>
      </c>
      <c r="T548">
        <v>0.5</v>
      </c>
      <c r="U548" t="s">
        <v>2869</v>
      </c>
      <c r="V548" t="s">
        <v>336</v>
      </c>
    </row>
    <row r="549" spans="1:22" x14ac:dyDescent="0.25">
      <c r="A549" t="s">
        <v>2852</v>
      </c>
      <c r="B549" t="s">
        <v>3010</v>
      </c>
      <c r="E549" t="s">
        <v>2538</v>
      </c>
      <c r="F549" t="s">
        <v>70</v>
      </c>
      <c r="G549" t="s">
        <v>3011</v>
      </c>
      <c r="H549">
        <v>2005</v>
      </c>
      <c r="I549" s="413">
        <v>3.5</v>
      </c>
      <c r="J549" s="413"/>
      <c r="K549" t="s">
        <v>3012</v>
      </c>
      <c r="L549" t="s">
        <v>1863</v>
      </c>
      <c r="O549" s="412">
        <f t="shared" si="26"/>
        <v>3.5000000000000003E-2</v>
      </c>
      <c r="Q549" s="422"/>
      <c r="T549">
        <v>0.5</v>
      </c>
      <c r="U549" t="s">
        <v>2869</v>
      </c>
      <c r="V549" t="s">
        <v>336</v>
      </c>
    </row>
    <row r="550" spans="1:22" x14ac:dyDescent="0.25">
      <c r="A550" t="s">
        <v>2852</v>
      </c>
      <c r="B550" t="s">
        <v>3010</v>
      </c>
      <c r="C550" t="str">
        <f t="shared" ref="C550" si="30">_xlfn.CONCAT(B550,U550)</f>
        <v>VC21ET01</v>
      </c>
      <c r="E550" t="s">
        <v>2538</v>
      </c>
      <c r="F550" t="s">
        <v>70</v>
      </c>
      <c r="G550" t="s">
        <v>3011</v>
      </c>
      <c r="H550">
        <v>2016</v>
      </c>
      <c r="I550" s="413">
        <v>1.5</v>
      </c>
      <c r="J550" s="413"/>
      <c r="K550" t="s">
        <v>3012</v>
      </c>
      <c r="L550" t="s">
        <v>1863</v>
      </c>
      <c r="O550" s="412">
        <f t="shared" si="26"/>
        <v>1.4999999999999999E-2</v>
      </c>
      <c r="Q550" s="422">
        <f>(I550/I551)^(1/(H550-H551))</f>
        <v>0.89582583329619558</v>
      </c>
      <c r="T550">
        <v>1</v>
      </c>
      <c r="U550" t="s">
        <v>2870</v>
      </c>
      <c r="V550" t="s">
        <v>806</v>
      </c>
    </row>
    <row r="551" spans="1:22" x14ac:dyDescent="0.25">
      <c r="A551" t="s">
        <v>2852</v>
      </c>
      <c r="B551" t="s">
        <v>3010</v>
      </c>
      <c r="E551" t="s">
        <v>2538</v>
      </c>
      <c r="F551" t="s">
        <v>70</v>
      </c>
      <c r="G551" t="s">
        <v>3011</v>
      </c>
      <c r="H551">
        <v>2011</v>
      </c>
      <c r="I551" s="413">
        <v>2.6</v>
      </c>
      <c r="J551" s="413"/>
      <c r="K551" t="s">
        <v>3012</v>
      </c>
      <c r="L551" t="s">
        <v>1863</v>
      </c>
      <c r="O551" s="412">
        <f t="shared" si="26"/>
        <v>2.6000000000000002E-2</v>
      </c>
      <c r="Q551" s="422">
        <f>(I551/I552)^(1/(H551-H552))</f>
        <v>0.93871039086108632</v>
      </c>
      <c r="T551">
        <v>1</v>
      </c>
      <c r="U551" t="s">
        <v>2870</v>
      </c>
      <c r="V551" t="s">
        <v>806</v>
      </c>
    </row>
    <row r="552" spans="1:22" x14ac:dyDescent="0.25">
      <c r="A552" t="s">
        <v>2852</v>
      </c>
      <c r="B552" t="s">
        <v>3010</v>
      </c>
      <c r="E552" t="s">
        <v>2538</v>
      </c>
      <c r="F552" t="s">
        <v>70</v>
      </c>
      <c r="G552" t="s">
        <v>3011</v>
      </c>
      <c r="H552">
        <v>2005</v>
      </c>
      <c r="I552" s="413">
        <v>3.8</v>
      </c>
      <c r="J552" s="413"/>
      <c r="K552" t="s">
        <v>3012</v>
      </c>
      <c r="L552" t="s">
        <v>1863</v>
      </c>
      <c r="O552" s="412">
        <f t="shared" si="26"/>
        <v>3.7999999999999999E-2</v>
      </c>
      <c r="Q552" s="422"/>
      <c r="T552">
        <v>1</v>
      </c>
      <c r="U552" t="s">
        <v>2870</v>
      </c>
      <c r="V552" t="s">
        <v>806</v>
      </c>
    </row>
    <row r="553" spans="1:22" x14ac:dyDescent="0.25">
      <c r="A553" t="s">
        <v>2852</v>
      </c>
      <c r="B553" t="s">
        <v>3010</v>
      </c>
      <c r="C553" t="str">
        <f t="shared" ref="C553" si="31">_xlfn.CONCAT(B553,U553)</f>
        <v>VC21ET02</v>
      </c>
      <c r="E553" t="s">
        <v>2538</v>
      </c>
      <c r="F553" t="s">
        <v>70</v>
      </c>
      <c r="G553" t="s">
        <v>3011</v>
      </c>
      <c r="H553">
        <v>2016</v>
      </c>
      <c r="I553" s="413">
        <v>4</v>
      </c>
      <c r="J553" s="413"/>
      <c r="K553" t="s">
        <v>3012</v>
      </c>
      <c r="L553" t="s">
        <v>1863</v>
      </c>
      <c r="O553" s="412">
        <f t="shared" si="26"/>
        <v>0.04</v>
      </c>
      <c r="Q553" s="422">
        <f>(I553/I554)^(1/(H553-H554))</f>
        <v>0.89411296065798118</v>
      </c>
      <c r="T553">
        <v>1</v>
      </c>
      <c r="U553" t="s">
        <v>2871</v>
      </c>
      <c r="V553" t="s">
        <v>2948</v>
      </c>
    </row>
    <row r="554" spans="1:22" x14ac:dyDescent="0.25">
      <c r="A554" t="s">
        <v>2852</v>
      </c>
      <c r="B554" t="s">
        <v>3010</v>
      </c>
      <c r="E554" t="s">
        <v>2538</v>
      </c>
      <c r="F554" t="s">
        <v>70</v>
      </c>
      <c r="G554" t="s">
        <v>3011</v>
      </c>
      <c r="H554">
        <v>2011</v>
      </c>
      <c r="I554" s="413">
        <v>7</v>
      </c>
      <c r="J554" s="413"/>
      <c r="K554" t="s">
        <v>3012</v>
      </c>
      <c r="L554" t="s">
        <v>1863</v>
      </c>
      <c r="O554" s="412">
        <f t="shared" si="26"/>
        <v>7.0000000000000007E-2</v>
      </c>
      <c r="Q554" s="422">
        <f>(I554/I555)^(1/(H554-H555))</f>
        <v>1.0804571817755644</v>
      </c>
      <c r="T554">
        <v>1</v>
      </c>
      <c r="U554" t="s">
        <v>2871</v>
      </c>
      <c r="V554" t="s">
        <v>2948</v>
      </c>
    </row>
    <row r="555" spans="1:22" x14ac:dyDescent="0.25">
      <c r="A555" t="s">
        <v>2852</v>
      </c>
      <c r="B555" t="s">
        <v>3010</v>
      </c>
      <c r="E555" t="s">
        <v>2538</v>
      </c>
      <c r="F555" t="s">
        <v>70</v>
      </c>
      <c r="G555" t="s">
        <v>3011</v>
      </c>
      <c r="H555">
        <v>2005</v>
      </c>
      <c r="I555" s="413">
        <v>4.4000000000000004</v>
      </c>
      <c r="J555" s="413"/>
      <c r="K555" t="s">
        <v>3012</v>
      </c>
      <c r="L555" t="s">
        <v>1863</v>
      </c>
      <c r="O555" s="412">
        <f t="shared" si="26"/>
        <v>4.4000000000000004E-2</v>
      </c>
      <c r="T555">
        <v>1</v>
      </c>
      <c r="U555" t="s">
        <v>2871</v>
      </c>
      <c r="V555" t="s">
        <v>2948</v>
      </c>
    </row>
    <row r="556" spans="1:22" x14ac:dyDescent="0.25">
      <c r="A556" t="s">
        <v>2852</v>
      </c>
      <c r="B556" t="s">
        <v>3010</v>
      </c>
      <c r="C556" t="str">
        <f t="shared" ref="C556" si="32">_xlfn.CONCAT(B556,U556)</f>
        <v>VC21ET03</v>
      </c>
      <c r="E556" t="s">
        <v>2538</v>
      </c>
      <c r="F556" t="s">
        <v>70</v>
      </c>
      <c r="G556" t="s">
        <v>3011</v>
      </c>
      <c r="H556">
        <v>2016</v>
      </c>
      <c r="I556" s="413">
        <v>2.2999999999999998</v>
      </c>
      <c r="J556" s="413"/>
      <c r="K556" t="s">
        <v>3012</v>
      </c>
      <c r="L556" t="s">
        <v>1863</v>
      </c>
      <c r="O556" s="412">
        <f t="shared" si="26"/>
        <v>2.3E-2</v>
      </c>
      <c r="Q556" s="422">
        <f>(I556/I557)^(1/(H556-H557))</f>
        <v>1.1589562187541786</v>
      </c>
      <c r="T556">
        <v>1</v>
      </c>
      <c r="U556" t="s">
        <v>2873</v>
      </c>
      <c r="V556" t="s">
        <v>805</v>
      </c>
    </row>
    <row r="557" spans="1:22" x14ac:dyDescent="0.25">
      <c r="A557" t="s">
        <v>2852</v>
      </c>
      <c r="B557" t="s">
        <v>3010</v>
      </c>
      <c r="E557" t="s">
        <v>2538</v>
      </c>
      <c r="F557" t="s">
        <v>70</v>
      </c>
      <c r="G557" t="s">
        <v>3011</v>
      </c>
      <c r="H557">
        <v>2011</v>
      </c>
      <c r="I557" s="413">
        <v>1.1000000000000001</v>
      </c>
      <c r="J557" s="413"/>
      <c r="K557" t="s">
        <v>3012</v>
      </c>
      <c r="L557" t="s">
        <v>1863</v>
      </c>
      <c r="O557" s="412">
        <f t="shared" si="26"/>
        <v>1.1000000000000001E-2</v>
      </c>
      <c r="Q557" s="422">
        <f>(I557/I558)^(1/(H557-H558))</f>
        <v>0.76706674365469041</v>
      </c>
      <c r="T557">
        <v>1</v>
      </c>
      <c r="U557" t="s">
        <v>2873</v>
      </c>
      <c r="V557" t="s">
        <v>805</v>
      </c>
    </row>
    <row r="558" spans="1:22" x14ac:dyDescent="0.25">
      <c r="A558" t="s">
        <v>2852</v>
      </c>
      <c r="B558" t="s">
        <v>3010</v>
      </c>
      <c r="E558" t="s">
        <v>2538</v>
      </c>
      <c r="F558" t="s">
        <v>70</v>
      </c>
      <c r="G558" t="s">
        <v>3011</v>
      </c>
      <c r="H558">
        <v>2005</v>
      </c>
      <c r="I558" s="413">
        <v>5.4</v>
      </c>
      <c r="J558" s="413"/>
      <c r="K558" t="s">
        <v>3012</v>
      </c>
      <c r="L558" t="s">
        <v>1863</v>
      </c>
      <c r="O558" s="412">
        <f t="shared" si="26"/>
        <v>5.4000000000000006E-2</v>
      </c>
      <c r="T558">
        <v>1</v>
      </c>
      <c r="U558" t="s">
        <v>2873</v>
      </c>
      <c r="V558" t="s">
        <v>805</v>
      </c>
    </row>
    <row r="559" spans="1:22" x14ac:dyDescent="0.25">
      <c r="A559" t="s">
        <v>2852</v>
      </c>
      <c r="B559" t="s">
        <v>3010</v>
      </c>
      <c r="C559" t="str">
        <f t="shared" ref="C559" si="33">_xlfn.CONCAT(B559,U559)</f>
        <v>VC21ET04</v>
      </c>
      <c r="E559" t="s">
        <v>2538</v>
      </c>
      <c r="F559" t="s">
        <v>70</v>
      </c>
      <c r="G559" t="s">
        <v>3011</v>
      </c>
      <c r="H559">
        <v>2016</v>
      </c>
      <c r="I559" s="413">
        <v>3.8</v>
      </c>
      <c r="J559" s="413"/>
      <c r="K559" t="s">
        <v>3012</v>
      </c>
      <c r="L559" t="s">
        <v>1863</v>
      </c>
      <c r="O559" s="412">
        <f t="shared" si="26"/>
        <v>3.7999999999999999E-2</v>
      </c>
      <c r="Q559" s="422">
        <f>(I559/I560)^(1/(H559-H560))</f>
        <v>1.0053478986466833</v>
      </c>
      <c r="T559">
        <v>1</v>
      </c>
      <c r="U559" t="s">
        <v>2874</v>
      </c>
      <c r="V559" t="s">
        <v>809</v>
      </c>
    </row>
    <row r="560" spans="1:22" x14ac:dyDescent="0.25">
      <c r="A560" t="s">
        <v>2852</v>
      </c>
      <c r="B560" t="s">
        <v>3010</v>
      </c>
      <c r="E560" t="s">
        <v>2538</v>
      </c>
      <c r="F560" t="s">
        <v>70</v>
      </c>
      <c r="G560" t="s">
        <v>3011</v>
      </c>
      <c r="H560">
        <v>2011</v>
      </c>
      <c r="I560" s="413">
        <v>3.7</v>
      </c>
      <c r="J560" s="413"/>
      <c r="K560" t="s">
        <v>3012</v>
      </c>
      <c r="L560" t="s">
        <v>1863</v>
      </c>
      <c r="O560" s="412">
        <f t="shared" si="26"/>
        <v>3.7000000000000005E-2</v>
      </c>
      <c r="Q560" s="422">
        <f>(I560/I561)^(1/(H560-H561))</f>
        <v>1.0093046635787797</v>
      </c>
      <c r="T560">
        <v>1</v>
      </c>
      <c r="U560" t="s">
        <v>2874</v>
      </c>
      <c r="V560" t="s">
        <v>809</v>
      </c>
    </row>
    <row r="561" spans="1:22" x14ac:dyDescent="0.25">
      <c r="A561" t="s">
        <v>2852</v>
      </c>
      <c r="B561" t="s">
        <v>3010</v>
      </c>
      <c r="E561" t="s">
        <v>2538</v>
      </c>
      <c r="F561" t="s">
        <v>70</v>
      </c>
      <c r="G561" t="s">
        <v>3011</v>
      </c>
      <c r="H561">
        <v>2005</v>
      </c>
      <c r="I561" s="413">
        <v>3.5</v>
      </c>
      <c r="J561" s="413"/>
      <c r="K561" t="s">
        <v>3012</v>
      </c>
      <c r="L561" t="s">
        <v>1863</v>
      </c>
      <c r="O561" s="412">
        <f t="shared" si="26"/>
        <v>3.5000000000000003E-2</v>
      </c>
      <c r="T561">
        <v>1</v>
      </c>
      <c r="U561" t="s">
        <v>2874</v>
      </c>
      <c r="V561" t="s">
        <v>809</v>
      </c>
    </row>
    <row r="562" spans="1:22" x14ac:dyDescent="0.25">
      <c r="A562" t="s">
        <v>2852</v>
      </c>
      <c r="B562" t="s">
        <v>3010</v>
      </c>
      <c r="C562" t="str">
        <f t="shared" ref="C562" si="34">_xlfn.CONCAT(B562,U562)</f>
        <v>VC21ET05</v>
      </c>
      <c r="E562" t="s">
        <v>2538</v>
      </c>
      <c r="F562" t="s">
        <v>70</v>
      </c>
      <c r="G562" t="s">
        <v>3011</v>
      </c>
      <c r="H562">
        <v>2016</v>
      </c>
      <c r="I562" s="413">
        <v>12.8</v>
      </c>
      <c r="J562" s="413"/>
      <c r="K562" t="s">
        <v>3012</v>
      </c>
      <c r="L562" t="s">
        <v>1863</v>
      </c>
      <c r="O562" s="412">
        <f t="shared" si="26"/>
        <v>0.128</v>
      </c>
      <c r="Q562" s="422">
        <f>(I562/I563)^(1/(H562-H563))</f>
        <v>1.0729846079997674</v>
      </c>
      <c r="T562">
        <v>1</v>
      </c>
      <c r="U562" t="s">
        <v>2875</v>
      </c>
      <c r="V562" t="s">
        <v>2876</v>
      </c>
    </row>
    <row r="563" spans="1:22" x14ac:dyDescent="0.25">
      <c r="A563" t="s">
        <v>2852</v>
      </c>
      <c r="B563" t="s">
        <v>3010</v>
      </c>
      <c r="E563" t="s">
        <v>2538</v>
      </c>
      <c r="F563" t="s">
        <v>70</v>
      </c>
      <c r="G563" t="s">
        <v>3011</v>
      </c>
      <c r="H563">
        <v>2011</v>
      </c>
      <c r="I563" s="413">
        <v>9</v>
      </c>
      <c r="J563" s="413"/>
      <c r="K563" t="s">
        <v>3012</v>
      </c>
      <c r="L563" t="s">
        <v>1863</v>
      </c>
      <c r="O563" s="412">
        <f t="shared" si="26"/>
        <v>0.09</v>
      </c>
      <c r="Q563" s="422">
        <f>(I563/I564)^(1/(H563-H564))</f>
        <v>0.92790582161493895</v>
      </c>
      <c r="T563">
        <v>1</v>
      </c>
      <c r="U563" t="s">
        <v>2875</v>
      </c>
      <c r="V563" t="s">
        <v>2876</v>
      </c>
    </row>
    <row r="564" spans="1:22" x14ac:dyDescent="0.25">
      <c r="A564" t="s">
        <v>2852</v>
      </c>
      <c r="B564" t="s">
        <v>3010</v>
      </c>
      <c r="E564" t="s">
        <v>2538</v>
      </c>
      <c r="F564" t="s">
        <v>70</v>
      </c>
      <c r="G564" t="s">
        <v>3011</v>
      </c>
      <c r="H564">
        <v>2005</v>
      </c>
      <c r="I564" s="413">
        <v>14.1</v>
      </c>
      <c r="J564" s="413"/>
      <c r="K564" t="s">
        <v>3012</v>
      </c>
      <c r="L564" t="s">
        <v>1863</v>
      </c>
      <c r="O564" s="412">
        <f t="shared" si="26"/>
        <v>0.14099999999999999</v>
      </c>
      <c r="T564">
        <v>1</v>
      </c>
      <c r="U564" t="s">
        <v>2875</v>
      </c>
      <c r="V564" t="s">
        <v>2876</v>
      </c>
    </row>
    <row r="565" spans="1:22" x14ac:dyDescent="0.25">
      <c r="A565" t="s">
        <v>2852</v>
      </c>
      <c r="B565" t="s">
        <v>3010</v>
      </c>
      <c r="C565" t="str">
        <f t="shared" ref="C565" si="35">_xlfn.CONCAT(B565,U565)</f>
        <v>VC21ET06</v>
      </c>
      <c r="E565" t="s">
        <v>2538</v>
      </c>
      <c r="F565" t="s">
        <v>70</v>
      </c>
      <c r="G565" t="s">
        <v>3011</v>
      </c>
      <c r="H565">
        <v>2016</v>
      </c>
      <c r="I565" s="413">
        <v>0.7</v>
      </c>
      <c r="J565" s="413"/>
      <c r="K565" t="s">
        <v>3012</v>
      </c>
      <c r="L565" t="s">
        <v>1863</v>
      </c>
      <c r="O565" s="412">
        <f t="shared" si="26"/>
        <v>6.9999999999999993E-3</v>
      </c>
      <c r="Q565" s="422">
        <f>(I565/I566)^(1/(H565-H566))</f>
        <v>0.82787564608120667</v>
      </c>
      <c r="T565">
        <v>1</v>
      </c>
      <c r="U565" t="s">
        <v>2878</v>
      </c>
      <c r="V565" t="s">
        <v>2879</v>
      </c>
    </row>
    <row r="566" spans="1:22" x14ac:dyDescent="0.25">
      <c r="A566" t="s">
        <v>2852</v>
      </c>
      <c r="B566" t="s">
        <v>3010</v>
      </c>
      <c r="E566" t="s">
        <v>2538</v>
      </c>
      <c r="F566" t="s">
        <v>70</v>
      </c>
      <c r="G566" t="s">
        <v>3011</v>
      </c>
      <c r="H566">
        <v>2011</v>
      </c>
      <c r="I566" s="413">
        <v>1.8</v>
      </c>
      <c r="J566" s="413"/>
      <c r="K566" t="s">
        <v>3012</v>
      </c>
      <c r="L566" t="s">
        <v>1863</v>
      </c>
      <c r="O566" s="412">
        <f t="shared" si="26"/>
        <v>1.8000000000000002E-2</v>
      </c>
      <c r="Q566" s="422">
        <f>(I566/I567)^(1/(H566-H567))</f>
        <v>0.86159526736161285</v>
      </c>
      <c r="T566">
        <v>1</v>
      </c>
      <c r="U566" t="s">
        <v>2878</v>
      </c>
      <c r="V566" t="s">
        <v>2879</v>
      </c>
    </row>
    <row r="567" spans="1:22" x14ac:dyDescent="0.25">
      <c r="A567" t="s">
        <v>2852</v>
      </c>
      <c r="B567" t="s">
        <v>3010</v>
      </c>
      <c r="E567" t="s">
        <v>2538</v>
      </c>
      <c r="F567" t="s">
        <v>70</v>
      </c>
      <c r="G567" t="s">
        <v>3011</v>
      </c>
      <c r="H567">
        <v>2005</v>
      </c>
      <c r="I567" s="413">
        <v>4.4000000000000004</v>
      </c>
      <c r="J567" s="413"/>
      <c r="K567" t="s">
        <v>3012</v>
      </c>
      <c r="L567" t="s">
        <v>1863</v>
      </c>
      <c r="O567" s="412">
        <f t="shared" si="26"/>
        <v>4.4000000000000004E-2</v>
      </c>
      <c r="T567">
        <v>1</v>
      </c>
      <c r="U567" t="s">
        <v>2878</v>
      </c>
      <c r="V567" t="s">
        <v>2879</v>
      </c>
    </row>
    <row r="568" spans="1:22" x14ac:dyDescent="0.25">
      <c r="A568" t="s">
        <v>2852</v>
      </c>
      <c r="B568" t="s">
        <v>3010</v>
      </c>
      <c r="C568" t="str">
        <f t="shared" ref="C568" si="36">_xlfn.CONCAT(B568,U568)</f>
        <v>VC21ET07</v>
      </c>
      <c r="E568" t="s">
        <v>2538</v>
      </c>
      <c r="F568" t="s">
        <v>70</v>
      </c>
      <c r="G568" t="s">
        <v>3011</v>
      </c>
      <c r="H568">
        <v>2016</v>
      </c>
      <c r="I568" s="413">
        <v>1.4</v>
      </c>
      <c r="J568" s="413"/>
      <c r="K568" t="s">
        <v>3012</v>
      </c>
      <c r="L568" t="s">
        <v>1863</v>
      </c>
      <c r="O568" s="412">
        <f t="shared" si="26"/>
        <v>1.3999999999999999E-2</v>
      </c>
      <c r="Q568" s="422">
        <f>(I568/I569)^(1/(H568-H569))</f>
        <v>1.2286596790831472</v>
      </c>
      <c r="T568">
        <v>1</v>
      </c>
      <c r="U568" t="s">
        <v>2880</v>
      </c>
      <c r="V568" t="s">
        <v>2881</v>
      </c>
    </row>
    <row r="569" spans="1:22" x14ac:dyDescent="0.25">
      <c r="A569" t="s">
        <v>2852</v>
      </c>
      <c r="B569" t="s">
        <v>3010</v>
      </c>
      <c r="E569" t="s">
        <v>2538</v>
      </c>
      <c r="F569" t="s">
        <v>70</v>
      </c>
      <c r="G569" t="s">
        <v>3011</v>
      </c>
      <c r="H569">
        <v>2011</v>
      </c>
      <c r="I569" s="413">
        <v>0.5</v>
      </c>
      <c r="J569" s="413"/>
      <c r="K569" t="s">
        <v>3012</v>
      </c>
      <c r="L569" t="s">
        <v>1863</v>
      </c>
      <c r="O569" s="412">
        <f t="shared" si="26"/>
        <v>5.0000000000000001E-3</v>
      </c>
      <c r="Q569" s="422">
        <f>(I569/I570)^(1/(H569-H570))</f>
        <v>0.79370052598409979</v>
      </c>
      <c r="T569">
        <v>1</v>
      </c>
      <c r="U569" t="s">
        <v>2880</v>
      </c>
      <c r="V569" t="s">
        <v>2881</v>
      </c>
    </row>
    <row r="570" spans="1:22" x14ac:dyDescent="0.25">
      <c r="A570" t="s">
        <v>2852</v>
      </c>
      <c r="B570" t="s">
        <v>3010</v>
      </c>
      <c r="E570" t="s">
        <v>2538</v>
      </c>
      <c r="F570" t="s">
        <v>70</v>
      </c>
      <c r="G570" t="s">
        <v>3011</v>
      </c>
      <c r="H570">
        <v>2005</v>
      </c>
      <c r="I570" s="413">
        <v>2</v>
      </c>
      <c r="J570" s="413"/>
      <c r="K570" t="s">
        <v>3012</v>
      </c>
      <c r="L570" t="s">
        <v>1863</v>
      </c>
      <c r="O570" s="412">
        <f t="shared" si="26"/>
        <v>0.02</v>
      </c>
      <c r="T570">
        <v>1</v>
      </c>
      <c r="U570" t="s">
        <v>2880</v>
      </c>
      <c r="V570" t="s">
        <v>2881</v>
      </c>
    </row>
    <row r="571" spans="1:22" x14ac:dyDescent="0.25">
      <c r="A571" t="s">
        <v>2852</v>
      </c>
      <c r="B571" t="s">
        <v>3010</v>
      </c>
      <c r="C571" t="str">
        <f t="shared" ref="C571" si="37">_xlfn.CONCAT(B571,U571)</f>
        <v>VC21ET12</v>
      </c>
      <c r="E571" t="s">
        <v>2538</v>
      </c>
      <c r="F571" t="s">
        <v>70</v>
      </c>
      <c r="G571" t="s">
        <v>3011</v>
      </c>
      <c r="H571">
        <v>2016</v>
      </c>
      <c r="I571" s="413">
        <v>0.7</v>
      </c>
      <c r="J571" s="413"/>
      <c r="K571" t="s">
        <v>3012</v>
      </c>
      <c r="L571" t="s">
        <v>1863</v>
      </c>
      <c r="O571" s="412">
        <f t="shared" si="26"/>
        <v>6.9999999999999993E-3</v>
      </c>
      <c r="Q571" s="422">
        <f>(I571/I572)^(1/(H571-H572))</f>
        <v>0.7752318483841889</v>
      </c>
      <c r="T571">
        <v>1</v>
      </c>
      <c r="U571" t="s">
        <v>2882</v>
      </c>
      <c r="V571" t="s">
        <v>2883</v>
      </c>
    </row>
    <row r="572" spans="1:22" x14ac:dyDescent="0.25">
      <c r="A572" t="s">
        <v>2852</v>
      </c>
      <c r="B572" t="s">
        <v>3010</v>
      </c>
      <c r="E572" t="s">
        <v>2538</v>
      </c>
      <c r="F572" t="s">
        <v>70</v>
      </c>
      <c r="G572" t="s">
        <v>3011</v>
      </c>
      <c r="H572">
        <v>2011</v>
      </c>
      <c r="I572" s="413">
        <v>2.5</v>
      </c>
      <c r="J572" s="413"/>
      <c r="K572" t="s">
        <v>3012</v>
      </c>
      <c r="L572" t="s">
        <v>1863</v>
      </c>
      <c r="O572" s="412">
        <f t="shared" si="26"/>
        <v>2.5000000000000001E-2</v>
      </c>
      <c r="Q572" s="422">
        <f>(I572/I573)^(1/(H572-H573))</f>
        <v>0.92465559714866186</v>
      </c>
      <c r="T572">
        <v>1</v>
      </c>
      <c r="U572" t="s">
        <v>2882</v>
      </c>
      <c r="V572" t="s">
        <v>2883</v>
      </c>
    </row>
    <row r="573" spans="1:22" x14ac:dyDescent="0.25">
      <c r="A573" t="s">
        <v>2852</v>
      </c>
      <c r="B573" t="s">
        <v>3010</v>
      </c>
      <c r="E573" t="s">
        <v>2538</v>
      </c>
      <c r="F573" t="s">
        <v>70</v>
      </c>
      <c r="G573" t="s">
        <v>3011</v>
      </c>
      <c r="H573">
        <v>2005</v>
      </c>
      <c r="I573" s="413">
        <v>4</v>
      </c>
      <c r="J573" s="413"/>
      <c r="K573" t="s">
        <v>3012</v>
      </c>
      <c r="L573" t="s">
        <v>1863</v>
      </c>
      <c r="O573" s="412">
        <f t="shared" si="26"/>
        <v>0.04</v>
      </c>
      <c r="T573">
        <v>1</v>
      </c>
      <c r="U573" t="s">
        <v>2882</v>
      </c>
      <c r="V573" t="s">
        <v>2883</v>
      </c>
    </row>
    <row r="574" spans="1:22" x14ac:dyDescent="0.25">
      <c r="A574" t="s">
        <v>2852</v>
      </c>
      <c r="B574" t="s">
        <v>3010</v>
      </c>
      <c r="C574" t="str">
        <f t="shared" ref="C574" si="38">_xlfn.CONCAT(B574,U574)</f>
        <v>VC21ET13</v>
      </c>
      <c r="E574" t="s">
        <v>2538</v>
      </c>
      <c r="F574" t="s">
        <v>70</v>
      </c>
      <c r="G574" t="s">
        <v>3011</v>
      </c>
      <c r="H574">
        <v>2016</v>
      </c>
      <c r="I574" s="413">
        <v>5.6</v>
      </c>
      <c r="J574" s="413"/>
      <c r="K574" t="s">
        <v>3012</v>
      </c>
      <c r="L574" t="s">
        <v>1863</v>
      </c>
      <c r="O574" s="412">
        <f t="shared" si="26"/>
        <v>5.5999999999999994E-2</v>
      </c>
      <c r="Q574" s="422">
        <f>(I574/I575)^(1/(H574-H575))</f>
        <v>1.194791263178075</v>
      </c>
      <c r="T574">
        <v>1</v>
      </c>
      <c r="U574" t="s">
        <v>2884</v>
      </c>
      <c r="V574" t="s">
        <v>2885</v>
      </c>
    </row>
    <row r="575" spans="1:22" x14ac:dyDescent="0.25">
      <c r="A575" t="s">
        <v>2852</v>
      </c>
      <c r="B575" t="s">
        <v>3010</v>
      </c>
      <c r="E575" t="s">
        <v>2538</v>
      </c>
      <c r="F575" t="s">
        <v>70</v>
      </c>
      <c r="G575" t="s">
        <v>3011</v>
      </c>
      <c r="H575">
        <v>2011</v>
      </c>
      <c r="I575" s="413">
        <v>2.2999999999999998</v>
      </c>
      <c r="J575" s="413"/>
      <c r="K575" t="s">
        <v>3012</v>
      </c>
      <c r="L575" t="s">
        <v>1863</v>
      </c>
      <c r="O575" s="412">
        <f t="shared" si="26"/>
        <v>2.3E-2</v>
      </c>
      <c r="Q575" s="422">
        <f>(I575/I576)^(1/(H575-H576))</f>
        <v>0.95146837344578994</v>
      </c>
      <c r="T575">
        <v>1</v>
      </c>
      <c r="U575" t="s">
        <v>2884</v>
      </c>
      <c r="V575" t="s">
        <v>2885</v>
      </c>
    </row>
    <row r="576" spans="1:22" x14ac:dyDescent="0.25">
      <c r="A576" t="s">
        <v>2852</v>
      </c>
      <c r="B576" t="s">
        <v>3010</v>
      </c>
      <c r="E576" t="s">
        <v>2538</v>
      </c>
      <c r="F576" t="s">
        <v>70</v>
      </c>
      <c r="G576" t="s">
        <v>3011</v>
      </c>
      <c r="H576">
        <v>2005</v>
      </c>
      <c r="I576" s="413">
        <v>3.1</v>
      </c>
      <c r="J576" s="413"/>
      <c r="K576" t="s">
        <v>3012</v>
      </c>
      <c r="L576" t="s">
        <v>1863</v>
      </c>
      <c r="O576" s="412">
        <f t="shared" si="26"/>
        <v>3.1E-2</v>
      </c>
      <c r="T576">
        <v>1</v>
      </c>
      <c r="U576" t="s">
        <v>2884</v>
      </c>
      <c r="V576" t="s">
        <v>2885</v>
      </c>
    </row>
    <row r="577" spans="1:22" x14ac:dyDescent="0.25">
      <c r="A577" t="s">
        <v>2852</v>
      </c>
      <c r="B577" t="s">
        <v>3010</v>
      </c>
      <c r="C577" t="str">
        <f t="shared" ref="C577" si="39">_xlfn.CONCAT(B577,U577)</f>
        <v>VC21ET14</v>
      </c>
      <c r="E577" t="s">
        <v>2538</v>
      </c>
      <c r="F577" t="s">
        <v>70</v>
      </c>
      <c r="G577" t="s">
        <v>3011</v>
      </c>
      <c r="H577">
        <v>2016</v>
      </c>
      <c r="I577" s="413">
        <v>1.8</v>
      </c>
      <c r="J577" s="413"/>
      <c r="K577" t="s">
        <v>3012</v>
      </c>
      <c r="L577" t="s">
        <v>1863</v>
      </c>
      <c r="O577" s="412">
        <f t="shared" si="26"/>
        <v>1.8000000000000002E-2</v>
      </c>
      <c r="Q577" s="422">
        <f>(I577/I578)^(1/(H577-H578))</f>
        <v>1.1247461131420948</v>
      </c>
      <c r="T577">
        <v>1</v>
      </c>
      <c r="U577" t="s">
        <v>2886</v>
      </c>
      <c r="V577" t="s">
        <v>814</v>
      </c>
    </row>
    <row r="578" spans="1:22" x14ac:dyDescent="0.25">
      <c r="A578" t="s">
        <v>2852</v>
      </c>
      <c r="B578" t="s">
        <v>3010</v>
      </c>
      <c r="E578" t="s">
        <v>2538</v>
      </c>
      <c r="F578" t="s">
        <v>70</v>
      </c>
      <c r="G578" t="s">
        <v>3011</v>
      </c>
      <c r="H578">
        <v>2011</v>
      </c>
      <c r="I578" s="413">
        <v>1</v>
      </c>
      <c r="J578" s="413"/>
      <c r="K578" t="s">
        <v>3012</v>
      </c>
      <c r="L578" t="s">
        <v>1863</v>
      </c>
      <c r="O578" s="412">
        <f t="shared" si="26"/>
        <v>0.01</v>
      </c>
      <c r="Q578" s="422">
        <f>(I578/I579)^(1/(H578-H579))</f>
        <v>0.79370052598409979</v>
      </c>
      <c r="T578">
        <v>1</v>
      </c>
      <c r="U578" t="s">
        <v>2886</v>
      </c>
      <c r="V578" t="s">
        <v>814</v>
      </c>
    </row>
    <row r="579" spans="1:22" x14ac:dyDescent="0.25">
      <c r="A579" t="s">
        <v>2852</v>
      </c>
      <c r="B579" t="s">
        <v>3010</v>
      </c>
      <c r="E579" t="s">
        <v>2538</v>
      </c>
      <c r="F579" t="s">
        <v>70</v>
      </c>
      <c r="G579" t="s">
        <v>3011</v>
      </c>
      <c r="H579">
        <v>2005</v>
      </c>
      <c r="I579" s="413">
        <v>4</v>
      </c>
      <c r="J579" s="413"/>
      <c r="K579" t="s">
        <v>3012</v>
      </c>
      <c r="L579" t="s">
        <v>1863</v>
      </c>
      <c r="O579" s="412">
        <f t="shared" si="26"/>
        <v>0.04</v>
      </c>
      <c r="T579">
        <v>1</v>
      </c>
      <c r="U579" t="s">
        <v>2886</v>
      </c>
      <c r="V579" t="s">
        <v>814</v>
      </c>
    </row>
    <row r="580" spans="1:22" x14ac:dyDescent="0.25">
      <c r="A580" t="s">
        <v>2852</v>
      </c>
      <c r="B580" t="s">
        <v>3010</v>
      </c>
      <c r="C580" t="str">
        <f t="shared" ref="C580" si="40">_xlfn.CONCAT(B580,U580)</f>
        <v>VC21ET15</v>
      </c>
      <c r="E580" t="s">
        <v>2538</v>
      </c>
      <c r="F580" t="s">
        <v>70</v>
      </c>
      <c r="G580" t="s">
        <v>3011</v>
      </c>
      <c r="H580">
        <v>2016</v>
      </c>
      <c r="I580" s="413">
        <v>9.3000000000000007</v>
      </c>
      <c r="J580" s="413"/>
      <c r="K580" t="s">
        <v>3012</v>
      </c>
      <c r="L580" t="s">
        <v>1863</v>
      </c>
      <c r="O580" s="412">
        <f t="shared" si="26"/>
        <v>9.3000000000000013E-2</v>
      </c>
      <c r="Q580" s="422">
        <f>(I580/I581)^(1/(H580-H581))</f>
        <v>0.98169494647415401</v>
      </c>
      <c r="T580">
        <v>1</v>
      </c>
      <c r="U580" t="s">
        <v>2887</v>
      </c>
      <c r="V580" t="s">
        <v>2888</v>
      </c>
    </row>
    <row r="581" spans="1:22" x14ac:dyDescent="0.25">
      <c r="A581" t="s">
        <v>2852</v>
      </c>
      <c r="B581" t="s">
        <v>3010</v>
      </c>
      <c r="E581" t="s">
        <v>2538</v>
      </c>
      <c r="F581" t="s">
        <v>70</v>
      </c>
      <c r="G581" t="s">
        <v>3011</v>
      </c>
      <c r="H581">
        <v>2011</v>
      </c>
      <c r="I581" s="413">
        <v>10.199999999999999</v>
      </c>
      <c r="J581" s="413"/>
      <c r="K581" t="s">
        <v>3012</v>
      </c>
      <c r="L581" t="s">
        <v>1863</v>
      </c>
      <c r="O581" s="412">
        <f t="shared" si="26"/>
        <v>0.10199999999999999</v>
      </c>
      <c r="Q581" s="422">
        <f>(I581/I582)^(1/(H581-H582))</f>
        <v>0.98020531988022463</v>
      </c>
      <c r="T581">
        <v>1</v>
      </c>
      <c r="U581" t="s">
        <v>2887</v>
      </c>
      <c r="V581" t="s">
        <v>2888</v>
      </c>
    </row>
    <row r="582" spans="1:22" x14ac:dyDescent="0.25">
      <c r="A582" t="s">
        <v>2852</v>
      </c>
      <c r="B582" t="s">
        <v>3010</v>
      </c>
      <c r="E582" t="s">
        <v>2538</v>
      </c>
      <c r="F582" t="s">
        <v>70</v>
      </c>
      <c r="G582" t="s">
        <v>3011</v>
      </c>
      <c r="H582">
        <v>2005</v>
      </c>
      <c r="I582" s="413">
        <v>11.5</v>
      </c>
      <c r="J582" s="413"/>
      <c r="K582" t="s">
        <v>3012</v>
      </c>
      <c r="L582" t="s">
        <v>1863</v>
      </c>
      <c r="O582" s="412">
        <f t="shared" si="26"/>
        <v>0.115</v>
      </c>
      <c r="T582">
        <v>1</v>
      </c>
      <c r="U582" t="s">
        <v>2887</v>
      </c>
      <c r="V582" t="s">
        <v>2888</v>
      </c>
    </row>
    <row r="583" spans="1:22" x14ac:dyDescent="0.25">
      <c r="A583" t="s">
        <v>3013</v>
      </c>
      <c r="B583" t="s">
        <v>3014</v>
      </c>
      <c r="C583" t="str">
        <f t="shared" ref="C583:C597" si="41">_xlfn.CONCAT(B583,U583)</f>
        <v>VC22ET</v>
      </c>
      <c r="D583" t="s">
        <v>2536</v>
      </c>
      <c r="E583" t="s">
        <v>2539</v>
      </c>
      <c r="F583" t="s">
        <v>70</v>
      </c>
      <c r="G583" t="s">
        <v>2535</v>
      </c>
      <c r="H583">
        <v>2016</v>
      </c>
      <c r="I583" s="413">
        <v>1.3</v>
      </c>
      <c r="K583" t="s">
        <v>3015</v>
      </c>
      <c r="L583" t="s">
        <v>1863</v>
      </c>
      <c r="O583" s="412">
        <f t="shared" si="26"/>
        <v>1.3000000000000001E-2</v>
      </c>
      <c r="T583">
        <v>0</v>
      </c>
      <c r="U583" t="s">
        <v>2851</v>
      </c>
      <c r="V583" t="s">
        <v>594</v>
      </c>
    </row>
    <row r="584" spans="1:22" x14ac:dyDescent="0.25">
      <c r="A584" t="s">
        <v>3016</v>
      </c>
      <c r="B584" t="s">
        <v>3014</v>
      </c>
      <c r="C584" t="str">
        <f t="shared" si="41"/>
        <v>VC22ETR</v>
      </c>
      <c r="E584" t="s">
        <v>2539</v>
      </c>
      <c r="F584" t="s">
        <v>70</v>
      </c>
      <c r="G584" t="s">
        <v>2535</v>
      </c>
      <c r="H584">
        <v>2016</v>
      </c>
      <c r="I584" s="413">
        <f>I$583/I$541*I544</f>
        <v>1.3838709677419354</v>
      </c>
      <c r="K584" t="s">
        <v>3015</v>
      </c>
      <c r="L584" t="s">
        <v>1863</v>
      </c>
      <c r="O584" s="412">
        <f t="shared" si="26"/>
        <v>1.3838709677419354E-2</v>
      </c>
      <c r="T584">
        <v>0.5</v>
      </c>
      <c r="U584" t="s">
        <v>2868</v>
      </c>
      <c r="V584" t="s">
        <v>84</v>
      </c>
    </row>
    <row r="585" spans="1:22" x14ac:dyDescent="0.25">
      <c r="A585" t="s">
        <v>3016</v>
      </c>
      <c r="B585" t="s">
        <v>3014</v>
      </c>
      <c r="C585" t="str">
        <f t="shared" si="41"/>
        <v>VC22ETU</v>
      </c>
      <c r="E585" t="s">
        <v>2539</v>
      </c>
      <c r="F585" t="s">
        <v>70</v>
      </c>
      <c r="G585" t="s">
        <v>2535</v>
      </c>
      <c r="H585">
        <v>2016</v>
      </c>
      <c r="I585" s="413">
        <f>I$583/I$541*I547</f>
        <v>0.62903225806451613</v>
      </c>
      <c r="K585" t="s">
        <v>3015</v>
      </c>
      <c r="L585" t="s">
        <v>1863</v>
      </c>
      <c r="O585" s="412">
        <f t="shared" si="26"/>
        <v>6.2903225806451614E-3</v>
      </c>
      <c r="T585">
        <v>0.5</v>
      </c>
      <c r="U585" t="s">
        <v>2869</v>
      </c>
      <c r="V585" t="s">
        <v>336</v>
      </c>
    </row>
    <row r="586" spans="1:22" x14ac:dyDescent="0.25">
      <c r="A586" t="s">
        <v>3016</v>
      </c>
      <c r="B586" t="s">
        <v>3014</v>
      </c>
      <c r="C586" t="str">
        <f t="shared" si="41"/>
        <v>VC22ET01</v>
      </c>
      <c r="E586" t="s">
        <v>2539</v>
      </c>
      <c r="F586" t="s">
        <v>70</v>
      </c>
      <c r="G586" t="s">
        <v>2535</v>
      </c>
      <c r="H586">
        <v>2016</v>
      </c>
      <c r="I586" s="413">
        <f>I$583/I$541*I550</f>
        <v>0.62903225806451613</v>
      </c>
      <c r="K586" t="s">
        <v>3015</v>
      </c>
      <c r="L586" t="s">
        <v>1863</v>
      </c>
      <c r="O586" s="412">
        <f t="shared" si="26"/>
        <v>6.2903225806451614E-3</v>
      </c>
      <c r="T586">
        <v>1</v>
      </c>
      <c r="U586" t="s">
        <v>2870</v>
      </c>
      <c r="V586" t="s">
        <v>806</v>
      </c>
    </row>
    <row r="587" spans="1:22" x14ac:dyDescent="0.25">
      <c r="A587" t="s">
        <v>3016</v>
      </c>
      <c r="B587" t="s">
        <v>3014</v>
      </c>
      <c r="C587" t="str">
        <f t="shared" si="41"/>
        <v>VC22ET02</v>
      </c>
      <c r="E587" t="s">
        <v>2539</v>
      </c>
      <c r="F587" t="s">
        <v>70</v>
      </c>
      <c r="G587" t="s">
        <v>2535</v>
      </c>
      <c r="H587">
        <v>2016</v>
      </c>
      <c r="I587" s="413">
        <f>I$583/I$541*I553</f>
        <v>1.6774193548387097</v>
      </c>
      <c r="K587" t="s">
        <v>3015</v>
      </c>
      <c r="L587" t="s">
        <v>1863</v>
      </c>
      <c r="O587" s="412">
        <f t="shared" si="26"/>
        <v>1.6774193548387096E-2</v>
      </c>
      <c r="T587">
        <v>1</v>
      </c>
      <c r="U587" t="s">
        <v>2871</v>
      </c>
      <c r="V587" t="s">
        <v>2948</v>
      </c>
    </row>
    <row r="588" spans="1:22" x14ac:dyDescent="0.25">
      <c r="A588" t="s">
        <v>3016</v>
      </c>
      <c r="B588" t="s">
        <v>3014</v>
      </c>
      <c r="C588" t="str">
        <f t="shared" si="41"/>
        <v>VC22ET03</v>
      </c>
      <c r="E588" t="s">
        <v>2539</v>
      </c>
      <c r="F588" t="s">
        <v>70</v>
      </c>
      <c r="G588" t="s">
        <v>2535</v>
      </c>
      <c r="H588">
        <v>2016</v>
      </c>
      <c r="I588" s="413">
        <f>I$583/I$541*I556</f>
        <v>0.96451612903225803</v>
      </c>
      <c r="K588" t="s">
        <v>3015</v>
      </c>
      <c r="L588" t="s">
        <v>1863</v>
      </c>
      <c r="O588" s="412">
        <f t="shared" si="26"/>
        <v>9.6451612903225795E-3</v>
      </c>
      <c r="T588">
        <v>1</v>
      </c>
      <c r="U588" t="s">
        <v>2873</v>
      </c>
      <c r="V588" t="s">
        <v>805</v>
      </c>
    </row>
    <row r="589" spans="1:22" x14ac:dyDescent="0.25">
      <c r="A589" t="s">
        <v>3016</v>
      </c>
      <c r="B589" t="s">
        <v>3014</v>
      </c>
      <c r="C589" t="str">
        <f t="shared" si="41"/>
        <v>VC22ET04</v>
      </c>
      <c r="E589" t="s">
        <v>2539</v>
      </c>
      <c r="F589" t="s">
        <v>70</v>
      </c>
      <c r="G589" t="s">
        <v>2535</v>
      </c>
      <c r="H589">
        <v>2016</v>
      </c>
      <c r="I589" s="413">
        <f>I$583/I$541*I559</f>
        <v>1.5935483870967742</v>
      </c>
      <c r="K589" t="s">
        <v>3015</v>
      </c>
      <c r="L589" t="s">
        <v>1863</v>
      </c>
      <c r="O589" s="412">
        <f t="shared" si="26"/>
        <v>1.5935483870967743E-2</v>
      </c>
      <c r="T589">
        <v>1</v>
      </c>
      <c r="U589" t="s">
        <v>2874</v>
      </c>
      <c r="V589" t="s">
        <v>809</v>
      </c>
    </row>
    <row r="590" spans="1:22" x14ac:dyDescent="0.25">
      <c r="A590" t="s">
        <v>3016</v>
      </c>
      <c r="B590" t="s">
        <v>3014</v>
      </c>
      <c r="C590" t="str">
        <f t="shared" si="41"/>
        <v>VC22ET05</v>
      </c>
      <c r="E590" t="s">
        <v>2539</v>
      </c>
      <c r="F590" t="s">
        <v>70</v>
      </c>
      <c r="G590" t="s">
        <v>2535</v>
      </c>
      <c r="H590">
        <v>2016</v>
      </c>
      <c r="I590" s="413">
        <f>I$583/I$541*I562</f>
        <v>5.3677419354838714</v>
      </c>
      <c r="K590" t="s">
        <v>3015</v>
      </c>
      <c r="L590" t="s">
        <v>1863</v>
      </c>
      <c r="O590" s="412">
        <f t="shared" si="26"/>
        <v>5.3677419354838711E-2</v>
      </c>
      <c r="T590">
        <v>1</v>
      </c>
      <c r="U590" t="s">
        <v>2875</v>
      </c>
      <c r="V590" t="s">
        <v>2876</v>
      </c>
    </row>
    <row r="591" spans="1:22" x14ac:dyDescent="0.25">
      <c r="A591" t="s">
        <v>3016</v>
      </c>
      <c r="B591" t="s">
        <v>3014</v>
      </c>
      <c r="C591" t="str">
        <f t="shared" si="41"/>
        <v>VC22ET06</v>
      </c>
      <c r="E591" t="s">
        <v>2539</v>
      </c>
      <c r="F591" t="s">
        <v>70</v>
      </c>
      <c r="G591" t="s">
        <v>2535</v>
      </c>
      <c r="H591">
        <v>2016</v>
      </c>
      <c r="I591" s="413">
        <f>I$583/I$541*I565</f>
        <v>0.29354838709677417</v>
      </c>
      <c r="K591" t="s">
        <v>3015</v>
      </c>
      <c r="L591" t="s">
        <v>1863</v>
      </c>
      <c r="O591" s="412">
        <f t="shared" si="26"/>
        <v>2.9354838709677415E-3</v>
      </c>
      <c r="T591">
        <v>1</v>
      </c>
      <c r="U591" t="s">
        <v>2878</v>
      </c>
      <c r="V591" t="s">
        <v>2879</v>
      </c>
    </row>
    <row r="592" spans="1:22" x14ac:dyDescent="0.25">
      <c r="A592" t="s">
        <v>3016</v>
      </c>
      <c r="B592" t="s">
        <v>3014</v>
      </c>
      <c r="C592" t="str">
        <f t="shared" si="41"/>
        <v>VC22ET07</v>
      </c>
      <c r="E592" t="s">
        <v>2539</v>
      </c>
      <c r="F592" t="s">
        <v>70</v>
      </c>
      <c r="G592" t="s">
        <v>2535</v>
      </c>
      <c r="H592">
        <v>2016</v>
      </c>
      <c r="I592" s="413">
        <f>I$583/I$541*I568</f>
        <v>0.58709677419354833</v>
      </c>
      <c r="K592" t="s">
        <v>3015</v>
      </c>
      <c r="L592" t="s">
        <v>1863</v>
      </c>
      <c r="O592" s="412">
        <f t="shared" si="26"/>
        <v>5.870967741935483E-3</v>
      </c>
      <c r="T592">
        <v>1</v>
      </c>
      <c r="U592" t="s">
        <v>2880</v>
      </c>
      <c r="V592" t="s">
        <v>2881</v>
      </c>
    </row>
    <row r="593" spans="1:22" x14ac:dyDescent="0.25">
      <c r="A593" t="s">
        <v>3016</v>
      </c>
      <c r="B593" t="s">
        <v>3014</v>
      </c>
      <c r="C593" t="str">
        <f t="shared" si="41"/>
        <v>VC22ET12</v>
      </c>
      <c r="E593" t="s">
        <v>2539</v>
      </c>
      <c r="F593" t="s">
        <v>70</v>
      </c>
      <c r="G593" t="s">
        <v>2535</v>
      </c>
      <c r="H593">
        <v>2016</v>
      </c>
      <c r="I593" s="413">
        <f>I$583/I$541*I571</f>
        <v>0.29354838709677417</v>
      </c>
      <c r="K593" t="s">
        <v>3015</v>
      </c>
      <c r="L593" t="s">
        <v>1863</v>
      </c>
      <c r="O593" s="412">
        <f t="shared" si="26"/>
        <v>2.9354838709677415E-3</v>
      </c>
      <c r="T593">
        <v>1</v>
      </c>
      <c r="U593" t="s">
        <v>2882</v>
      </c>
      <c r="V593" t="s">
        <v>2883</v>
      </c>
    </row>
    <row r="594" spans="1:22" x14ac:dyDescent="0.25">
      <c r="A594" t="s">
        <v>3016</v>
      </c>
      <c r="B594" t="s">
        <v>3014</v>
      </c>
      <c r="C594" t="str">
        <f t="shared" si="41"/>
        <v>VC22ET13</v>
      </c>
      <c r="E594" t="s">
        <v>2539</v>
      </c>
      <c r="F594" t="s">
        <v>70</v>
      </c>
      <c r="G594" t="s">
        <v>2535</v>
      </c>
      <c r="H594">
        <v>2016</v>
      </c>
      <c r="I594" s="413">
        <f>I$583/I$541*I574</f>
        <v>2.3483870967741933</v>
      </c>
      <c r="K594" t="s">
        <v>3015</v>
      </c>
      <c r="L594" t="s">
        <v>1863</v>
      </c>
      <c r="O594" s="412">
        <f t="shared" si="26"/>
        <v>2.3483870967741932E-2</v>
      </c>
      <c r="T594">
        <v>1</v>
      </c>
      <c r="U594" t="s">
        <v>2884</v>
      </c>
      <c r="V594" t="s">
        <v>2885</v>
      </c>
    </row>
    <row r="595" spans="1:22" x14ac:dyDescent="0.25">
      <c r="A595" t="s">
        <v>3016</v>
      </c>
      <c r="B595" t="s">
        <v>3014</v>
      </c>
      <c r="C595" t="str">
        <f t="shared" si="41"/>
        <v>VC22ET14</v>
      </c>
      <c r="E595" t="s">
        <v>2539</v>
      </c>
      <c r="F595" t="s">
        <v>70</v>
      </c>
      <c r="G595" t="s">
        <v>2535</v>
      </c>
      <c r="H595">
        <v>2016</v>
      </c>
      <c r="I595" s="413">
        <f>I$583/I$541*I577</f>
        <v>0.75483870967741939</v>
      </c>
      <c r="K595" t="s">
        <v>3015</v>
      </c>
      <c r="L595" t="s">
        <v>1863</v>
      </c>
      <c r="O595" s="412">
        <f t="shared" si="26"/>
        <v>7.5483870967741938E-3</v>
      </c>
      <c r="T595">
        <v>1</v>
      </c>
      <c r="U595" t="s">
        <v>2886</v>
      </c>
      <c r="V595" t="s">
        <v>814</v>
      </c>
    </row>
    <row r="596" spans="1:22" x14ac:dyDescent="0.25">
      <c r="A596" t="s">
        <v>3016</v>
      </c>
      <c r="B596" t="s">
        <v>3014</v>
      </c>
      <c r="C596" t="str">
        <f t="shared" si="41"/>
        <v>VC22ET15</v>
      </c>
      <c r="E596" t="s">
        <v>2539</v>
      </c>
      <c r="F596" t="s">
        <v>70</v>
      </c>
      <c r="G596" t="s">
        <v>2535</v>
      </c>
      <c r="H596">
        <v>2016</v>
      </c>
      <c r="I596" s="413">
        <f>I$583/I$541*I580</f>
        <v>3.9000000000000004</v>
      </c>
      <c r="K596" t="s">
        <v>3015</v>
      </c>
      <c r="L596" t="s">
        <v>1863</v>
      </c>
      <c r="O596" s="412">
        <f t="shared" si="26"/>
        <v>3.9000000000000007E-2</v>
      </c>
      <c r="T596">
        <v>1</v>
      </c>
      <c r="U596" t="s">
        <v>2887</v>
      </c>
      <c r="V596" t="s">
        <v>2888</v>
      </c>
    </row>
    <row r="597" spans="1:22" x14ac:dyDescent="0.25">
      <c r="A597" t="s">
        <v>2852</v>
      </c>
      <c r="B597" t="s">
        <v>3017</v>
      </c>
      <c r="C597" t="str">
        <f t="shared" si="41"/>
        <v>VC23ET</v>
      </c>
      <c r="D597" t="s">
        <v>2537</v>
      </c>
      <c r="E597" t="s">
        <v>2540</v>
      </c>
      <c r="F597" t="s">
        <v>70</v>
      </c>
      <c r="G597" t="s">
        <v>201</v>
      </c>
      <c r="H597">
        <v>2016</v>
      </c>
      <c r="I597" s="413">
        <v>1.4</v>
      </c>
      <c r="J597" s="413"/>
      <c r="K597" t="s">
        <v>3018</v>
      </c>
      <c r="L597" t="s">
        <v>1863</v>
      </c>
      <c r="O597" s="412">
        <f t="shared" si="26"/>
        <v>1.3999999999999999E-2</v>
      </c>
      <c r="P597" t="s">
        <v>1863</v>
      </c>
      <c r="Q597" s="422">
        <f>(I597/I598)^(1/(H597-H598))</f>
        <v>1.0696103757250688</v>
      </c>
      <c r="T597">
        <v>0</v>
      </c>
      <c r="U597" t="s">
        <v>2851</v>
      </c>
      <c r="V597" t="s">
        <v>594</v>
      </c>
    </row>
    <row r="598" spans="1:22" x14ac:dyDescent="0.25">
      <c r="A598" t="s">
        <v>2852</v>
      </c>
      <c r="B598" t="s">
        <v>3017</v>
      </c>
      <c r="E598" t="s">
        <v>2540</v>
      </c>
      <c r="F598" t="s">
        <v>70</v>
      </c>
      <c r="G598" t="s">
        <v>201</v>
      </c>
      <c r="H598">
        <v>2011</v>
      </c>
      <c r="I598" s="413">
        <v>1</v>
      </c>
      <c r="J598" s="413"/>
      <c r="K598" t="s">
        <v>3018</v>
      </c>
      <c r="L598" t="s">
        <v>1863</v>
      </c>
      <c r="O598" s="412">
        <f t="shared" si="26"/>
        <v>0.01</v>
      </c>
      <c r="Q598" s="422">
        <f>(I598/I599)^(1/(H598-H599))</f>
        <v>0.87038626147512566</v>
      </c>
      <c r="T598">
        <v>0</v>
      </c>
      <c r="U598" t="s">
        <v>2851</v>
      </c>
      <c r="V598" t="s">
        <v>594</v>
      </c>
    </row>
    <row r="599" spans="1:22" x14ac:dyDescent="0.25">
      <c r="A599" t="s">
        <v>2852</v>
      </c>
      <c r="B599" t="s">
        <v>3017</v>
      </c>
      <c r="E599" t="s">
        <v>2540</v>
      </c>
      <c r="F599" t="s">
        <v>70</v>
      </c>
      <c r="G599" t="s">
        <v>201</v>
      </c>
      <c r="H599">
        <v>2005</v>
      </c>
      <c r="I599" s="413">
        <v>2.2999999999999998</v>
      </c>
      <c r="J599" s="413"/>
      <c r="K599" t="s">
        <v>3018</v>
      </c>
      <c r="L599" t="s">
        <v>1863</v>
      </c>
      <c r="O599" s="412">
        <f t="shared" si="26"/>
        <v>2.3E-2</v>
      </c>
      <c r="T599">
        <v>0</v>
      </c>
      <c r="U599" t="s">
        <v>2851</v>
      </c>
      <c r="V599" t="s">
        <v>594</v>
      </c>
    </row>
    <row r="600" spans="1:22" x14ac:dyDescent="0.25">
      <c r="A600" t="s">
        <v>2852</v>
      </c>
      <c r="B600" t="s">
        <v>3017</v>
      </c>
      <c r="C600" t="str">
        <f t="shared" ref="C600" si="42">_xlfn.CONCAT(B600,U600)</f>
        <v>VC23ETR</v>
      </c>
      <c r="E600" t="s">
        <v>2540</v>
      </c>
      <c r="F600" t="s">
        <v>70</v>
      </c>
      <c r="G600" t="s">
        <v>201</v>
      </c>
      <c r="H600">
        <v>2016</v>
      </c>
      <c r="I600" s="413">
        <v>1.6</v>
      </c>
      <c r="J600" s="413"/>
      <c r="K600" t="s">
        <v>3018</v>
      </c>
      <c r="L600" t="s">
        <v>1863</v>
      </c>
      <c r="O600" s="412">
        <f t="shared" si="26"/>
        <v>1.6E-2</v>
      </c>
      <c r="Q600" s="422">
        <f>(I600/I601)^(1/(H600-H601))</f>
        <v>1.0592238410488122</v>
      </c>
      <c r="T600">
        <v>0.5</v>
      </c>
      <c r="U600" t="s">
        <v>2868</v>
      </c>
      <c r="V600" t="s">
        <v>84</v>
      </c>
    </row>
    <row r="601" spans="1:22" x14ac:dyDescent="0.25">
      <c r="A601" t="s">
        <v>2852</v>
      </c>
      <c r="B601" t="s">
        <v>3017</v>
      </c>
      <c r="E601" t="s">
        <v>2540</v>
      </c>
      <c r="F601" t="s">
        <v>70</v>
      </c>
      <c r="G601" t="s">
        <v>201</v>
      </c>
      <c r="H601">
        <v>2011</v>
      </c>
      <c r="I601" s="413">
        <v>1.2</v>
      </c>
      <c r="J601" s="413"/>
      <c r="K601" t="s">
        <v>3018</v>
      </c>
      <c r="L601" t="s">
        <v>1863</v>
      </c>
      <c r="O601" s="412">
        <f t="shared" si="26"/>
        <v>1.2E-2</v>
      </c>
      <c r="Q601" s="422">
        <f>(I601/I602)^(1/(H601-H602))</f>
        <v>0.88485791414993442</v>
      </c>
      <c r="T601">
        <v>0.5</v>
      </c>
      <c r="U601" t="s">
        <v>2868</v>
      </c>
      <c r="V601" t="s">
        <v>84</v>
      </c>
    </row>
    <row r="602" spans="1:22" x14ac:dyDescent="0.25">
      <c r="A602" t="s">
        <v>2852</v>
      </c>
      <c r="B602" t="s">
        <v>3017</v>
      </c>
      <c r="E602" t="s">
        <v>2540</v>
      </c>
      <c r="F602" t="s">
        <v>70</v>
      </c>
      <c r="G602" t="s">
        <v>201</v>
      </c>
      <c r="H602">
        <v>2005</v>
      </c>
      <c r="I602" s="413">
        <v>2.5</v>
      </c>
      <c r="J602" s="413"/>
      <c r="K602" t="s">
        <v>3018</v>
      </c>
      <c r="L602" t="s">
        <v>1863</v>
      </c>
      <c r="O602" s="412">
        <f t="shared" si="26"/>
        <v>2.5000000000000001E-2</v>
      </c>
      <c r="T602">
        <v>0.5</v>
      </c>
      <c r="U602" t="s">
        <v>2868</v>
      </c>
      <c r="V602" t="s">
        <v>84</v>
      </c>
    </row>
    <row r="603" spans="1:22" x14ac:dyDescent="0.25">
      <c r="A603" t="s">
        <v>2852</v>
      </c>
      <c r="B603" t="s">
        <v>3017</v>
      </c>
      <c r="C603" t="str">
        <f t="shared" ref="C603" si="43">_xlfn.CONCAT(B603,U603)</f>
        <v>VC23ETU</v>
      </c>
      <c r="E603" t="s">
        <v>2540</v>
      </c>
      <c r="F603" t="s">
        <v>70</v>
      </c>
      <c r="G603" t="s">
        <v>201</v>
      </c>
      <c r="H603">
        <v>2016</v>
      </c>
      <c r="I603" s="413">
        <v>0.6</v>
      </c>
      <c r="J603" s="413"/>
      <c r="K603" t="s">
        <v>3018</v>
      </c>
      <c r="L603" t="s">
        <v>1863</v>
      </c>
      <c r="O603" s="412">
        <f t="shared" si="26"/>
        <v>6.0000000000000001E-3</v>
      </c>
      <c r="Q603" s="422">
        <f>(I603/I604)^(1/(H603-H604))</f>
        <v>1.0371372893366482</v>
      </c>
      <c r="T603">
        <v>0.5</v>
      </c>
      <c r="U603" t="s">
        <v>2869</v>
      </c>
      <c r="V603" t="s">
        <v>336</v>
      </c>
    </row>
    <row r="604" spans="1:22" x14ac:dyDescent="0.25">
      <c r="A604" t="s">
        <v>2852</v>
      </c>
      <c r="B604" t="s">
        <v>3017</v>
      </c>
      <c r="E604" t="s">
        <v>2540</v>
      </c>
      <c r="F604" t="s">
        <v>70</v>
      </c>
      <c r="G604" t="s">
        <v>201</v>
      </c>
      <c r="H604">
        <v>2011</v>
      </c>
      <c r="I604" s="413">
        <v>0.5</v>
      </c>
      <c r="J604" s="413"/>
      <c r="K604" t="s">
        <v>3018</v>
      </c>
      <c r="L604" t="s">
        <v>1863</v>
      </c>
      <c r="O604" s="412">
        <f t="shared" si="26"/>
        <v>5.0000000000000001E-3</v>
      </c>
      <c r="Q604" s="422">
        <f>(I604/I605)^(1/(H604-H605))</f>
        <v>0.8527815098471232</v>
      </c>
      <c r="T604">
        <v>0.5</v>
      </c>
      <c r="U604" t="s">
        <v>2869</v>
      </c>
      <c r="V604" t="s">
        <v>336</v>
      </c>
    </row>
    <row r="605" spans="1:22" x14ac:dyDescent="0.25">
      <c r="A605" t="s">
        <v>2852</v>
      </c>
      <c r="B605" t="s">
        <v>3017</v>
      </c>
      <c r="E605" t="s">
        <v>2540</v>
      </c>
      <c r="F605" t="s">
        <v>70</v>
      </c>
      <c r="G605" t="s">
        <v>201</v>
      </c>
      <c r="H605">
        <v>2005</v>
      </c>
      <c r="I605" s="413">
        <v>1.3</v>
      </c>
      <c r="J605" s="413"/>
      <c r="K605" t="s">
        <v>3018</v>
      </c>
      <c r="L605" t="s">
        <v>1863</v>
      </c>
      <c r="O605" s="412">
        <f t="shared" si="26"/>
        <v>1.3000000000000001E-2</v>
      </c>
      <c r="T605">
        <v>0.5</v>
      </c>
      <c r="U605" t="s">
        <v>2869</v>
      </c>
      <c r="V605" t="s">
        <v>336</v>
      </c>
    </row>
    <row r="606" spans="1:22" x14ac:dyDescent="0.25">
      <c r="A606" t="s">
        <v>2852</v>
      </c>
      <c r="B606" t="s">
        <v>3017</v>
      </c>
      <c r="C606" t="str">
        <f t="shared" ref="C606" si="44">_xlfn.CONCAT(B606,U606)</f>
        <v>VC23ET01</v>
      </c>
      <c r="E606" t="s">
        <v>2540</v>
      </c>
      <c r="F606" t="s">
        <v>70</v>
      </c>
      <c r="G606" t="s">
        <v>201</v>
      </c>
      <c r="H606">
        <v>2016</v>
      </c>
      <c r="I606" s="413">
        <v>0.7</v>
      </c>
      <c r="J606" s="413"/>
      <c r="K606" t="s">
        <v>3018</v>
      </c>
      <c r="L606" t="s">
        <v>1863</v>
      </c>
      <c r="O606" s="412">
        <f t="shared" ref="O606:O638" si="45">I606/100</f>
        <v>6.9999999999999993E-3</v>
      </c>
      <c r="Q606" s="422">
        <f>(I606/I607)^(1/(H606-H607))</f>
        <v>0.97364718061516808</v>
      </c>
      <c r="T606">
        <v>1</v>
      </c>
      <c r="U606" t="s">
        <v>2870</v>
      </c>
      <c r="V606" t="s">
        <v>806</v>
      </c>
    </row>
    <row r="607" spans="1:22" x14ac:dyDescent="0.25">
      <c r="A607" t="s">
        <v>2852</v>
      </c>
      <c r="B607" t="s">
        <v>3017</v>
      </c>
      <c r="E607" t="s">
        <v>2540</v>
      </c>
      <c r="F607" t="s">
        <v>70</v>
      </c>
      <c r="G607" t="s">
        <v>201</v>
      </c>
      <c r="H607">
        <v>2011</v>
      </c>
      <c r="I607" s="413">
        <v>0.8</v>
      </c>
      <c r="J607" s="413"/>
      <c r="K607" t="s">
        <v>3018</v>
      </c>
      <c r="L607" t="s">
        <v>1863</v>
      </c>
      <c r="O607" s="412">
        <f t="shared" si="45"/>
        <v>8.0000000000000002E-3</v>
      </c>
      <c r="Q607" s="422">
        <f>(I607/I608)^(1/(H607-H608))</f>
        <v>0.92226934274428762</v>
      </c>
      <c r="T607">
        <v>1</v>
      </c>
      <c r="U607" t="s">
        <v>2870</v>
      </c>
      <c r="V607" t="s">
        <v>806</v>
      </c>
    </row>
    <row r="608" spans="1:22" x14ac:dyDescent="0.25">
      <c r="A608" t="s">
        <v>2852</v>
      </c>
      <c r="B608" t="s">
        <v>3017</v>
      </c>
      <c r="E608" t="s">
        <v>2540</v>
      </c>
      <c r="F608" t="s">
        <v>70</v>
      </c>
      <c r="G608" t="s">
        <v>201</v>
      </c>
      <c r="H608">
        <v>2005</v>
      </c>
      <c r="I608" s="413">
        <v>1.3</v>
      </c>
      <c r="J608" s="413"/>
      <c r="K608" t="s">
        <v>3018</v>
      </c>
      <c r="L608" t="s">
        <v>1863</v>
      </c>
      <c r="O608" s="412">
        <f t="shared" si="45"/>
        <v>1.3000000000000001E-2</v>
      </c>
      <c r="T608">
        <v>1</v>
      </c>
      <c r="U608" t="s">
        <v>2870</v>
      </c>
      <c r="V608" t="s">
        <v>806</v>
      </c>
    </row>
    <row r="609" spans="1:22" x14ac:dyDescent="0.25">
      <c r="A609" t="s">
        <v>2852</v>
      </c>
      <c r="B609" t="s">
        <v>3017</v>
      </c>
      <c r="C609" t="str">
        <f t="shared" ref="C609" si="46">_xlfn.CONCAT(B609,U609)</f>
        <v>VC23ET02</v>
      </c>
      <c r="E609" t="s">
        <v>2540</v>
      </c>
      <c r="F609" t="s">
        <v>70</v>
      </c>
      <c r="G609" t="s">
        <v>201</v>
      </c>
      <c r="H609">
        <v>2016</v>
      </c>
      <c r="I609" s="413">
        <v>3.6</v>
      </c>
      <c r="J609" s="413"/>
      <c r="K609" t="s">
        <v>3018</v>
      </c>
      <c r="L609" t="s">
        <v>1863</v>
      </c>
      <c r="O609" s="412">
        <f t="shared" si="45"/>
        <v>3.6000000000000004E-2</v>
      </c>
      <c r="Q609" s="422">
        <f>(I609/I610)^(1/(H609-H610))</f>
        <v>1.0303580331018511</v>
      </c>
      <c r="T609">
        <v>1</v>
      </c>
      <c r="U609" t="s">
        <v>2871</v>
      </c>
      <c r="V609" t="s">
        <v>2948</v>
      </c>
    </row>
    <row r="610" spans="1:22" x14ac:dyDescent="0.25">
      <c r="A610" t="s">
        <v>2852</v>
      </c>
      <c r="B610" t="s">
        <v>3017</v>
      </c>
      <c r="E610" t="s">
        <v>2540</v>
      </c>
      <c r="F610" t="s">
        <v>70</v>
      </c>
      <c r="G610" t="s">
        <v>201</v>
      </c>
      <c r="H610">
        <v>2011</v>
      </c>
      <c r="I610" s="413">
        <v>3.1</v>
      </c>
      <c r="J610" s="413"/>
      <c r="K610" t="s">
        <v>3018</v>
      </c>
      <c r="L610" t="s">
        <v>1863</v>
      </c>
      <c r="O610" s="412">
        <f t="shared" si="45"/>
        <v>3.1E-2</v>
      </c>
      <c r="Q610" s="422">
        <f>(I610/I611)^(1/(H610-H611))</f>
        <v>0.92341859323286302</v>
      </c>
      <c r="T610">
        <v>1</v>
      </c>
      <c r="U610" t="s">
        <v>2871</v>
      </c>
      <c r="V610" t="s">
        <v>2948</v>
      </c>
    </row>
    <row r="611" spans="1:22" x14ac:dyDescent="0.25">
      <c r="A611" t="s">
        <v>2852</v>
      </c>
      <c r="B611" t="s">
        <v>3017</v>
      </c>
      <c r="E611" t="s">
        <v>2540</v>
      </c>
      <c r="F611" t="s">
        <v>70</v>
      </c>
      <c r="G611" t="s">
        <v>201</v>
      </c>
      <c r="H611">
        <v>2005</v>
      </c>
      <c r="I611" s="413">
        <v>5</v>
      </c>
      <c r="J611" s="413"/>
      <c r="K611" t="s">
        <v>3018</v>
      </c>
      <c r="L611" t="s">
        <v>1863</v>
      </c>
      <c r="O611" s="412">
        <f t="shared" si="45"/>
        <v>0.05</v>
      </c>
      <c r="T611">
        <v>1</v>
      </c>
      <c r="U611" t="s">
        <v>2871</v>
      </c>
      <c r="V611" t="s">
        <v>2948</v>
      </c>
    </row>
    <row r="612" spans="1:22" x14ac:dyDescent="0.25">
      <c r="A612" t="s">
        <v>2852</v>
      </c>
      <c r="B612" t="s">
        <v>3017</v>
      </c>
      <c r="C612" t="str">
        <f t="shared" ref="C612" si="47">_xlfn.CONCAT(B612,U612)</f>
        <v>VC23ET03</v>
      </c>
      <c r="E612" t="s">
        <v>2540</v>
      </c>
      <c r="F612" t="s">
        <v>70</v>
      </c>
      <c r="G612" t="s">
        <v>201</v>
      </c>
      <c r="H612">
        <v>2016</v>
      </c>
      <c r="I612" s="413">
        <v>0.5</v>
      </c>
      <c r="J612" s="413"/>
      <c r="K612" t="s">
        <v>3018</v>
      </c>
      <c r="L612" t="s">
        <v>1863</v>
      </c>
      <c r="O612" s="412">
        <f t="shared" si="45"/>
        <v>5.0000000000000001E-3</v>
      </c>
      <c r="Q612" s="422">
        <f>(I612/I613)^(1/(H612-H613))</f>
        <v>0.88908953613219999</v>
      </c>
      <c r="T612">
        <v>1</v>
      </c>
      <c r="U612" t="s">
        <v>2873</v>
      </c>
      <c r="V612" t="s">
        <v>805</v>
      </c>
    </row>
    <row r="613" spans="1:22" x14ac:dyDescent="0.25">
      <c r="A613" t="s">
        <v>2852</v>
      </c>
      <c r="B613" t="s">
        <v>3017</v>
      </c>
      <c r="E613" t="s">
        <v>2540</v>
      </c>
      <c r="F613" t="s">
        <v>70</v>
      </c>
      <c r="G613" t="s">
        <v>201</v>
      </c>
      <c r="H613">
        <v>2011</v>
      </c>
      <c r="I613" s="413">
        <v>0.9</v>
      </c>
      <c r="J613" s="413"/>
      <c r="K613" t="s">
        <v>3018</v>
      </c>
      <c r="L613" t="s">
        <v>1863</v>
      </c>
      <c r="O613" s="412">
        <f t="shared" si="45"/>
        <v>9.0000000000000011E-3</v>
      </c>
      <c r="Q613" s="422">
        <f>(I613/I614)^(1/(H613-H614))</f>
        <v>0.8491906647824764</v>
      </c>
      <c r="T613">
        <v>1</v>
      </c>
      <c r="U613" t="s">
        <v>2873</v>
      </c>
      <c r="V613" t="s">
        <v>805</v>
      </c>
    </row>
    <row r="614" spans="1:22" x14ac:dyDescent="0.25">
      <c r="A614" t="s">
        <v>2852</v>
      </c>
      <c r="B614" t="s">
        <v>3017</v>
      </c>
      <c r="E614" t="s">
        <v>2540</v>
      </c>
      <c r="F614" t="s">
        <v>70</v>
      </c>
      <c r="G614" t="s">
        <v>201</v>
      </c>
      <c r="H614">
        <v>2005</v>
      </c>
      <c r="I614" s="413">
        <v>2.4</v>
      </c>
      <c r="J614" s="413"/>
      <c r="K614" t="s">
        <v>3018</v>
      </c>
      <c r="L614" t="s">
        <v>1863</v>
      </c>
      <c r="O614" s="412">
        <f t="shared" si="45"/>
        <v>2.4E-2</v>
      </c>
      <c r="T614">
        <v>1</v>
      </c>
      <c r="U614" t="s">
        <v>2873</v>
      </c>
      <c r="V614" t="s">
        <v>805</v>
      </c>
    </row>
    <row r="615" spans="1:22" x14ac:dyDescent="0.25">
      <c r="A615" t="s">
        <v>2852</v>
      </c>
      <c r="B615" t="s">
        <v>3017</v>
      </c>
      <c r="C615" t="str">
        <f t="shared" ref="C615" si="48">_xlfn.CONCAT(B615,U615)</f>
        <v>VC23ET04</v>
      </c>
      <c r="E615" t="s">
        <v>2540</v>
      </c>
      <c r="F615" t="s">
        <v>70</v>
      </c>
      <c r="G615" t="s">
        <v>201</v>
      </c>
      <c r="H615">
        <v>2016</v>
      </c>
      <c r="I615" s="413">
        <v>1.9</v>
      </c>
      <c r="J615" s="413"/>
      <c r="K615" t="s">
        <v>3018</v>
      </c>
      <c r="L615" t="s">
        <v>1863</v>
      </c>
      <c r="O615" s="412">
        <f t="shared" si="45"/>
        <v>1.9E-2</v>
      </c>
      <c r="Q615" s="422">
        <f>(I615/I616)^(1/(H615-H616))</f>
        <v>1.115506700140541</v>
      </c>
      <c r="T615">
        <v>1</v>
      </c>
      <c r="U615" t="s">
        <v>2874</v>
      </c>
      <c r="V615" t="s">
        <v>809</v>
      </c>
    </row>
    <row r="616" spans="1:22" x14ac:dyDescent="0.25">
      <c r="A616" t="s">
        <v>2852</v>
      </c>
      <c r="B616" t="s">
        <v>3017</v>
      </c>
      <c r="E616" t="s">
        <v>2540</v>
      </c>
      <c r="F616" t="s">
        <v>70</v>
      </c>
      <c r="G616" t="s">
        <v>201</v>
      </c>
      <c r="H616">
        <v>2011</v>
      </c>
      <c r="I616" s="413">
        <v>1.1000000000000001</v>
      </c>
      <c r="J616" s="413"/>
      <c r="K616" t="s">
        <v>3018</v>
      </c>
      <c r="L616" t="s">
        <v>1863</v>
      </c>
      <c r="O616" s="412">
        <f t="shared" si="45"/>
        <v>1.1000000000000001E-2</v>
      </c>
      <c r="Q616" s="422">
        <f>(I616/I617)^(1/(H616-H617))</f>
        <v>0.88432277120563829</v>
      </c>
      <c r="T616">
        <v>1</v>
      </c>
      <c r="U616" t="s">
        <v>2874</v>
      </c>
      <c r="V616" t="s">
        <v>809</v>
      </c>
    </row>
    <row r="617" spans="1:22" x14ac:dyDescent="0.25">
      <c r="A617" t="s">
        <v>2852</v>
      </c>
      <c r="B617" t="s">
        <v>3017</v>
      </c>
      <c r="E617" t="s">
        <v>2540</v>
      </c>
      <c r="F617" t="s">
        <v>70</v>
      </c>
      <c r="G617" t="s">
        <v>201</v>
      </c>
      <c r="H617">
        <v>2005</v>
      </c>
      <c r="I617" s="413">
        <v>2.2999999999999998</v>
      </c>
      <c r="J617" s="413"/>
      <c r="K617" t="s">
        <v>3018</v>
      </c>
      <c r="L617" t="s">
        <v>1863</v>
      </c>
      <c r="O617" s="412">
        <f t="shared" si="45"/>
        <v>2.3E-2</v>
      </c>
      <c r="T617">
        <v>1</v>
      </c>
      <c r="U617" t="s">
        <v>2874</v>
      </c>
      <c r="V617" t="s">
        <v>809</v>
      </c>
    </row>
    <row r="618" spans="1:22" x14ac:dyDescent="0.25">
      <c r="A618" t="s">
        <v>2852</v>
      </c>
      <c r="B618" t="s">
        <v>3017</v>
      </c>
      <c r="C618" t="str">
        <f t="shared" ref="C618" si="49">_xlfn.CONCAT(B618,U618)</f>
        <v>VC23ET05</v>
      </c>
      <c r="E618" t="s">
        <v>2540</v>
      </c>
      <c r="F618" t="s">
        <v>70</v>
      </c>
      <c r="G618" t="s">
        <v>201</v>
      </c>
      <c r="H618">
        <v>2016</v>
      </c>
      <c r="I618" s="413">
        <v>8.1999999999999993</v>
      </c>
      <c r="J618" s="413"/>
      <c r="K618" t="s">
        <v>3018</v>
      </c>
      <c r="L618" t="s">
        <v>1863</v>
      </c>
      <c r="O618" s="412">
        <f t="shared" si="45"/>
        <v>8.199999999999999E-2</v>
      </c>
      <c r="Q618" s="422">
        <f>(I618/I619)^(1/(H618-H619))</f>
        <v>1.032150821290873</v>
      </c>
      <c r="T618">
        <v>1</v>
      </c>
      <c r="U618" t="s">
        <v>2875</v>
      </c>
      <c r="V618" t="s">
        <v>2876</v>
      </c>
    </row>
    <row r="619" spans="1:22" x14ac:dyDescent="0.25">
      <c r="A619" t="s">
        <v>2852</v>
      </c>
      <c r="B619" t="s">
        <v>3017</v>
      </c>
      <c r="E619" t="s">
        <v>2540</v>
      </c>
      <c r="F619" t="s">
        <v>70</v>
      </c>
      <c r="G619" t="s">
        <v>201</v>
      </c>
      <c r="H619">
        <v>2011</v>
      </c>
      <c r="I619" s="413">
        <v>7</v>
      </c>
      <c r="J619" s="413"/>
      <c r="K619" t="s">
        <v>3018</v>
      </c>
      <c r="L619" t="s">
        <v>1863</v>
      </c>
      <c r="O619" s="412">
        <f t="shared" si="45"/>
        <v>7.0000000000000007E-2</v>
      </c>
      <c r="Q619" s="422">
        <f>(I619/I620)^(1/(H619-H620))</f>
        <v>0.98212607056212187</v>
      </c>
      <c r="T619">
        <v>1</v>
      </c>
      <c r="U619" t="s">
        <v>2875</v>
      </c>
      <c r="V619" t="s">
        <v>2876</v>
      </c>
    </row>
    <row r="620" spans="1:22" x14ac:dyDescent="0.25">
      <c r="A620" t="s">
        <v>2852</v>
      </c>
      <c r="B620" t="s">
        <v>3017</v>
      </c>
      <c r="E620" t="s">
        <v>2540</v>
      </c>
      <c r="F620" t="s">
        <v>70</v>
      </c>
      <c r="G620" t="s">
        <v>201</v>
      </c>
      <c r="H620">
        <v>2005</v>
      </c>
      <c r="I620" s="413">
        <v>7.8</v>
      </c>
      <c r="J620" s="413"/>
      <c r="K620" t="s">
        <v>3018</v>
      </c>
      <c r="L620" t="s">
        <v>1863</v>
      </c>
      <c r="O620" s="412">
        <f t="shared" si="45"/>
        <v>7.8E-2</v>
      </c>
      <c r="T620">
        <v>1</v>
      </c>
      <c r="U620" t="s">
        <v>2875</v>
      </c>
      <c r="V620" t="s">
        <v>2876</v>
      </c>
    </row>
    <row r="621" spans="1:22" x14ac:dyDescent="0.25">
      <c r="A621" t="s">
        <v>2852</v>
      </c>
      <c r="B621" t="s">
        <v>3017</v>
      </c>
      <c r="C621" t="str">
        <f t="shared" ref="C621" si="50">_xlfn.CONCAT(B621,U621)</f>
        <v>VC23ET06</v>
      </c>
      <c r="E621" t="s">
        <v>2540</v>
      </c>
      <c r="F621" t="s">
        <v>70</v>
      </c>
      <c r="G621" t="s">
        <v>201</v>
      </c>
      <c r="H621">
        <v>2016</v>
      </c>
      <c r="I621" s="413">
        <v>0.5</v>
      </c>
      <c r="J621" s="413"/>
      <c r="K621" t="s">
        <v>3018</v>
      </c>
      <c r="L621" t="s">
        <v>1863</v>
      </c>
      <c r="O621" s="412">
        <f t="shared" si="45"/>
        <v>5.0000000000000001E-3</v>
      </c>
      <c r="Q621" s="422">
        <f>(I621/I622)^(1/(H621-H622))</f>
        <v>0.96419250400262724</v>
      </c>
      <c r="T621">
        <v>1</v>
      </c>
      <c r="U621" t="s">
        <v>2878</v>
      </c>
      <c r="V621" t="s">
        <v>2879</v>
      </c>
    </row>
    <row r="622" spans="1:22" x14ac:dyDescent="0.25">
      <c r="A622" t="s">
        <v>2852</v>
      </c>
      <c r="B622" t="s">
        <v>3017</v>
      </c>
      <c r="E622" t="s">
        <v>2540</v>
      </c>
      <c r="F622" t="s">
        <v>70</v>
      </c>
      <c r="G622" t="s">
        <v>201</v>
      </c>
      <c r="H622">
        <v>2011</v>
      </c>
      <c r="I622" s="413">
        <v>0.6</v>
      </c>
      <c r="J622" s="413"/>
      <c r="K622" t="s">
        <v>3018</v>
      </c>
      <c r="L622" t="s">
        <v>1863</v>
      </c>
      <c r="O622" s="412">
        <f t="shared" si="45"/>
        <v>6.0000000000000001E-3</v>
      </c>
      <c r="Q622" s="422">
        <f>(I622/I623)^(1/(H622-H623))</f>
        <v>0.80529455309720543</v>
      </c>
      <c r="T622">
        <v>1</v>
      </c>
      <c r="U622" t="s">
        <v>2878</v>
      </c>
      <c r="V622" t="s">
        <v>2879</v>
      </c>
    </row>
    <row r="623" spans="1:22" x14ac:dyDescent="0.25">
      <c r="A623" t="s">
        <v>2852</v>
      </c>
      <c r="B623" t="s">
        <v>3017</v>
      </c>
      <c r="E623" t="s">
        <v>2540</v>
      </c>
      <c r="F623" t="s">
        <v>70</v>
      </c>
      <c r="G623" t="s">
        <v>201</v>
      </c>
      <c r="H623">
        <v>2005</v>
      </c>
      <c r="I623" s="413">
        <v>2.2000000000000002</v>
      </c>
      <c r="J623" s="413"/>
      <c r="K623" t="s">
        <v>3018</v>
      </c>
      <c r="L623" t="s">
        <v>1863</v>
      </c>
      <c r="O623" s="412">
        <f t="shared" si="45"/>
        <v>2.2000000000000002E-2</v>
      </c>
      <c r="T623">
        <v>1</v>
      </c>
      <c r="U623" t="s">
        <v>2878</v>
      </c>
      <c r="V623" t="s">
        <v>2879</v>
      </c>
    </row>
    <row r="624" spans="1:22" x14ac:dyDescent="0.25">
      <c r="A624" t="s">
        <v>2852</v>
      </c>
      <c r="B624" t="s">
        <v>3017</v>
      </c>
      <c r="C624" t="str">
        <f t="shared" ref="C624" si="51">_xlfn.CONCAT(B624,U624)</f>
        <v>VC23ET07</v>
      </c>
      <c r="E624" t="s">
        <v>2540</v>
      </c>
      <c r="F624" t="s">
        <v>70</v>
      </c>
      <c r="G624" t="s">
        <v>201</v>
      </c>
      <c r="H624">
        <v>2016</v>
      </c>
      <c r="I624" s="413">
        <v>1.1000000000000001</v>
      </c>
      <c r="J624" s="413"/>
      <c r="K624" t="s">
        <v>3018</v>
      </c>
      <c r="L624" t="s">
        <v>1863</v>
      </c>
      <c r="O624" s="412">
        <f t="shared" si="45"/>
        <v>1.1000000000000001E-2</v>
      </c>
      <c r="Q624" s="422">
        <f>(I624/I625)^(1/(H624-H625))</f>
        <v>1.1288813207301975</v>
      </c>
      <c r="T624">
        <v>1</v>
      </c>
      <c r="U624" t="s">
        <v>2880</v>
      </c>
      <c r="V624" t="s">
        <v>2881</v>
      </c>
    </row>
    <row r="625" spans="1:22" x14ac:dyDescent="0.25">
      <c r="A625" t="s">
        <v>2852</v>
      </c>
      <c r="B625" t="s">
        <v>3017</v>
      </c>
      <c r="E625" t="s">
        <v>2540</v>
      </c>
      <c r="F625" t="s">
        <v>70</v>
      </c>
      <c r="G625" t="s">
        <v>201</v>
      </c>
      <c r="H625">
        <v>2011</v>
      </c>
      <c r="I625" s="413">
        <v>0.6</v>
      </c>
      <c r="J625" s="413"/>
      <c r="K625" t="s">
        <v>3018</v>
      </c>
      <c r="L625" t="s">
        <v>1863</v>
      </c>
      <c r="O625" s="412">
        <f t="shared" si="45"/>
        <v>6.0000000000000001E-3</v>
      </c>
      <c r="Q625" s="422">
        <f>(I625/I626)^(1/(H625-H626))</f>
        <v>0.81818882300002704</v>
      </c>
      <c r="T625">
        <v>1</v>
      </c>
      <c r="U625" t="s">
        <v>2880</v>
      </c>
      <c r="V625" t="s">
        <v>2881</v>
      </c>
    </row>
    <row r="626" spans="1:22" x14ac:dyDescent="0.25">
      <c r="A626" t="s">
        <v>2852</v>
      </c>
      <c r="B626" t="s">
        <v>3017</v>
      </c>
      <c r="E626" t="s">
        <v>2540</v>
      </c>
      <c r="F626" t="s">
        <v>70</v>
      </c>
      <c r="G626" t="s">
        <v>201</v>
      </c>
      <c r="H626">
        <v>2005</v>
      </c>
      <c r="I626" s="413">
        <v>2</v>
      </c>
      <c r="J626" s="413"/>
      <c r="K626" t="s">
        <v>3018</v>
      </c>
      <c r="L626" t="s">
        <v>1863</v>
      </c>
      <c r="O626" s="412">
        <f t="shared" si="45"/>
        <v>0.02</v>
      </c>
      <c r="T626">
        <v>1</v>
      </c>
      <c r="U626" t="s">
        <v>2880</v>
      </c>
      <c r="V626" t="s">
        <v>2881</v>
      </c>
    </row>
    <row r="627" spans="1:22" x14ac:dyDescent="0.25">
      <c r="A627" t="s">
        <v>2852</v>
      </c>
      <c r="B627" t="s">
        <v>3017</v>
      </c>
      <c r="C627" t="str">
        <f t="shared" ref="C627" si="52">_xlfn.CONCAT(B627,U627)</f>
        <v>VC23ET12</v>
      </c>
      <c r="E627" t="s">
        <v>2540</v>
      </c>
      <c r="F627" t="s">
        <v>70</v>
      </c>
      <c r="G627" t="s">
        <v>201</v>
      </c>
      <c r="H627">
        <v>2016</v>
      </c>
      <c r="I627" s="413">
        <v>1.1000000000000001</v>
      </c>
      <c r="J627" s="413"/>
      <c r="K627" t="s">
        <v>3018</v>
      </c>
      <c r="L627" t="s">
        <v>1863</v>
      </c>
      <c r="O627" s="412">
        <f t="shared" si="45"/>
        <v>1.1000000000000001E-2</v>
      </c>
      <c r="Q627" s="422">
        <f>(I627/I628)^(1/(H627-H628))</f>
        <v>1.0657627566354742</v>
      </c>
      <c r="T627">
        <v>1</v>
      </c>
      <c r="U627" t="s">
        <v>2882</v>
      </c>
      <c r="V627" t="s">
        <v>2883</v>
      </c>
    </row>
    <row r="628" spans="1:22" x14ac:dyDescent="0.25">
      <c r="A628" t="s">
        <v>2852</v>
      </c>
      <c r="B628" t="s">
        <v>3017</v>
      </c>
      <c r="E628" t="s">
        <v>2540</v>
      </c>
      <c r="F628" t="s">
        <v>70</v>
      </c>
      <c r="G628" t="s">
        <v>201</v>
      </c>
      <c r="H628">
        <v>2011</v>
      </c>
      <c r="I628" s="413">
        <v>0.8</v>
      </c>
      <c r="J628" s="413"/>
      <c r="K628" t="s">
        <v>3018</v>
      </c>
      <c r="L628" t="s">
        <v>1863</v>
      </c>
      <c r="O628" s="412">
        <f t="shared" si="45"/>
        <v>8.0000000000000002E-3</v>
      </c>
      <c r="Q628" s="422">
        <f>(I628/I629)^(1/(H628-H629))</f>
        <v>0.82703710840002753</v>
      </c>
      <c r="T628">
        <v>1</v>
      </c>
      <c r="U628" t="s">
        <v>2882</v>
      </c>
      <c r="V628" t="s">
        <v>2883</v>
      </c>
    </row>
    <row r="629" spans="1:22" x14ac:dyDescent="0.25">
      <c r="A629" t="s">
        <v>2852</v>
      </c>
      <c r="B629" t="s">
        <v>3017</v>
      </c>
      <c r="E629" t="s">
        <v>2540</v>
      </c>
      <c r="F629" t="s">
        <v>70</v>
      </c>
      <c r="G629" t="s">
        <v>201</v>
      </c>
      <c r="H629">
        <v>2005</v>
      </c>
      <c r="I629" s="413">
        <v>2.5</v>
      </c>
      <c r="J629" s="413"/>
      <c r="K629" t="s">
        <v>3018</v>
      </c>
      <c r="L629" t="s">
        <v>1863</v>
      </c>
      <c r="O629" s="412">
        <f t="shared" si="45"/>
        <v>2.5000000000000001E-2</v>
      </c>
      <c r="T629">
        <v>1</v>
      </c>
      <c r="U629" t="s">
        <v>2882</v>
      </c>
      <c r="V629" t="s">
        <v>2883</v>
      </c>
    </row>
    <row r="630" spans="1:22" x14ac:dyDescent="0.25">
      <c r="A630" t="s">
        <v>2852</v>
      </c>
      <c r="B630" t="s">
        <v>3017</v>
      </c>
      <c r="C630" t="str">
        <f t="shared" ref="C630" si="53">_xlfn.CONCAT(B630,U630)</f>
        <v>VC23ET13</v>
      </c>
      <c r="E630" t="s">
        <v>2540</v>
      </c>
      <c r="F630" t="s">
        <v>70</v>
      </c>
      <c r="G630" t="s">
        <v>201</v>
      </c>
      <c r="H630">
        <v>2016</v>
      </c>
      <c r="I630" s="413">
        <v>2.2000000000000002</v>
      </c>
      <c r="J630" s="413"/>
      <c r="K630" t="s">
        <v>3018</v>
      </c>
      <c r="L630" t="s">
        <v>1863</v>
      </c>
      <c r="O630" s="412">
        <f t="shared" si="45"/>
        <v>2.2000000000000002E-2</v>
      </c>
      <c r="Q630" s="422">
        <f>(I630/I631)^(1/(H630-H631))</f>
        <v>1.1288813207301975</v>
      </c>
      <c r="T630">
        <v>1</v>
      </c>
      <c r="U630" t="s">
        <v>2884</v>
      </c>
      <c r="V630" t="s">
        <v>2885</v>
      </c>
    </row>
    <row r="631" spans="1:22" x14ac:dyDescent="0.25">
      <c r="A631" t="s">
        <v>2852</v>
      </c>
      <c r="B631" t="s">
        <v>3017</v>
      </c>
      <c r="E631" t="s">
        <v>2540</v>
      </c>
      <c r="F631" t="s">
        <v>70</v>
      </c>
      <c r="G631" t="s">
        <v>201</v>
      </c>
      <c r="H631">
        <v>2011</v>
      </c>
      <c r="I631" s="413">
        <v>1.2</v>
      </c>
      <c r="J631" s="413"/>
      <c r="K631" t="s">
        <v>3018</v>
      </c>
      <c r="L631" t="s">
        <v>1863</v>
      </c>
      <c r="O631" s="412">
        <f t="shared" si="45"/>
        <v>1.2E-2</v>
      </c>
      <c r="Q631" s="422">
        <f>(I631/I632)^(1/(H631-H632))</f>
        <v>0.91838590216844529</v>
      </c>
      <c r="T631">
        <v>1</v>
      </c>
      <c r="U631" t="s">
        <v>2884</v>
      </c>
      <c r="V631" t="s">
        <v>2885</v>
      </c>
    </row>
    <row r="632" spans="1:22" x14ac:dyDescent="0.25">
      <c r="A632" t="s">
        <v>2852</v>
      </c>
      <c r="B632" t="s">
        <v>3017</v>
      </c>
      <c r="E632" t="s">
        <v>2540</v>
      </c>
      <c r="F632" t="s">
        <v>70</v>
      </c>
      <c r="G632" t="s">
        <v>201</v>
      </c>
      <c r="H632">
        <v>2005</v>
      </c>
      <c r="I632" s="413">
        <v>2</v>
      </c>
      <c r="J632" s="413"/>
      <c r="K632" t="s">
        <v>3018</v>
      </c>
      <c r="L632" t="s">
        <v>1863</v>
      </c>
      <c r="O632" s="412">
        <f t="shared" si="45"/>
        <v>0.02</v>
      </c>
      <c r="T632">
        <v>1</v>
      </c>
      <c r="U632" t="s">
        <v>2884</v>
      </c>
      <c r="V632" t="s">
        <v>2885</v>
      </c>
    </row>
    <row r="633" spans="1:22" x14ac:dyDescent="0.25">
      <c r="A633" t="s">
        <v>2852</v>
      </c>
      <c r="B633" t="s">
        <v>3017</v>
      </c>
      <c r="C633" t="str">
        <f t="shared" ref="C633" si="54">_xlfn.CONCAT(B633,U633)</f>
        <v>VC23ET14</v>
      </c>
      <c r="E633" t="s">
        <v>2540</v>
      </c>
      <c r="F633" t="s">
        <v>70</v>
      </c>
      <c r="G633" t="s">
        <v>201</v>
      </c>
      <c r="H633">
        <v>2016</v>
      </c>
      <c r="I633" s="413">
        <v>0.5</v>
      </c>
      <c r="J633" s="413"/>
      <c r="K633" t="s">
        <v>3018</v>
      </c>
      <c r="L633" t="s">
        <v>1863</v>
      </c>
      <c r="O633" s="412">
        <f t="shared" si="45"/>
        <v>5.0000000000000001E-3</v>
      </c>
      <c r="Q633" s="422">
        <f>(I633/I634)^(1/(H633-H634))</f>
        <v>1.1075663432482901</v>
      </c>
      <c r="T633">
        <v>1</v>
      </c>
      <c r="U633" t="s">
        <v>2886</v>
      </c>
      <c r="V633" t="s">
        <v>814</v>
      </c>
    </row>
    <row r="634" spans="1:22" x14ac:dyDescent="0.25">
      <c r="A634" t="s">
        <v>2852</v>
      </c>
      <c r="B634" t="s">
        <v>3017</v>
      </c>
      <c r="E634" t="s">
        <v>2540</v>
      </c>
      <c r="F634" t="s">
        <v>70</v>
      </c>
      <c r="G634" t="s">
        <v>201</v>
      </c>
      <c r="H634">
        <v>2011</v>
      </c>
      <c r="I634" s="413">
        <v>0.3</v>
      </c>
      <c r="J634" s="413"/>
      <c r="K634" t="s">
        <v>3018</v>
      </c>
      <c r="L634" t="s">
        <v>1863</v>
      </c>
      <c r="O634" s="412">
        <f t="shared" si="45"/>
        <v>3.0000000000000001E-3</v>
      </c>
      <c r="Q634" s="422">
        <f>(I634/I635)^(1/(H634-H635))</f>
        <v>0.80529455309720543</v>
      </c>
      <c r="T634">
        <v>1</v>
      </c>
      <c r="U634" t="s">
        <v>2886</v>
      </c>
      <c r="V634" t="s">
        <v>814</v>
      </c>
    </row>
    <row r="635" spans="1:22" x14ac:dyDescent="0.25">
      <c r="A635" t="s">
        <v>2852</v>
      </c>
      <c r="B635" t="s">
        <v>3017</v>
      </c>
      <c r="E635" t="s">
        <v>2540</v>
      </c>
      <c r="F635" t="s">
        <v>70</v>
      </c>
      <c r="G635" t="s">
        <v>201</v>
      </c>
      <c r="H635">
        <v>2005</v>
      </c>
      <c r="I635" s="413">
        <v>1.1000000000000001</v>
      </c>
      <c r="J635" s="413"/>
      <c r="K635" t="s">
        <v>3018</v>
      </c>
      <c r="L635" t="s">
        <v>1863</v>
      </c>
      <c r="O635" s="412">
        <f t="shared" si="45"/>
        <v>1.1000000000000001E-2</v>
      </c>
      <c r="T635">
        <v>1</v>
      </c>
      <c r="U635" t="s">
        <v>2886</v>
      </c>
      <c r="V635" t="s">
        <v>814</v>
      </c>
    </row>
    <row r="636" spans="1:22" x14ac:dyDescent="0.25">
      <c r="A636" t="s">
        <v>2852</v>
      </c>
      <c r="B636" t="s">
        <v>3017</v>
      </c>
      <c r="C636" t="str">
        <f t="shared" ref="C636" si="55">_xlfn.CONCAT(B636,U636)</f>
        <v>VC23ET15</v>
      </c>
      <c r="E636" t="s">
        <v>2540</v>
      </c>
      <c r="F636" t="s">
        <v>70</v>
      </c>
      <c r="G636" t="s">
        <v>201</v>
      </c>
      <c r="H636">
        <v>2016</v>
      </c>
      <c r="I636" s="413">
        <v>1.9</v>
      </c>
      <c r="J636" s="413"/>
      <c r="K636" t="s">
        <v>3018</v>
      </c>
      <c r="L636" t="s">
        <v>1863</v>
      </c>
      <c r="O636" s="412">
        <f t="shared" si="45"/>
        <v>1.9E-2</v>
      </c>
      <c r="Q636" s="422">
        <f>(I636/I637)^(1/(H636-H637))</f>
        <v>0.91890607055949736</v>
      </c>
      <c r="T636">
        <v>1</v>
      </c>
      <c r="U636" t="s">
        <v>2887</v>
      </c>
      <c r="V636" t="s">
        <v>2888</v>
      </c>
    </row>
    <row r="637" spans="1:22" x14ac:dyDescent="0.25">
      <c r="A637" t="s">
        <v>2852</v>
      </c>
      <c r="B637" t="s">
        <v>3017</v>
      </c>
      <c r="E637" t="s">
        <v>2540</v>
      </c>
      <c r="F637" t="s">
        <v>70</v>
      </c>
      <c r="G637" t="s">
        <v>201</v>
      </c>
      <c r="H637">
        <v>2011</v>
      </c>
      <c r="I637" s="413">
        <v>2.9</v>
      </c>
      <c r="J637" s="413"/>
      <c r="K637" t="s">
        <v>3018</v>
      </c>
      <c r="L637" t="s">
        <v>1863</v>
      </c>
      <c r="O637" s="412">
        <f t="shared" si="45"/>
        <v>2.8999999999999998E-2</v>
      </c>
      <c r="Q637" s="422">
        <f>(I637/I638)^(1/(H637-H638))</f>
        <v>1.0058656894807376</v>
      </c>
      <c r="T637">
        <v>1</v>
      </c>
      <c r="U637" t="s">
        <v>2887</v>
      </c>
      <c r="V637" t="s">
        <v>2888</v>
      </c>
    </row>
    <row r="638" spans="1:22" x14ac:dyDescent="0.25">
      <c r="A638" t="s">
        <v>2852</v>
      </c>
      <c r="B638" t="s">
        <v>3017</v>
      </c>
      <c r="E638" t="s">
        <v>2540</v>
      </c>
      <c r="F638" t="s">
        <v>70</v>
      </c>
      <c r="G638" t="s">
        <v>201</v>
      </c>
      <c r="H638">
        <v>2005</v>
      </c>
      <c r="I638" s="413">
        <v>2.8</v>
      </c>
      <c r="J638" s="413"/>
      <c r="K638" t="s">
        <v>3018</v>
      </c>
      <c r="L638" t="s">
        <v>1863</v>
      </c>
      <c r="O638" s="412">
        <f t="shared" si="45"/>
        <v>2.7999999999999997E-2</v>
      </c>
      <c r="T638">
        <v>1</v>
      </c>
      <c r="U638" t="s">
        <v>2887</v>
      </c>
      <c r="V638" t="s">
        <v>2888</v>
      </c>
    </row>
    <row r="639" spans="1:22" x14ac:dyDescent="0.25">
      <c r="A639" t="s">
        <v>2852</v>
      </c>
      <c r="B639" t="s">
        <v>3019</v>
      </c>
      <c r="C639" t="str">
        <f t="shared" ref="C639:C693" si="56">_xlfn.CONCAT(B639,U639)</f>
        <v>VC24ET</v>
      </c>
      <c r="D639" t="s">
        <v>2546</v>
      </c>
      <c r="E639" t="s">
        <v>2548</v>
      </c>
      <c r="F639" t="s">
        <v>2241</v>
      </c>
      <c r="G639" s="411" t="s">
        <v>253</v>
      </c>
      <c r="H639">
        <v>2016</v>
      </c>
      <c r="I639" s="413">
        <v>3.9</v>
      </c>
      <c r="J639" s="413"/>
      <c r="K639" t="s">
        <v>2997</v>
      </c>
      <c r="O639" s="412">
        <f>I639/100</f>
        <v>3.9E-2</v>
      </c>
      <c r="P639" t="s">
        <v>1863</v>
      </c>
      <c r="T639">
        <v>0</v>
      </c>
      <c r="U639" t="s">
        <v>2851</v>
      </c>
      <c r="V639" t="s">
        <v>594</v>
      </c>
    </row>
    <row r="640" spans="1:22" x14ac:dyDescent="0.25">
      <c r="A640" t="s">
        <v>2852</v>
      </c>
      <c r="B640" t="s">
        <v>3019</v>
      </c>
      <c r="E640" t="s">
        <v>3020</v>
      </c>
      <c r="F640" t="s">
        <v>2241</v>
      </c>
      <c r="G640" s="411" t="s">
        <v>253</v>
      </c>
      <c r="H640">
        <v>2011</v>
      </c>
      <c r="I640" s="413">
        <v>3.4</v>
      </c>
      <c r="J640" s="413"/>
      <c r="K640" t="s">
        <v>2997</v>
      </c>
      <c r="O640" s="412">
        <f t="shared" ref="O640:O694" si="57">I640/100</f>
        <v>3.4000000000000002E-2</v>
      </c>
      <c r="T640">
        <v>0</v>
      </c>
      <c r="U640" t="s">
        <v>2851</v>
      </c>
      <c r="V640" t="s">
        <v>594</v>
      </c>
    </row>
    <row r="641" spans="1:22" x14ac:dyDescent="0.25">
      <c r="A641" t="s">
        <v>2852</v>
      </c>
      <c r="B641" t="s">
        <v>3019</v>
      </c>
      <c r="C641" t="str">
        <f t="shared" si="56"/>
        <v>VC24ETR</v>
      </c>
      <c r="E641" t="s">
        <v>3020</v>
      </c>
      <c r="F641" t="s">
        <v>2241</v>
      </c>
      <c r="G641" s="411" t="s">
        <v>253</v>
      </c>
      <c r="H641">
        <v>2016</v>
      </c>
      <c r="I641" s="413">
        <v>3.6</v>
      </c>
      <c r="J641" s="413"/>
      <c r="K641" t="s">
        <v>2997</v>
      </c>
      <c r="O641" s="412">
        <f t="shared" si="57"/>
        <v>3.6000000000000004E-2</v>
      </c>
      <c r="T641">
        <v>0.5</v>
      </c>
      <c r="U641" t="s">
        <v>2868</v>
      </c>
      <c r="V641" t="s">
        <v>84</v>
      </c>
    </row>
    <row r="642" spans="1:22" x14ac:dyDescent="0.25">
      <c r="A642" t="s">
        <v>2852</v>
      </c>
      <c r="B642" t="s">
        <v>3019</v>
      </c>
      <c r="E642" t="s">
        <v>3020</v>
      </c>
      <c r="F642" t="s">
        <v>2241</v>
      </c>
      <c r="G642" s="411" t="s">
        <v>253</v>
      </c>
      <c r="H642">
        <v>2011</v>
      </c>
      <c r="I642" s="413">
        <v>3.2</v>
      </c>
      <c r="J642" s="413"/>
      <c r="K642" t="s">
        <v>2997</v>
      </c>
      <c r="O642" s="412">
        <f t="shared" si="57"/>
        <v>3.2000000000000001E-2</v>
      </c>
      <c r="T642">
        <v>0.5</v>
      </c>
      <c r="U642" t="s">
        <v>2868</v>
      </c>
      <c r="V642" t="s">
        <v>84</v>
      </c>
    </row>
    <row r="643" spans="1:22" x14ac:dyDescent="0.25">
      <c r="A643" t="s">
        <v>2852</v>
      </c>
      <c r="B643" t="s">
        <v>3019</v>
      </c>
      <c r="C643" t="str">
        <f t="shared" si="56"/>
        <v>VC24ETU</v>
      </c>
      <c r="E643" t="s">
        <v>3020</v>
      </c>
      <c r="F643" t="s">
        <v>2241</v>
      </c>
      <c r="G643" s="411" t="s">
        <v>253</v>
      </c>
      <c r="H643">
        <v>2016</v>
      </c>
      <c r="I643" s="413">
        <v>5.4</v>
      </c>
      <c r="J643" s="413"/>
      <c r="K643" t="s">
        <v>2997</v>
      </c>
      <c r="O643" s="412">
        <f t="shared" si="57"/>
        <v>5.4000000000000006E-2</v>
      </c>
      <c r="T643">
        <v>0.5</v>
      </c>
      <c r="U643" t="s">
        <v>2869</v>
      </c>
      <c r="V643" t="s">
        <v>336</v>
      </c>
    </row>
    <row r="644" spans="1:22" x14ac:dyDescent="0.25">
      <c r="A644" t="s">
        <v>2852</v>
      </c>
      <c r="B644" t="s">
        <v>3019</v>
      </c>
      <c r="E644" t="s">
        <v>3020</v>
      </c>
      <c r="F644" t="s">
        <v>2241</v>
      </c>
      <c r="G644" s="411" t="s">
        <v>253</v>
      </c>
      <c r="H644">
        <v>2011</v>
      </c>
      <c r="I644" s="413">
        <v>4</v>
      </c>
      <c r="J644" s="413"/>
      <c r="K644" t="s">
        <v>2997</v>
      </c>
      <c r="O644" s="412">
        <f t="shared" si="57"/>
        <v>0.04</v>
      </c>
      <c r="T644">
        <v>0.5</v>
      </c>
      <c r="U644" t="s">
        <v>2869</v>
      </c>
      <c r="V644" t="s">
        <v>336</v>
      </c>
    </row>
    <row r="645" spans="1:22" x14ac:dyDescent="0.25">
      <c r="A645" t="s">
        <v>2852</v>
      </c>
      <c r="B645" t="s">
        <v>3019</v>
      </c>
      <c r="C645" t="str">
        <f t="shared" si="56"/>
        <v>VC24ET01</v>
      </c>
      <c r="E645" t="s">
        <v>3020</v>
      </c>
      <c r="F645" t="s">
        <v>2241</v>
      </c>
      <c r="G645" s="411" t="s">
        <v>253</v>
      </c>
      <c r="H645">
        <v>2016</v>
      </c>
      <c r="I645" s="413">
        <v>4.4000000000000004</v>
      </c>
      <c r="J645" s="413"/>
      <c r="K645" t="s">
        <v>2997</v>
      </c>
      <c r="O645" s="412">
        <f t="shared" si="57"/>
        <v>4.4000000000000004E-2</v>
      </c>
      <c r="T645">
        <v>1</v>
      </c>
      <c r="U645" t="s">
        <v>2870</v>
      </c>
      <c r="V645" t="s">
        <v>806</v>
      </c>
    </row>
    <row r="646" spans="1:22" x14ac:dyDescent="0.25">
      <c r="A646" t="s">
        <v>2852</v>
      </c>
      <c r="B646" t="s">
        <v>3019</v>
      </c>
      <c r="E646" t="s">
        <v>3020</v>
      </c>
      <c r="F646" t="s">
        <v>2241</v>
      </c>
      <c r="G646" s="411" t="s">
        <v>253</v>
      </c>
      <c r="H646">
        <v>2011</v>
      </c>
      <c r="I646" s="413">
        <v>4</v>
      </c>
      <c r="J646" s="413"/>
      <c r="K646" t="s">
        <v>2997</v>
      </c>
      <c r="O646" s="412">
        <f t="shared" si="57"/>
        <v>0.04</v>
      </c>
      <c r="T646">
        <v>1</v>
      </c>
      <c r="U646" t="s">
        <v>2870</v>
      </c>
      <c r="V646" t="s">
        <v>806</v>
      </c>
    </row>
    <row r="647" spans="1:22" x14ac:dyDescent="0.25">
      <c r="A647" t="s">
        <v>2852</v>
      </c>
      <c r="B647" t="s">
        <v>3019</v>
      </c>
      <c r="C647" t="str">
        <f t="shared" si="56"/>
        <v>VC24ET02</v>
      </c>
      <c r="E647" t="s">
        <v>3020</v>
      </c>
      <c r="F647" t="s">
        <v>2241</v>
      </c>
      <c r="G647" s="411" t="s">
        <v>253</v>
      </c>
      <c r="H647">
        <v>2016</v>
      </c>
      <c r="I647" s="413">
        <v>2.4</v>
      </c>
      <c r="J647" s="413"/>
      <c r="K647" t="s">
        <v>2997</v>
      </c>
      <c r="O647" s="412">
        <f t="shared" si="57"/>
        <v>2.4E-2</v>
      </c>
      <c r="T647">
        <v>1</v>
      </c>
      <c r="U647" t="s">
        <v>2871</v>
      </c>
      <c r="V647" t="s">
        <v>2948</v>
      </c>
    </row>
    <row r="648" spans="1:22" x14ac:dyDescent="0.25">
      <c r="A648" t="s">
        <v>2852</v>
      </c>
      <c r="B648" t="s">
        <v>3019</v>
      </c>
      <c r="E648" t="s">
        <v>3020</v>
      </c>
      <c r="F648" t="s">
        <v>2241</v>
      </c>
      <c r="G648" s="411" t="s">
        <v>253</v>
      </c>
      <c r="H648">
        <v>2011</v>
      </c>
      <c r="I648" s="413">
        <v>1.4</v>
      </c>
      <c r="J648" s="413"/>
      <c r="K648" t="s">
        <v>2997</v>
      </c>
      <c r="O648" s="412">
        <f t="shared" si="57"/>
        <v>1.3999999999999999E-2</v>
      </c>
      <c r="T648">
        <v>1</v>
      </c>
      <c r="U648" t="s">
        <v>2871</v>
      </c>
      <c r="V648" t="s">
        <v>2948</v>
      </c>
    </row>
    <row r="649" spans="1:22" x14ac:dyDescent="0.25">
      <c r="A649" t="s">
        <v>2852</v>
      </c>
      <c r="B649" t="s">
        <v>3019</v>
      </c>
      <c r="C649" t="str">
        <f t="shared" si="56"/>
        <v>VC24ET03</v>
      </c>
      <c r="E649" t="s">
        <v>3020</v>
      </c>
      <c r="F649" t="s">
        <v>2241</v>
      </c>
      <c r="G649" s="411" t="s">
        <v>253</v>
      </c>
      <c r="H649">
        <v>2016</v>
      </c>
      <c r="I649" s="413">
        <v>4.9000000000000004</v>
      </c>
      <c r="J649" s="413"/>
      <c r="K649" t="s">
        <v>2997</v>
      </c>
      <c r="O649" s="412">
        <f t="shared" si="57"/>
        <v>4.9000000000000002E-2</v>
      </c>
      <c r="T649">
        <v>1</v>
      </c>
      <c r="U649" t="s">
        <v>2873</v>
      </c>
      <c r="V649" t="s">
        <v>805</v>
      </c>
    </row>
    <row r="650" spans="1:22" x14ac:dyDescent="0.25">
      <c r="A650" t="s">
        <v>2852</v>
      </c>
      <c r="B650" t="s">
        <v>3019</v>
      </c>
      <c r="E650" t="s">
        <v>3020</v>
      </c>
      <c r="F650" t="s">
        <v>2241</v>
      </c>
      <c r="G650" s="411" t="s">
        <v>253</v>
      </c>
      <c r="H650">
        <v>2011</v>
      </c>
      <c r="I650" s="413">
        <v>3.3</v>
      </c>
      <c r="J650" s="413"/>
      <c r="K650" t="s">
        <v>2997</v>
      </c>
      <c r="O650" s="412">
        <f t="shared" si="57"/>
        <v>3.3000000000000002E-2</v>
      </c>
      <c r="T650">
        <v>1</v>
      </c>
      <c r="U650" t="s">
        <v>2873</v>
      </c>
      <c r="V650" t="s">
        <v>805</v>
      </c>
    </row>
    <row r="651" spans="1:22" x14ac:dyDescent="0.25">
      <c r="A651" t="s">
        <v>2852</v>
      </c>
      <c r="B651" t="s">
        <v>3019</v>
      </c>
      <c r="C651" t="str">
        <f t="shared" si="56"/>
        <v>VC24ET04</v>
      </c>
      <c r="E651" t="s">
        <v>3020</v>
      </c>
      <c r="F651" t="s">
        <v>2241</v>
      </c>
      <c r="G651" s="411" t="s">
        <v>253</v>
      </c>
      <c r="H651">
        <v>2016</v>
      </c>
      <c r="I651" s="413">
        <v>3.6</v>
      </c>
      <c r="J651" s="413"/>
      <c r="K651" t="s">
        <v>2997</v>
      </c>
      <c r="O651" s="412">
        <f t="shared" si="57"/>
        <v>3.6000000000000004E-2</v>
      </c>
      <c r="T651">
        <v>1</v>
      </c>
      <c r="U651" t="s">
        <v>2874</v>
      </c>
      <c r="V651" t="s">
        <v>809</v>
      </c>
    </row>
    <row r="652" spans="1:22" x14ac:dyDescent="0.25">
      <c r="A652" t="s">
        <v>2852</v>
      </c>
      <c r="B652" t="s">
        <v>3019</v>
      </c>
      <c r="E652" t="s">
        <v>3020</v>
      </c>
      <c r="F652" t="s">
        <v>2241</v>
      </c>
      <c r="G652" s="411" t="s">
        <v>253</v>
      </c>
      <c r="H652">
        <v>2011</v>
      </c>
      <c r="I652" s="413">
        <v>4</v>
      </c>
      <c r="J652" s="413"/>
      <c r="K652" t="s">
        <v>2997</v>
      </c>
      <c r="O652" s="412">
        <f t="shared" si="57"/>
        <v>0.04</v>
      </c>
      <c r="T652">
        <v>1</v>
      </c>
      <c r="U652" t="s">
        <v>2874</v>
      </c>
      <c r="V652" t="s">
        <v>809</v>
      </c>
    </row>
    <row r="653" spans="1:22" x14ac:dyDescent="0.25">
      <c r="A653" t="s">
        <v>2852</v>
      </c>
      <c r="B653" t="s">
        <v>3019</v>
      </c>
      <c r="C653" t="str">
        <f t="shared" si="56"/>
        <v>VC24ET05</v>
      </c>
      <c r="E653" t="s">
        <v>3020</v>
      </c>
      <c r="F653" t="s">
        <v>2241</v>
      </c>
      <c r="G653" s="411" t="s">
        <v>253</v>
      </c>
      <c r="H653">
        <v>2016</v>
      </c>
      <c r="I653" s="413">
        <v>4.7</v>
      </c>
      <c r="J653" s="413"/>
      <c r="K653" t="s">
        <v>2997</v>
      </c>
      <c r="O653" s="412">
        <f t="shared" si="57"/>
        <v>4.7E-2</v>
      </c>
      <c r="T653">
        <v>1</v>
      </c>
      <c r="U653" t="s">
        <v>2875</v>
      </c>
      <c r="V653" t="s">
        <v>2876</v>
      </c>
    </row>
    <row r="654" spans="1:22" x14ac:dyDescent="0.25">
      <c r="A654" t="s">
        <v>2852</v>
      </c>
      <c r="B654" t="s">
        <v>3019</v>
      </c>
      <c r="E654" t="s">
        <v>3020</v>
      </c>
      <c r="F654" t="s">
        <v>2241</v>
      </c>
      <c r="G654" s="411" t="s">
        <v>253</v>
      </c>
      <c r="H654">
        <v>2011</v>
      </c>
      <c r="I654" s="413">
        <v>5.9</v>
      </c>
      <c r="J654" s="413"/>
      <c r="K654" t="s">
        <v>2997</v>
      </c>
      <c r="O654" s="412">
        <f t="shared" si="57"/>
        <v>5.9000000000000004E-2</v>
      </c>
      <c r="T654">
        <v>1</v>
      </c>
      <c r="U654" t="s">
        <v>2875</v>
      </c>
      <c r="V654" t="s">
        <v>2876</v>
      </c>
    </row>
    <row r="655" spans="1:22" x14ac:dyDescent="0.25">
      <c r="A655" t="s">
        <v>2852</v>
      </c>
      <c r="B655" t="s">
        <v>3019</v>
      </c>
      <c r="C655" t="str">
        <f t="shared" si="56"/>
        <v>VC24ET06</v>
      </c>
      <c r="E655" t="s">
        <v>3020</v>
      </c>
      <c r="F655" t="s">
        <v>2241</v>
      </c>
      <c r="G655" s="411" t="s">
        <v>253</v>
      </c>
      <c r="H655">
        <v>2016</v>
      </c>
      <c r="I655" s="413">
        <v>1.5</v>
      </c>
      <c r="J655" s="413"/>
      <c r="K655" t="s">
        <v>2997</v>
      </c>
      <c r="O655" s="412">
        <f t="shared" si="57"/>
        <v>1.4999999999999999E-2</v>
      </c>
      <c r="T655">
        <v>1</v>
      </c>
      <c r="U655" t="s">
        <v>2878</v>
      </c>
      <c r="V655" t="s">
        <v>2879</v>
      </c>
    </row>
    <row r="656" spans="1:22" x14ac:dyDescent="0.25">
      <c r="A656" t="s">
        <v>2852</v>
      </c>
      <c r="B656" t="s">
        <v>3019</v>
      </c>
      <c r="E656" t="s">
        <v>3020</v>
      </c>
      <c r="F656" t="s">
        <v>2241</v>
      </c>
      <c r="G656" s="411" t="s">
        <v>253</v>
      </c>
      <c r="H656">
        <v>2011</v>
      </c>
      <c r="I656" s="413">
        <v>2.6</v>
      </c>
      <c r="J656" s="413"/>
      <c r="K656" t="s">
        <v>2997</v>
      </c>
      <c r="O656" s="412">
        <f t="shared" si="57"/>
        <v>2.6000000000000002E-2</v>
      </c>
      <c r="T656">
        <v>1</v>
      </c>
      <c r="U656" t="s">
        <v>2878</v>
      </c>
      <c r="V656" t="s">
        <v>2879</v>
      </c>
    </row>
    <row r="657" spans="1:22" x14ac:dyDescent="0.25">
      <c r="A657" t="s">
        <v>2852</v>
      </c>
      <c r="B657" t="s">
        <v>3019</v>
      </c>
      <c r="C657" t="str">
        <f t="shared" si="56"/>
        <v>VC24ET07</v>
      </c>
      <c r="E657" t="s">
        <v>3020</v>
      </c>
      <c r="F657" t="s">
        <v>2241</v>
      </c>
      <c r="G657" s="411" t="s">
        <v>253</v>
      </c>
      <c r="H657">
        <v>2016</v>
      </c>
      <c r="I657" s="413">
        <v>3.1</v>
      </c>
      <c r="J657" s="413"/>
      <c r="K657" t="s">
        <v>2997</v>
      </c>
      <c r="O657" s="412">
        <f t="shared" si="57"/>
        <v>3.1E-2</v>
      </c>
      <c r="T657">
        <v>1</v>
      </c>
      <c r="U657" t="s">
        <v>2880</v>
      </c>
      <c r="V657" t="s">
        <v>2881</v>
      </c>
    </row>
    <row r="658" spans="1:22" x14ac:dyDescent="0.25">
      <c r="A658" t="s">
        <v>2852</v>
      </c>
      <c r="B658" t="s">
        <v>3019</v>
      </c>
      <c r="E658" t="s">
        <v>3020</v>
      </c>
      <c r="F658" t="s">
        <v>2241</v>
      </c>
      <c r="G658" s="411" t="s">
        <v>253</v>
      </c>
      <c r="H658">
        <v>2011</v>
      </c>
      <c r="I658" s="413">
        <v>2.2000000000000002</v>
      </c>
      <c r="J658" s="413"/>
      <c r="K658" t="s">
        <v>2997</v>
      </c>
      <c r="O658" s="412">
        <f t="shared" si="57"/>
        <v>2.2000000000000002E-2</v>
      </c>
      <c r="T658">
        <v>1</v>
      </c>
      <c r="U658" t="s">
        <v>2880</v>
      </c>
      <c r="V658" t="s">
        <v>2881</v>
      </c>
    </row>
    <row r="659" spans="1:22" x14ac:dyDescent="0.25">
      <c r="A659" t="s">
        <v>2852</v>
      </c>
      <c r="B659" t="s">
        <v>3019</v>
      </c>
      <c r="C659" t="str">
        <f t="shared" si="56"/>
        <v>VC24ET12</v>
      </c>
      <c r="E659" t="s">
        <v>3020</v>
      </c>
      <c r="F659" t="s">
        <v>2241</v>
      </c>
      <c r="G659" s="411" t="s">
        <v>253</v>
      </c>
      <c r="H659">
        <v>2016</v>
      </c>
      <c r="I659" s="413">
        <v>3.7</v>
      </c>
      <c r="J659" s="413"/>
      <c r="K659" t="s">
        <v>2997</v>
      </c>
      <c r="O659" s="412">
        <f t="shared" si="57"/>
        <v>3.7000000000000005E-2</v>
      </c>
      <c r="T659">
        <v>1</v>
      </c>
      <c r="U659" t="s">
        <v>2882</v>
      </c>
      <c r="V659" t="s">
        <v>2883</v>
      </c>
    </row>
    <row r="660" spans="1:22" x14ac:dyDescent="0.25">
      <c r="A660" t="s">
        <v>2852</v>
      </c>
      <c r="B660" t="s">
        <v>3019</v>
      </c>
      <c r="E660" t="s">
        <v>3020</v>
      </c>
      <c r="F660" t="s">
        <v>2241</v>
      </c>
      <c r="G660" s="411" t="s">
        <v>253</v>
      </c>
      <c r="H660">
        <v>2011</v>
      </c>
      <c r="I660" s="413">
        <v>6.5</v>
      </c>
      <c r="J660" s="413"/>
      <c r="K660" t="s">
        <v>2997</v>
      </c>
      <c r="O660" s="412">
        <f t="shared" si="57"/>
        <v>6.5000000000000002E-2</v>
      </c>
      <c r="T660">
        <v>1</v>
      </c>
      <c r="U660" t="s">
        <v>2882</v>
      </c>
      <c r="V660" t="s">
        <v>2883</v>
      </c>
    </row>
    <row r="661" spans="1:22" x14ac:dyDescent="0.25">
      <c r="A661" t="s">
        <v>2852</v>
      </c>
      <c r="B661" t="s">
        <v>3019</v>
      </c>
      <c r="C661" t="str">
        <f t="shared" si="56"/>
        <v>VC24ET13</v>
      </c>
      <c r="E661" t="s">
        <v>3020</v>
      </c>
      <c r="F661" t="s">
        <v>2241</v>
      </c>
      <c r="G661" s="411" t="s">
        <v>253</v>
      </c>
      <c r="H661">
        <v>2016</v>
      </c>
      <c r="I661" s="413">
        <v>1.8</v>
      </c>
      <c r="J661" s="413"/>
      <c r="K661" t="s">
        <v>2997</v>
      </c>
      <c r="O661" s="412">
        <f t="shared" si="57"/>
        <v>1.8000000000000002E-2</v>
      </c>
      <c r="T661">
        <v>1</v>
      </c>
      <c r="U661" t="s">
        <v>2884</v>
      </c>
      <c r="V661" t="s">
        <v>2885</v>
      </c>
    </row>
    <row r="662" spans="1:22" x14ac:dyDescent="0.25">
      <c r="A662" t="s">
        <v>2852</v>
      </c>
      <c r="B662" t="s">
        <v>3019</v>
      </c>
      <c r="E662" t="s">
        <v>3020</v>
      </c>
      <c r="F662" t="s">
        <v>2241</v>
      </c>
      <c r="G662" s="411" t="s">
        <v>253</v>
      </c>
      <c r="H662">
        <v>2011</v>
      </c>
      <c r="I662" s="413">
        <v>1.6</v>
      </c>
      <c r="J662" s="413"/>
      <c r="K662" t="s">
        <v>2997</v>
      </c>
      <c r="O662" s="412">
        <f t="shared" si="57"/>
        <v>1.6E-2</v>
      </c>
      <c r="T662">
        <v>1</v>
      </c>
      <c r="U662" t="s">
        <v>2884</v>
      </c>
      <c r="V662" t="s">
        <v>2885</v>
      </c>
    </row>
    <row r="663" spans="1:22" x14ac:dyDescent="0.25">
      <c r="A663" t="s">
        <v>2852</v>
      </c>
      <c r="B663" t="s">
        <v>3019</v>
      </c>
      <c r="C663" t="str">
        <f t="shared" si="56"/>
        <v>VC24ET14</v>
      </c>
      <c r="E663" t="s">
        <v>3020</v>
      </c>
      <c r="F663" t="s">
        <v>2241</v>
      </c>
      <c r="G663" s="411" t="s">
        <v>253</v>
      </c>
      <c r="H663">
        <v>2016</v>
      </c>
      <c r="I663" s="413">
        <v>4.4000000000000004</v>
      </c>
      <c r="J663" s="413"/>
      <c r="K663" t="s">
        <v>2997</v>
      </c>
      <c r="O663" s="412">
        <f t="shared" si="57"/>
        <v>4.4000000000000004E-2</v>
      </c>
      <c r="T663">
        <v>1</v>
      </c>
      <c r="U663" t="s">
        <v>2886</v>
      </c>
      <c r="V663" t="s">
        <v>814</v>
      </c>
    </row>
    <row r="664" spans="1:22" x14ac:dyDescent="0.25">
      <c r="A664" t="s">
        <v>2852</v>
      </c>
      <c r="B664" t="s">
        <v>3019</v>
      </c>
      <c r="E664" t="s">
        <v>3020</v>
      </c>
      <c r="F664" t="s">
        <v>2241</v>
      </c>
      <c r="G664" s="411" t="s">
        <v>253</v>
      </c>
      <c r="H664">
        <v>2011</v>
      </c>
      <c r="I664" s="413">
        <v>2.2000000000000002</v>
      </c>
      <c r="J664" s="413"/>
      <c r="K664" t="s">
        <v>2997</v>
      </c>
      <c r="O664" s="412">
        <f t="shared" si="57"/>
        <v>2.2000000000000002E-2</v>
      </c>
      <c r="T664">
        <v>1</v>
      </c>
      <c r="U664" t="s">
        <v>2886</v>
      </c>
      <c r="V664" t="s">
        <v>814</v>
      </c>
    </row>
    <row r="665" spans="1:22" x14ac:dyDescent="0.25">
      <c r="A665" t="s">
        <v>2852</v>
      </c>
      <c r="B665" t="s">
        <v>3019</v>
      </c>
      <c r="C665" t="str">
        <f t="shared" si="56"/>
        <v>VC24ET15</v>
      </c>
      <c r="E665" t="s">
        <v>3020</v>
      </c>
      <c r="F665" t="s">
        <v>2241</v>
      </c>
      <c r="G665" s="411" t="s">
        <v>253</v>
      </c>
      <c r="H665">
        <v>2016</v>
      </c>
      <c r="I665" s="413">
        <v>3.7</v>
      </c>
      <c r="J665" s="413"/>
      <c r="K665" t="s">
        <v>2997</v>
      </c>
      <c r="O665" s="412">
        <f t="shared" si="57"/>
        <v>3.7000000000000005E-2</v>
      </c>
      <c r="T665">
        <v>1</v>
      </c>
      <c r="U665" t="s">
        <v>2887</v>
      </c>
      <c r="V665" t="s">
        <v>2888</v>
      </c>
    </row>
    <row r="666" spans="1:22" x14ac:dyDescent="0.25">
      <c r="A666" t="s">
        <v>2852</v>
      </c>
      <c r="B666" t="s">
        <v>3019</v>
      </c>
      <c r="E666" t="s">
        <v>3020</v>
      </c>
      <c r="F666" t="s">
        <v>2241</v>
      </c>
      <c r="G666" s="411" t="s">
        <v>253</v>
      </c>
      <c r="H666">
        <v>2011</v>
      </c>
      <c r="I666" s="413">
        <v>1.4</v>
      </c>
      <c r="J666" s="413"/>
      <c r="K666" t="s">
        <v>2997</v>
      </c>
      <c r="O666" s="412">
        <f t="shared" si="57"/>
        <v>1.3999999999999999E-2</v>
      </c>
      <c r="T666">
        <v>1</v>
      </c>
      <c r="U666" t="s">
        <v>2887</v>
      </c>
      <c r="V666" t="s">
        <v>2888</v>
      </c>
    </row>
    <row r="667" spans="1:22" x14ac:dyDescent="0.25">
      <c r="A667" t="s">
        <v>2852</v>
      </c>
      <c r="B667" t="s">
        <v>3021</v>
      </c>
      <c r="C667" t="str">
        <f t="shared" si="56"/>
        <v>VC25ET</v>
      </c>
      <c r="D667" t="s">
        <v>2547</v>
      </c>
      <c r="E667" t="s">
        <v>2549</v>
      </c>
      <c r="F667" t="s">
        <v>2241</v>
      </c>
      <c r="G667" s="411" t="s">
        <v>2545</v>
      </c>
      <c r="H667">
        <v>2016</v>
      </c>
      <c r="I667" s="413">
        <v>3.6</v>
      </c>
      <c r="J667" s="413"/>
      <c r="K667" t="s">
        <v>3022</v>
      </c>
      <c r="O667" s="412">
        <f t="shared" si="57"/>
        <v>3.6000000000000004E-2</v>
      </c>
      <c r="P667" t="s">
        <v>1863</v>
      </c>
      <c r="T667">
        <v>0</v>
      </c>
      <c r="U667" t="s">
        <v>2851</v>
      </c>
      <c r="V667" t="s">
        <v>594</v>
      </c>
    </row>
    <row r="668" spans="1:22" x14ac:dyDescent="0.25">
      <c r="A668" t="s">
        <v>2852</v>
      </c>
      <c r="B668" t="s">
        <v>3021</v>
      </c>
      <c r="E668" t="s">
        <v>3023</v>
      </c>
      <c r="F668" t="s">
        <v>2241</v>
      </c>
      <c r="G668" s="411" t="s">
        <v>2545</v>
      </c>
      <c r="H668">
        <v>2011</v>
      </c>
      <c r="I668" s="413">
        <v>2.2999999999999998</v>
      </c>
      <c r="J668" s="413"/>
      <c r="K668" t="s">
        <v>3022</v>
      </c>
      <c r="O668" s="412">
        <f t="shared" si="57"/>
        <v>2.3E-2</v>
      </c>
      <c r="T668">
        <v>0</v>
      </c>
      <c r="U668" t="s">
        <v>2851</v>
      </c>
      <c r="V668" t="s">
        <v>594</v>
      </c>
    </row>
    <row r="669" spans="1:22" x14ac:dyDescent="0.25">
      <c r="A669" t="s">
        <v>2852</v>
      </c>
      <c r="B669" t="s">
        <v>3021</v>
      </c>
      <c r="C669" t="str">
        <f t="shared" si="56"/>
        <v>VC25ETR</v>
      </c>
      <c r="E669" t="s">
        <v>3023</v>
      </c>
      <c r="F669" t="s">
        <v>2241</v>
      </c>
      <c r="G669" s="411" t="s">
        <v>2545</v>
      </c>
      <c r="H669">
        <v>2016</v>
      </c>
      <c r="I669" s="413">
        <v>3.7</v>
      </c>
      <c r="J669" s="413"/>
      <c r="K669" t="s">
        <v>3022</v>
      </c>
      <c r="O669" s="412">
        <f t="shared" si="57"/>
        <v>3.7000000000000005E-2</v>
      </c>
      <c r="T669">
        <v>0.5</v>
      </c>
      <c r="U669" t="s">
        <v>2868</v>
      </c>
      <c r="V669" t="s">
        <v>84</v>
      </c>
    </row>
    <row r="670" spans="1:22" x14ac:dyDescent="0.25">
      <c r="A670" t="s">
        <v>2852</v>
      </c>
      <c r="B670" t="s">
        <v>3021</v>
      </c>
      <c r="E670" t="s">
        <v>3023</v>
      </c>
      <c r="F670" t="s">
        <v>2241</v>
      </c>
      <c r="G670" s="411" t="s">
        <v>2545</v>
      </c>
      <c r="H670">
        <v>2011</v>
      </c>
      <c r="I670" s="413">
        <v>2.5</v>
      </c>
      <c r="J670" s="413"/>
      <c r="K670" t="s">
        <v>3022</v>
      </c>
      <c r="O670" s="412">
        <f t="shared" si="57"/>
        <v>2.5000000000000001E-2</v>
      </c>
      <c r="T670">
        <v>0.5</v>
      </c>
      <c r="U670" t="s">
        <v>2868</v>
      </c>
      <c r="V670" t="s">
        <v>84</v>
      </c>
    </row>
    <row r="671" spans="1:22" x14ac:dyDescent="0.25">
      <c r="A671" t="s">
        <v>2852</v>
      </c>
      <c r="B671" t="s">
        <v>3021</v>
      </c>
      <c r="C671" t="str">
        <f t="shared" si="56"/>
        <v>VC25ETU</v>
      </c>
      <c r="E671" t="s">
        <v>3023</v>
      </c>
      <c r="F671" t="s">
        <v>2241</v>
      </c>
      <c r="G671" s="411" t="s">
        <v>2545</v>
      </c>
      <c r="H671">
        <v>2016</v>
      </c>
      <c r="I671" s="413">
        <v>3</v>
      </c>
      <c r="J671" s="413"/>
      <c r="K671" t="s">
        <v>3022</v>
      </c>
      <c r="O671" s="412">
        <f t="shared" si="57"/>
        <v>0.03</v>
      </c>
      <c r="T671">
        <v>0.5</v>
      </c>
      <c r="U671" t="s">
        <v>2869</v>
      </c>
      <c r="V671" t="s">
        <v>336</v>
      </c>
    </row>
    <row r="672" spans="1:22" x14ac:dyDescent="0.25">
      <c r="A672" t="s">
        <v>2852</v>
      </c>
      <c r="B672" t="s">
        <v>3021</v>
      </c>
      <c r="E672" t="s">
        <v>3023</v>
      </c>
      <c r="F672" t="s">
        <v>2241</v>
      </c>
      <c r="G672" s="411" t="s">
        <v>2545</v>
      </c>
      <c r="H672">
        <v>2011</v>
      </c>
      <c r="I672" s="413">
        <v>1.7</v>
      </c>
      <c r="J672" s="413"/>
      <c r="K672" t="s">
        <v>3022</v>
      </c>
      <c r="O672" s="412">
        <f t="shared" si="57"/>
        <v>1.7000000000000001E-2</v>
      </c>
      <c r="T672">
        <v>0.5</v>
      </c>
      <c r="U672" t="s">
        <v>2869</v>
      </c>
      <c r="V672" t="s">
        <v>336</v>
      </c>
    </row>
    <row r="673" spans="1:22" x14ac:dyDescent="0.25">
      <c r="A673" t="s">
        <v>2852</v>
      </c>
      <c r="B673" t="s">
        <v>3021</v>
      </c>
      <c r="C673" t="str">
        <f t="shared" si="56"/>
        <v>VC25ET01</v>
      </c>
      <c r="E673" t="s">
        <v>3023</v>
      </c>
      <c r="F673" t="s">
        <v>2241</v>
      </c>
      <c r="G673" s="411" t="s">
        <v>2545</v>
      </c>
      <c r="H673">
        <v>2016</v>
      </c>
      <c r="I673" s="413">
        <v>0.9</v>
      </c>
      <c r="J673" s="413"/>
      <c r="K673" t="s">
        <v>3022</v>
      </c>
      <c r="O673" s="412">
        <f>I673/100</f>
        <v>9.0000000000000011E-3</v>
      </c>
      <c r="T673">
        <v>1</v>
      </c>
      <c r="U673" t="s">
        <v>2870</v>
      </c>
      <c r="V673" t="s">
        <v>806</v>
      </c>
    </row>
    <row r="674" spans="1:22" x14ac:dyDescent="0.25">
      <c r="A674" t="s">
        <v>2852</v>
      </c>
      <c r="B674" t="s">
        <v>3021</v>
      </c>
      <c r="E674" t="s">
        <v>3023</v>
      </c>
      <c r="F674" t="s">
        <v>2241</v>
      </c>
      <c r="G674" s="411" t="s">
        <v>2545</v>
      </c>
      <c r="H674">
        <v>2011</v>
      </c>
      <c r="I674" s="413">
        <v>1.3</v>
      </c>
      <c r="J674" s="413"/>
      <c r="K674" t="s">
        <v>3022</v>
      </c>
      <c r="O674" s="412">
        <f t="shared" si="57"/>
        <v>1.3000000000000001E-2</v>
      </c>
      <c r="T674">
        <v>1</v>
      </c>
      <c r="U674" t="s">
        <v>2870</v>
      </c>
      <c r="V674" t="s">
        <v>806</v>
      </c>
    </row>
    <row r="675" spans="1:22" x14ac:dyDescent="0.25">
      <c r="A675" t="s">
        <v>2852</v>
      </c>
      <c r="B675" t="s">
        <v>3021</v>
      </c>
      <c r="C675" t="str">
        <f t="shared" si="56"/>
        <v>VC25ET02</v>
      </c>
      <c r="E675" t="s">
        <v>3023</v>
      </c>
      <c r="F675" t="s">
        <v>2241</v>
      </c>
      <c r="G675" s="411" t="s">
        <v>2545</v>
      </c>
      <c r="H675">
        <v>2016</v>
      </c>
      <c r="I675" s="413">
        <v>2.5</v>
      </c>
      <c r="J675" s="413"/>
      <c r="K675" t="s">
        <v>3022</v>
      </c>
      <c r="O675" s="412">
        <f t="shared" si="57"/>
        <v>2.5000000000000001E-2</v>
      </c>
      <c r="T675">
        <v>1</v>
      </c>
      <c r="U675" t="s">
        <v>2871</v>
      </c>
      <c r="V675" t="s">
        <v>2948</v>
      </c>
    </row>
    <row r="676" spans="1:22" x14ac:dyDescent="0.25">
      <c r="A676" t="s">
        <v>2852</v>
      </c>
      <c r="B676" t="s">
        <v>3021</v>
      </c>
      <c r="E676" t="s">
        <v>3023</v>
      </c>
      <c r="F676" t="s">
        <v>2241</v>
      </c>
      <c r="G676" s="411" t="s">
        <v>2545</v>
      </c>
      <c r="H676">
        <v>2011</v>
      </c>
      <c r="I676" s="413">
        <v>4.3</v>
      </c>
      <c r="J676" s="413"/>
      <c r="K676" t="s">
        <v>3022</v>
      </c>
      <c r="O676" s="412">
        <f t="shared" si="57"/>
        <v>4.2999999999999997E-2</v>
      </c>
      <c r="T676">
        <v>1</v>
      </c>
      <c r="U676" t="s">
        <v>2871</v>
      </c>
      <c r="V676" t="s">
        <v>2948</v>
      </c>
    </row>
    <row r="677" spans="1:22" x14ac:dyDescent="0.25">
      <c r="A677" t="s">
        <v>2852</v>
      </c>
      <c r="B677" t="s">
        <v>3021</v>
      </c>
      <c r="C677" t="str">
        <f t="shared" si="56"/>
        <v>VC25ET03</v>
      </c>
      <c r="E677" t="s">
        <v>3023</v>
      </c>
      <c r="F677" t="s">
        <v>2241</v>
      </c>
      <c r="G677" s="411" t="s">
        <v>2545</v>
      </c>
      <c r="H677">
        <v>2016</v>
      </c>
      <c r="I677" s="413">
        <v>3.3</v>
      </c>
      <c r="J677" s="413"/>
      <c r="K677" t="s">
        <v>3022</v>
      </c>
      <c r="O677" s="412">
        <f t="shared" si="57"/>
        <v>3.3000000000000002E-2</v>
      </c>
      <c r="T677">
        <v>1</v>
      </c>
      <c r="U677" t="s">
        <v>2873</v>
      </c>
      <c r="V677" t="s">
        <v>805</v>
      </c>
    </row>
    <row r="678" spans="1:22" x14ac:dyDescent="0.25">
      <c r="A678" t="s">
        <v>2852</v>
      </c>
      <c r="B678" t="s">
        <v>3021</v>
      </c>
      <c r="E678" t="s">
        <v>3023</v>
      </c>
      <c r="F678" t="s">
        <v>2241</v>
      </c>
      <c r="G678" s="411" t="s">
        <v>2545</v>
      </c>
      <c r="H678">
        <v>2011</v>
      </c>
      <c r="I678" s="413">
        <v>2.2999999999999998</v>
      </c>
      <c r="J678" s="413"/>
      <c r="K678" t="s">
        <v>3022</v>
      </c>
      <c r="O678" s="412">
        <f t="shared" si="57"/>
        <v>2.3E-2</v>
      </c>
      <c r="T678">
        <v>1</v>
      </c>
      <c r="U678" t="s">
        <v>2873</v>
      </c>
      <c r="V678" t="s">
        <v>805</v>
      </c>
    </row>
    <row r="679" spans="1:22" x14ac:dyDescent="0.25">
      <c r="A679" t="s">
        <v>2852</v>
      </c>
      <c r="B679" t="s">
        <v>3021</v>
      </c>
      <c r="C679" t="str">
        <f t="shared" si="56"/>
        <v>VC25ET04</v>
      </c>
      <c r="E679" t="s">
        <v>3023</v>
      </c>
      <c r="F679" t="s">
        <v>2241</v>
      </c>
      <c r="G679" s="411" t="s">
        <v>2545</v>
      </c>
      <c r="H679">
        <v>2016</v>
      </c>
      <c r="I679" s="413">
        <v>5.7</v>
      </c>
      <c r="J679" s="413"/>
      <c r="K679" t="s">
        <v>3022</v>
      </c>
      <c r="O679" s="412">
        <f t="shared" si="57"/>
        <v>5.7000000000000002E-2</v>
      </c>
      <c r="T679">
        <v>1</v>
      </c>
      <c r="U679" t="s">
        <v>2874</v>
      </c>
      <c r="V679" t="s">
        <v>809</v>
      </c>
    </row>
    <row r="680" spans="1:22" x14ac:dyDescent="0.25">
      <c r="A680" t="s">
        <v>2852</v>
      </c>
      <c r="B680" t="s">
        <v>3021</v>
      </c>
      <c r="E680" t="s">
        <v>3023</v>
      </c>
      <c r="F680" t="s">
        <v>2241</v>
      </c>
      <c r="G680" s="411" t="s">
        <v>2545</v>
      </c>
      <c r="H680">
        <v>2011</v>
      </c>
      <c r="I680" s="413">
        <v>2.5</v>
      </c>
      <c r="J680" s="413"/>
      <c r="K680" t="s">
        <v>3022</v>
      </c>
      <c r="O680" s="412">
        <f t="shared" si="57"/>
        <v>2.5000000000000001E-2</v>
      </c>
      <c r="T680">
        <v>1</v>
      </c>
      <c r="U680" t="s">
        <v>2874</v>
      </c>
      <c r="V680" t="s">
        <v>809</v>
      </c>
    </row>
    <row r="681" spans="1:22" x14ac:dyDescent="0.25">
      <c r="A681" t="s">
        <v>2852</v>
      </c>
      <c r="B681" t="s">
        <v>3021</v>
      </c>
      <c r="C681" t="str">
        <f t="shared" si="56"/>
        <v>VC25ET05</v>
      </c>
      <c r="E681" t="s">
        <v>3023</v>
      </c>
      <c r="F681" t="s">
        <v>2241</v>
      </c>
      <c r="G681" s="411" t="s">
        <v>2545</v>
      </c>
      <c r="H681">
        <v>2016</v>
      </c>
      <c r="I681" s="413">
        <v>3</v>
      </c>
      <c r="J681" s="413"/>
      <c r="K681" t="s">
        <v>3022</v>
      </c>
      <c r="O681" s="412">
        <f t="shared" si="57"/>
        <v>0.03</v>
      </c>
      <c r="T681">
        <v>1</v>
      </c>
      <c r="U681" t="s">
        <v>2875</v>
      </c>
      <c r="V681" t="s">
        <v>2876</v>
      </c>
    </row>
    <row r="682" spans="1:22" x14ac:dyDescent="0.25">
      <c r="A682" t="s">
        <v>2852</v>
      </c>
      <c r="B682" t="s">
        <v>3021</v>
      </c>
      <c r="E682" t="s">
        <v>3023</v>
      </c>
      <c r="F682" t="s">
        <v>2241</v>
      </c>
      <c r="G682" s="411" t="s">
        <v>2545</v>
      </c>
      <c r="H682">
        <v>2011</v>
      </c>
      <c r="I682" s="413">
        <v>7.8</v>
      </c>
      <c r="J682" s="413"/>
      <c r="K682" t="s">
        <v>3022</v>
      </c>
      <c r="O682" s="412">
        <f t="shared" si="57"/>
        <v>7.8E-2</v>
      </c>
      <c r="T682">
        <v>1</v>
      </c>
      <c r="U682" t="s">
        <v>2875</v>
      </c>
      <c r="V682" t="s">
        <v>2876</v>
      </c>
    </row>
    <row r="683" spans="1:22" x14ac:dyDescent="0.25">
      <c r="A683" t="s">
        <v>2852</v>
      </c>
      <c r="B683" t="s">
        <v>3021</v>
      </c>
      <c r="C683" t="str">
        <f t="shared" si="56"/>
        <v>VC25ET06</v>
      </c>
      <c r="E683" t="s">
        <v>3023</v>
      </c>
      <c r="F683" t="s">
        <v>2241</v>
      </c>
      <c r="G683" s="411" t="s">
        <v>2545</v>
      </c>
      <c r="H683">
        <v>2016</v>
      </c>
      <c r="I683" s="413">
        <v>0.9</v>
      </c>
      <c r="J683" s="413"/>
      <c r="K683" t="s">
        <v>3022</v>
      </c>
      <c r="O683" s="412">
        <f t="shared" si="57"/>
        <v>9.0000000000000011E-3</v>
      </c>
      <c r="T683">
        <v>1</v>
      </c>
      <c r="U683" t="s">
        <v>2878</v>
      </c>
      <c r="V683" t="s">
        <v>2879</v>
      </c>
    </row>
    <row r="684" spans="1:22" x14ac:dyDescent="0.25">
      <c r="A684" t="s">
        <v>2852</v>
      </c>
      <c r="B684" t="s">
        <v>3021</v>
      </c>
      <c r="E684" t="s">
        <v>3023</v>
      </c>
      <c r="F684" t="s">
        <v>2241</v>
      </c>
      <c r="G684" s="411" t="s">
        <v>2545</v>
      </c>
      <c r="H684">
        <v>2011</v>
      </c>
      <c r="I684" s="413">
        <v>2.1</v>
      </c>
      <c r="J684" s="413"/>
      <c r="K684" t="s">
        <v>3022</v>
      </c>
      <c r="O684" s="412">
        <f t="shared" si="57"/>
        <v>2.1000000000000001E-2</v>
      </c>
      <c r="T684">
        <v>1</v>
      </c>
      <c r="U684" t="s">
        <v>2878</v>
      </c>
      <c r="V684" t="s">
        <v>2879</v>
      </c>
    </row>
    <row r="685" spans="1:22" x14ac:dyDescent="0.25">
      <c r="A685" t="s">
        <v>2852</v>
      </c>
      <c r="B685" t="s">
        <v>3021</v>
      </c>
      <c r="C685" t="str">
        <f t="shared" si="56"/>
        <v>VC25ET07</v>
      </c>
      <c r="E685" t="s">
        <v>3023</v>
      </c>
      <c r="F685" t="s">
        <v>2241</v>
      </c>
      <c r="G685" s="411" t="s">
        <v>2545</v>
      </c>
      <c r="H685">
        <v>2016</v>
      </c>
      <c r="I685" s="413">
        <v>1.5</v>
      </c>
      <c r="J685" s="413"/>
      <c r="K685" t="s">
        <v>3022</v>
      </c>
      <c r="O685" s="412">
        <f t="shared" si="57"/>
        <v>1.4999999999999999E-2</v>
      </c>
      <c r="T685">
        <v>1</v>
      </c>
      <c r="U685" t="s">
        <v>2880</v>
      </c>
      <c r="V685" t="s">
        <v>2881</v>
      </c>
    </row>
    <row r="686" spans="1:22" x14ac:dyDescent="0.25">
      <c r="A686" t="s">
        <v>2852</v>
      </c>
      <c r="B686" t="s">
        <v>3021</v>
      </c>
      <c r="E686" t="s">
        <v>3023</v>
      </c>
      <c r="F686" t="s">
        <v>2241</v>
      </c>
      <c r="G686" s="411" t="s">
        <v>2545</v>
      </c>
      <c r="H686">
        <v>2011</v>
      </c>
      <c r="I686" s="413">
        <v>2.2000000000000002</v>
      </c>
      <c r="J686" s="413"/>
      <c r="K686" t="s">
        <v>3022</v>
      </c>
      <c r="O686" s="412">
        <f t="shared" si="57"/>
        <v>2.2000000000000002E-2</v>
      </c>
      <c r="T686">
        <v>1</v>
      </c>
      <c r="U686" t="s">
        <v>2880</v>
      </c>
      <c r="V686" t="s">
        <v>2881</v>
      </c>
    </row>
    <row r="687" spans="1:22" x14ac:dyDescent="0.25">
      <c r="A687" t="s">
        <v>2852</v>
      </c>
      <c r="B687" t="s">
        <v>3021</v>
      </c>
      <c r="C687" t="str">
        <f t="shared" si="56"/>
        <v>VC25ET12</v>
      </c>
      <c r="E687" t="s">
        <v>3023</v>
      </c>
      <c r="F687" t="s">
        <v>2241</v>
      </c>
      <c r="G687" s="411" t="s">
        <v>2545</v>
      </c>
      <c r="H687">
        <v>2016</v>
      </c>
      <c r="I687" s="413">
        <v>2.8</v>
      </c>
      <c r="J687" s="413"/>
      <c r="K687" t="s">
        <v>3022</v>
      </c>
      <c r="O687" s="412">
        <f t="shared" si="57"/>
        <v>2.7999999999999997E-2</v>
      </c>
      <c r="T687">
        <v>1</v>
      </c>
      <c r="U687" t="s">
        <v>2882</v>
      </c>
      <c r="V687" t="s">
        <v>2883</v>
      </c>
    </row>
    <row r="688" spans="1:22" x14ac:dyDescent="0.25">
      <c r="A688" t="s">
        <v>2852</v>
      </c>
      <c r="B688" t="s">
        <v>3021</v>
      </c>
      <c r="E688" t="s">
        <v>3023</v>
      </c>
      <c r="F688" t="s">
        <v>2241</v>
      </c>
      <c r="G688" s="411" t="s">
        <v>2545</v>
      </c>
      <c r="H688">
        <v>2011</v>
      </c>
      <c r="I688" s="413">
        <v>3.4</v>
      </c>
      <c r="J688" s="413"/>
      <c r="K688" t="s">
        <v>3022</v>
      </c>
      <c r="O688" s="412">
        <f t="shared" si="57"/>
        <v>3.4000000000000002E-2</v>
      </c>
      <c r="T688">
        <v>1</v>
      </c>
      <c r="U688" t="s">
        <v>2882</v>
      </c>
      <c r="V688" t="s">
        <v>2883</v>
      </c>
    </row>
    <row r="689" spans="1:22" x14ac:dyDescent="0.25">
      <c r="A689" t="s">
        <v>2852</v>
      </c>
      <c r="B689" t="s">
        <v>3021</v>
      </c>
      <c r="C689" t="str">
        <f t="shared" si="56"/>
        <v>VC25ET13</v>
      </c>
      <c r="E689" t="s">
        <v>3023</v>
      </c>
      <c r="F689" t="s">
        <v>2241</v>
      </c>
      <c r="G689" s="411" t="s">
        <v>2545</v>
      </c>
      <c r="H689">
        <v>2016</v>
      </c>
      <c r="I689" s="413">
        <v>5.4</v>
      </c>
      <c r="J689" s="413"/>
      <c r="K689" t="s">
        <v>3022</v>
      </c>
      <c r="O689" s="412">
        <f t="shared" si="57"/>
        <v>5.4000000000000006E-2</v>
      </c>
      <c r="T689">
        <v>1</v>
      </c>
      <c r="U689" t="s">
        <v>2884</v>
      </c>
      <c r="V689" t="s">
        <v>2885</v>
      </c>
    </row>
    <row r="690" spans="1:22" x14ac:dyDescent="0.25">
      <c r="A690" t="s">
        <v>2852</v>
      </c>
      <c r="B690" t="s">
        <v>3021</v>
      </c>
      <c r="E690" t="s">
        <v>3023</v>
      </c>
      <c r="F690" t="s">
        <v>2241</v>
      </c>
      <c r="G690" s="411" t="s">
        <v>2545</v>
      </c>
      <c r="H690">
        <v>2011</v>
      </c>
      <c r="I690" s="413">
        <v>0.7</v>
      </c>
      <c r="J690" s="413"/>
      <c r="K690" t="s">
        <v>3022</v>
      </c>
      <c r="O690" s="412">
        <f t="shared" si="57"/>
        <v>6.9999999999999993E-3</v>
      </c>
      <c r="T690">
        <v>1</v>
      </c>
      <c r="U690" t="s">
        <v>2884</v>
      </c>
      <c r="V690" t="s">
        <v>2885</v>
      </c>
    </row>
    <row r="691" spans="1:22" x14ac:dyDescent="0.25">
      <c r="A691" t="s">
        <v>2852</v>
      </c>
      <c r="B691" t="s">
        <v>3021</v>
      </c>
      <c r="C691" t="str">
        <f t="shared" si="56"/>
        <v>VC25ET14</v>
      </c>
      <c r="E691" t="s">
        <v>3023</v>
      </c>
      <c r="F691" t="s">
        <v>2241</v>
      </c>
      <c r="G691" s="411" t="s">
        <v>2545</v>
      </c>
      <c r="H691">
        <v>2016</v>
      </c>
      <c r="I691" s="413">
        <v>1.3</v>
      </c>
      <c r="J691" s="413"/>
      <c r="K691" t="s">
        <v>3022</v>
      </c>
      <c r="O691" s="412">
        <f t="shared" si="57"/>
        <v>1.3000000000000001E-2</v>
      </c>
      <c r="T691">
        <v>1</v>
      </c>
      <c r="U691" t="s">
        <v>2886</v>
      </c>
      <c r="V691" t="s">
        <v>814</v>
      </c>
    </row>
    <row r="692" spans="1:22" x14ac:dyDescent="0.25">
      <c r="A692" t="s">
        <v>2852</v>
      </c>
      <c r="B692" t="s">
        <v>3021</v>
      </c>
      <c r="E692" t="s">
        <v>3023</v>
      </c>
      <c r="F692" t="s">
        <v>2241</v>
      </c>
      <c r="G692" s="411" t="s">
        <v>2545</v>
      </c>
      <c r="H692">
        <v>2011</v>
      </c>
      <c r="I692" s="413">
        <v>0.4</v>
      </c>
      <c r="J692" s="413"/>
      <c r="K692" t="s">
        <v>3022</v>
      </c>
      <c r="O692" s="412">
        <f t="shared" si="57"/>
        <v>4.0000000000000001E-3</v>
      </c>
      <c r="T692">
        <v>1</v>
      </c>
      <c r="U692" t="s">
        <v>2886</v>
      </c>
      <c r="V692" t="s">
        <v>814</v>
      </c>
    </row>
    <row r="693" spans="1:22" x14ac:dyDescent="0.25">
      <c r="A693" t="s">
        <v>2852</v>
      </c>
      <c r="B693" t="s">
        <v>3021</v>
      </c>
      <c r="C693" t="str">
        <f t="shared" si="56"/>
        <v>VC25ET15</v>
      </c>
      <c r="E693" t="s">
        <v>3023</v>
      </c>
      <c r="F693" t="s">
        <v>2241</v>
      </c>
      <c r="G693" s="411" t="s">
        <v>2545</v>
      </c>
      <c r="H693">
        <v>2016</v>
      </c>
      <c r="I693" s="413">
        <v>2.2000000000000002</v>
      </c>
      <c r="J693" s="413"/>
      <c r="K693" t="s">
        <v>3022</v>
      </c>
      <c r="O693" s="412">
        <f t="shared" si="57"/>
        <v>2.2000000000000002E-2</v>
      </c>
      <c r="T693">
        <v>1</v>
      </c>
      <c r="U693" t="s">
        <v>2887</v>
      </c>
      <c r="V693" t="s">
        <v>2888</v>
      </c>
    </row>
    <row r="694" spans="1:22" x14ac:dyDescent="0.25">
      <c r="A694" t="s">
        <v>2852</v>
      </c>
      <c r="B694" t="s">
        <v>3021</v>
      </c>
      <c r="E694" t="s">
        <v>3023</v>
      </c>
      <c r="F694" t="s">
        <v>2241</v>
      </c>
      <c r="G694" s="411" t="s">
        <v>2545</v>
      </c>
      <c r="H694">
        <v>2011</v>
      </c>
      <c r="I694" s="413">
        <v>2.1</v>
      </c>
      <c r="J694" s="413"/>
      <c r="K694" t="s">
        <v>3022</v>
      </c>
      <c r="O694" s="412">
        <f t="shared" si="57"/>
        <v>2.1000000000000001E-2</v>
      </c>
      <c r="T694">
        <v>1</v>
      </c>
      <c r="U694" t="s">
        <v>2887</v>
      </c>
      <c r="V694" t="s">
        <v>2888</v>
      </c>
    </row>
    <row r="695" spans="1:22" x14ac:dyDescent="0.25">
      <c r="A695" t="s">
        <v>3024</v>
      </c>
      <c r="B695" t="s">
        <v>3025</v>
      </c>
      <c r="C695" t="str">
        <f>_xlfn.CONCAT(B695,U695)</f>
        <v>VC26ET</v>
      </c>
      <c r="F695" t="s">
        <v>241</v>
      </c>
      <c r="G695" s="411" t="s">
        <v>2544</v>
      </c>
      <c r="H695">
        <v>2020</v>
      </c>
      <c r="I695" s="181">
        <v>0.20927000000000001</v>
      </c>
      <c r="J695" s="181"/>
      <c r="K695" t="s">
        <v>3026</v>
      </c>
      <c r="O695" s="412">
        <f>I695/1000</f>
        <v>2.0927000000000001E-4</v>
      </c>
      <c r="P695" t="s">
        <v>2196</v>
      </c>
      <c r="Q695" s="422">
        <v>0.91</v>
      </c>
      <c r="R695" t="s">
        <v>3027</v>
      </c>
      <c r="T695">
        <v>0</v>
      </c>
      <c r="U695" t="s">
        <v>2851</v>
      </c>
      <c r="V695" t="s">
        <v>594</v>
      </c>
    </row>
    <row r="696" spans="1:22" x14ac:dyDescent="0.25">
      <c r="A696" t="s">
        <v>3028</v>
      </c>
      <c r="B696" t="s">
        <v>3029</v>
      </c>
      <c r="C696" t="str">
        <f>_xlfn.CONCAT(B696,U696)</f>
        <v>VC27ET</v>
      </c>
      <c r="D696" t="s">
        <v>2698</v>
      </c>
      <c r="E696" t="s">
        <v>3030</v>
      </c>
      <c r="F696" t="s">
        <v>241</v>
      </c>
      <c r="G696" s="411" t="s">
        <v>2544</v>
      </c>
      <c r="H696">
        <v>2020</v>
      </c>
      <c r="I696" s="412">
        <v>0.86197000000000001</v>
      </c>
      <c r="K696" t="s">
        <v>3031</v>
      </c>
      <c r="O696" s="412">
        <f>I696/100</f>
        <v>8.619700000000001E-3</v>
      </c>
      <c r="P696" t="s">
        <v>1863</v>
      </c>
      <c r="Q696" s="422">
        <v>0.95799999999999996</v>
      </c>
      <c r="R696" t="s">
        <v>3032</v>
      </c>
      <c r="T696">
        <v>0</v>
      </c>
      <c r="U696" t="s">
        <v>2851</v>
      </c>
      <c r="V696" t="s">
        <v>594</v>
      </c>
    </row>
    <row r="697" spans="1:22" x14ac:dyDescent="0.25">
      <c r="A697" t="s">
        <v>2852</v>
      </c>
      <c r="B697" t="s">
        <v>3029</v>
      </c>
      <c r="E697" t="s">
        <v>3033</v>
      </c>
      <c r="F697" t="s">
        <v>241</v>
      </c>
      <c r="G697" s="411" t="s">
        <v>253</v>
      </c>
      <c r="H697">
        <v>2020</v>
      </c>
      <c r="I697" s="412">
        <v>0.83085141172013355</v>
      </c>
      <c r="K697" t="s">
        <v>3034</v>
      </c>
      <c r="L697" t="s">
        <v>3035</v>
      </c>
      <c r="O697" s="412">
        <f>I697/100</f>
        <v>8.3085141172013349E-3</v>
      </c>
      <c r="P697" t="s">
        <v>1863</v>
      </c>
      <c r="Q697" s="422">
        <v>0.91219046649149427</v>
      </c>
      <c r="R697" t="s">
        <v>3036</v>
      </c>
      <c r="T697">
        <v>0</v>
      </c>
      <c r="U697" t="s">
        <v>2851</v>
      </c>
      <c r="V697" t="s">
        <v>594</v>
      </c>
    </row>
    <row r="698" spans="1:22" x14ac:dyDescent="0.25">
      <c r="A698" t="s">
        <v>2852</v>
      </c>
      <c r="B698" t="s">
        <v>3029</v>
      </c>
      <c r="E698" t="s">
        <v>3033</v>
      </c>
      <c r="F698" t="s">
        <v>241</v>
      </c>
      <c r="G698" s="411" t="s">
        <v>253</v>
      </c>
      <c r="H698">
        <v>2016</v>
      </c>
      <c r="I698">
        <v>1.2</v>
      </c>
      <c r="J698" t="s">
        <v>3037</v>
      </c>
      <c r="K698" t="s">
        <v>3034</v>
      </c>
      <c r="L698" t="s">
        <v>1863</v>
      </c>
      <c r="O698" s="412">
        <f t="shared" ref="O698:O720" si="58">I698/100</f>
        <v>1.2E-2</v>
      </c>
      <c r="P698" t="s">
        <v>1863</v>
      </c>
      <c r="Q698" s="422"/>
      <c r="T698">
        <v>0</v>
      </c>
      <c r="U698" t="s">
        <v>2851</v>
      </c>
      <c r="V698" t="s">
        <v>594</v>
      </c>
    </row>
    <row r="699" spans="1:22" x14ac:dyDescent="0.25">
      <c r="A699" t="s">
        <v>2852</v>
      </c>
      <c r="B699" t="s">
        <v>3029</v>
      </c>
      <c r="C699" t="str">
        <f>_xlfn.CONCAT(B699,U699)</f>
        <v>VC27ET01</v>
      </c>
      <c r="E699" t="s">
        <v>3033</v>
      </c>
      <c r="F699" t="s">
        <v>241</v>
      </c>
      <c r="G699" s="411" t="s">
        <v>253</v>
      </c>
      <c r="H699">
        <v>2020</v>
      </c>
      <c r="I699" s="412">
        <v>1.1041450292522077</v>
      </c>
      <c r="K699" t="s">
        <v>3034</v>
      </c>
      <c r="L699" t="s">
        <v>3035</v>
      </c>
      <c r="O699" s="412">
        <f t="shared" si="58"/>
        <v>1.1041450292522077E-2</v>
      </c>
      <c r="P699" t="s">
        <v>1863</v>
      </c>
      <c r="Q699" s="422">
        <v>0.92626171891560682</v>
      </c>
      <c r="R699" t="s">
        <v>3036</v>
      </c>
      <c r="T699">
        <v>1</v>
      </c>
      <c r="U699" t="s">
        <v>2870</v>
      </c>
      <c r="V699" t="s">
        <v>806</v>
      </c>
    </row>
    <row r="700" spans="1:22" x14ac:dyDescent="0.25">
      <c r="A700" t="s">
        <v>2852</v>
      </c>
      <c r="B700" t="s">
        <v>3029</v>
      </c>
      <c r="E700" t="s">
        <v>3033</v>
      </c>
      <c r="F700" t="s">
        <v>241</v>
      </c>
      <c r="G700" s="411" t="s">
        <v>253</v>
      </c>
      <c r="H700">
        <v>2016</v>
      </c>
      <c r="I700">
        <v>1.5</v>
      </c>
      <c r="J700" t="s">
        <v>3038</v>
      </c>
      <c r="K700" t="s">
        <v>3034</v>
      </c>
      <c r="L700" t="s">
        <v>1863</v>
      </c>
      <c r="O700" s="412">
        <f t="shared" si="58"/>
        <v>1.4999999999999999E-2</v>
      </c>
      <c r="P700" t="s">
        <v>1863</v>
      </c>
      <c r="Q700" s="422"/>
      <c r="T700">
        <v>1</v>
      </c>
      <c r="U700" t="s">
        <v>2870</v>
      </c>
      <c r="V700" t="s">
        <v>806</v>
      </c>
    </row>
    <row r="701" spans="1:22" x14ac:dyDescent="0.25">
      <c r="A701" t="s">
        <v>2852</v>
      </c>
      <c r="B701" t="s">
        <v>3029</v>
      </c>
      <c r="C701" t="str">
        <f>_xlfn.CONCAT(B701,U701)</f>
        <v>VC27ET02</v>
      </c>
      <c r="E701" t="s">
        <v>3033</v>
      </c>
      <c r="F701" t="s">
        <v>241</v>
      </c>
      <c r="G701" s="411" t="s">
        <v>253</v>
      </c>
      <c r="H701">
        <v>2020</v>
      </c>
      <c r="I701" s="412">
        <v>1.3384186273168297</v>
      </c>
      <c r="K701" t="s">
        <v>3034</v>
      </c>
      <c r="L701" t="s">
        <v>3035</v>
      </c>
      <c r="O701" s="412">
        <f t="shared" si="58"/>
        <v>1.3384186273168296E-2</v>
      </c>
      <c r="P701" t="s">
        <v>1863</v>
      </c>
      <c r="Q701" s="422">
        <v>0.956352499790037</v>
      </c>
      <c r="R701" t="s">
        <v>3036</v>
      </c>
      <c r="T701">
        <v>1</v>
      </c>
      <c r="U701" t="s">
        <v>2871</v>
      </c>
      <c r="V701" t="s">
        <v>2948</v>
      </c>
    </row>
    <row r="702" spans="1:22" x14ac:dyDescent="0.25">
      <c r="A702" t="s">
        <v>2852</v>
      </c>
      <c r="B702" t="s">
        <v>3029</v>
      </c>
      <c r="E702" t="s">
        <v>3033</v>
      </c>
      <c r="F702" t="s">
        <v>241</v>
      </c>
      <c r="G702" s="411" t="s">
        <v>253</v>
      </c>
      <c r="H702">
        <v>2016</v>
      </c>
      <c r="I702">
        <v>1.6</v>
      </c>
      <c r="J702" t="s">
        <v>3039</v>
      </c>
      <c r="K702" t="s">
        <v>3034</v>
      </c>
      <c r="L702" t="s">
        <v>1863</v>
      </c>
      <c r="O702" s="412">
        <f t="shared" si="58"/>
        <v>1.6E-2</v>
      </c>
      <c r="P702" t="s">
        <v>1863</v>
      </c>
      <c r="Q702" s="422"/>
      <c r="T702">
        <v>1</v>
      </c>
      <c r="U702" t="s">
        <v>2871</v>
      </c>
      <c r="V702" t="s">
        <v>2948</v>
      </c>
    </row>
    <row r="703" spans="1:22" x14ac:dyDescent="0.25">
      <c r="A703" t="s">
        <v>2852</v>
      </c>
      <c r="B703" t="s">
        <v>3029</v>
      </c>
      <c r="C703" t="str">
        <f>_xlfn.CONCAT(B703,U703)</f>
        <v>VC27ET03</v>
      </c>
      <c r="E703" t="s">
        <v>3033</v>
      </c>
      <c r="F703" t="s">
        <v>241</v>
      </c>
      <c r="G703" s="411" t="s">
        <v>253</v>
      </c>
      <c r="H703">
        <v>2020</v>
      </c>
      <c r="I703" s="412">
        <v>0.85341424846683123</v>
      </c>
      <c r="K703" t="s">
        <v>3034</v>
      </c>
      <c r="L703" t="s">
        <v>3035</v>
      </c>
      <c r="O703" s="412">
        <f t="shared" si="58"/>
        <v>8.5341424846683122E-3</v>
      </c>
      <c r="P703" t="s">
        <v>1863</v>
      </c>
      <c r="Q703" s="422">
        <v>0.90012771589162677</v>
      </c>
      <c r="R703" t="s">
        <v>3036</v>
      </c>
      <c r="T703">
        <v>1</v>
      </c>
      <c r="U703" t="s">
        <v>2873</v>
      </c>
      <c r="V703" t="s">
        <v>805</v>
      </c>
    </row>
    <row r="704" spans="1:22" x14ac:dyDescent="0.25">
      <c r="A704" t="s">
        <v>2852</v>
      </c>
      <c r="B704" t="s">
        <v>3029</v>
      </c>
      <c r="E704" t="s">
        <v>3033</v>
      </c>
      <c r="F704" t="s">
        <v>241</v>
      </c>
      <c r="G704" s="411" t="s">
        <v>253</v>
      </c>
      <c r="H704">
        <v>2016</v>
      </c>
      <c r="I704">
        <v>1.3</v>
      </c>
      <c r="J704" t="s">
        <v>3040</v>
      </c>
      <c r="K704" t="s">
        <v>3034</v>
      </c>
      <c r="L704" t="s">
        <v>1863</v>
      </c>
      <c r="O704" s="412">
        <f t="shared" si="58"/>
        <v>1.3000000000000001E-2</v>
      </c>
      <c r="P704" t="s">
        <v>1863</v>
      </c>
      <c r="Q704" s="422"/>
      <c r="T704">
        <v>1</v>
      </c>
      <c r="U704" t="s">
        <v>2873</v>
      </c>
      <c r="V704" t="s">
        <v>805</v>
      </c>
    </row>
    <row r="705" spans="1:22" x14ac:dyDescent="0.25">
      <c r="A705" t="s">
        <v>2852</v>
      </c>
      <c r="B705" t="s">
        <v>3029</v>
      </c>
      <c r="C705" t="str">
        <f>_xlfn.CONCAT(B705,U705)</f>
        <v>VC27ET04</v>
      </c>
      <c r="E705" t="s">
        <v>3033</v>
      </c>
      <c r="F705" t="s">
        <v>241</v>
      </c>
      <c r="G705" s="411" t="s">
        <v>253</v>
      </c>
      <c r="H705">
        <v>2020</v>
      </c>
      <c r="I705" s="412">
        <v>0.96239232623358451</v>
      </c>
      <c r="K705" t="s">
        <v>3034</v>
      </c>
      <c r="L705" t="s">
        <v>3035</v>
      </c>
      <c r="O705" s="412">
        <f t="shared" si="58"/>
        <v>9.6239232623358453E-3</v>
      </c>
      <c r="P705" t="s">
        <v>1863</v>
      </c>
      <c r="Q705" s="422">
        <v>0.96714116000060635</v>
      </c>
      <c r="R705" t="s">
        <v>3036</v>
      </c>
      <c r="T705">
        <v>1</v>
      </c>
      <c r="U705" t="s">
        <v>2874</v>
      </c>
      <c r="V705" t="s">
        <v>809</v>
      </c>
    </row>
    <row r="706" spans="1:22" x14ac:dyDescent="0.25">
      <c r="A706" t="s">
        <v>2852</v>
      </c>
      <c r="B706" t="s">
        <v>3029</v>
      </c>
      <c r="E706" t="s">
        <v>3033</v>
      </c>
      <c r="F706" t="s">
        <v>241</v>
      </c>
      <c r="G706" s="411" t="s">
        <v>253</v>
      </c>
      <c r="H706">
        <v>2016</v>
      </c>
      <c r="I706">
        <v>1.1000000000000001</v>
      </c>
      <c r="J706" t="s">
        <v>3041</v>
      </c>
      <c r="K706" t="s">
        <v>3034</v>
      </c>
      <c r="L706" t="s">
        <v>1863</v>
      </c>
      <c r="O706" s="412">
        <f t="shared" si="58"/>
        <v>1.1000000000000001E-2</v>
      </c>
      <c r="P706" t="s">
        <v>1863</v>
      </c>
      <c r="Q706" s="422"/>
      <c r="T706">
        <v>1</v>
      </c>
      <c r="U706" t="s">
        <v>2874</v>
      </c>
      <c r="V706" t="s">
        <v>809</v>
      </c>
    </row>
    <row r="707" spans="1:22" x14ac:dyDescent="0.25">
      <c r="A707" t="s">
        <v>2852</v>
      </c>
      <c r="B707" t="s">
        <v>3029</v>
      </c>
      <c r="C707" t="str">
        <f>_xlfn.CONCAT(B707,U707)</f>
        <v>VC27ET05</v>
      </c>
      <c r="E707" t="s">
        <v>3033</v>
      </c>
      <c r="F707" t="s">
        <v>241</v>
      </c>
      <c r="G707" s="411" t="s">
        <v>253</v>
      </c>
      <c r="H707">
        <v>2020</v>
      </c>
      <c r="I707" s="412">
        <v>0.1</v>
      </c>
      <c r="K707" t="s">
        <v>3034</v>
      </c>
      <c r="L707" t="s">
        <v>3035</v>
      </c>
      <c r="O707" s="412">
        <f t="shared" si="58"/>
        <v>1E-3</v>
      </c>
      <c r="P707" t="s">
        <v>1863</v>
      </c>
      <c r="Q707" s="422">
        <v>1</v>
      </c>
      <c r="R707" t="s">
        <v>3042</v>
      </c>
      <c r="T707">
        <v>1</v>
      </c>
      <c r="U707" t="s">
        <v>2875</v>
      </c>
      <c r="V707" t="s">
        <v>2876</v>
      </c>
    </row>
    <row r="708" spans="1:22" x14ac:dyDescent="0.25">
      <c r="A708" t="s">
        <v>2852</v>
      </c>
      <c r="B708" t="s">
        <v>3029</v>
      </c>
      <c r="E708" t="s">
        <v>3033</v>
      </c>
      <c r="F708" t="s">
        <v>241</v>
      </c>
      <c r="G708" s="411" t="s">
        <v>253</v>
      </c>
      <c r="H708">
        <v>2016</v>
      </c>
      <c r="I708">
        <v>0.1</v>
      </c>
      <c r="J708" t="s">
        <v>3043</v>
      </c>
      <c r="K708" t="s">
        <v>3034</v>
      </c>
      <c r="L708" t="s">
        <v>1863</v>
      </c>
      <c r="O708" s="412">
        <f t="shared" si="58"/>
        <v>1E-3</v>
      </c>
      <c r="P708" t="s">
        <v>1863</v>
      </c>
      <c r="Q708" s="422"/>
      <c r="T708">
        <v>1</v>
      </c>
      <c r="U708" t="s">
        <v>2875</v>
      </c>
      <c r="V708" t="s">
        <v>2876</v>
      </c>
    </row>
    <row r="709" spans="1:22" x14ac:dyDescent="0.25">
      <c r="A709" t="s">
        <v>2852</v>
      </c>
      <c r="B709" t="s">
        <v>3029</v>
      </c>
      <c r="C709" t="str">
        <f>_xlfn.CONCAT(B709,U709)</f>
        <v>VC27ET06</v>
      </c>
      <c r="E709" t="s">
        <v>3033</v>
      </c>
      <c r="F709" t="s">
        <v>241</v>
      </c>
      <c r="G709" s="411" t="s">
        <v>253</v>
      </c>
      <c r="H709">
        <v>2020</v>
      </c>
      <c r="I709" s="412">
        <v>1.5242522040469724</v>
      </c>
      <c r="K709" t="s">
        <v>3034</v>
      </c>
      <c r="L709" t="s">
        <v>3035</v>
      </c>
      <c r="O709" s="412">
        <f t="shared" si="58"/>
        <v>1.5242522040469724E-2</v>
      </c>
      <c r="P709" t="s">
        <v>1863</v>
      </c>
      <c r="Q709" s="422">
        <v>0.98794828634196963</v>
      </c>
      <c r="R709" t="s">
        <v>3036</v>
      </c>
      <c r="T709">
        <v>1</v>
      </c>
      <c r="U709" t="s">
        <v>2878</v>
      </c>
      <c r="V709" t="s">
        <v>2879</v>
      </c>
    </row>
    <row r="710" spans="1:22" x14ac:dyDescent="0.25">
      <c r="A710" t="s">
        <v>2852</v>
      </c>
      <c r="B710" t="s">
        <v>3029</v>
      </c>
      <c r="E710" t="s">
        <v>3033</v>
      </c>
      <c r="F710" t="s">
        <v>241</v>
      </c>
      <c r="G710" s="411" t="s">
        <v>253</v>
      </c>
      <c r="H710">
        <v>2016</v>
      </c>
      <c r="I710">
        <v>1.6</v>
      </c>
      <c r="J710" t="s">
        <v>3044</v>
      </c>
      <c r="K710" t="s">
        <v>3034</v>
      </c>
      <c r="L710" t="s">
        <v>1863</v>
      </c>
      <c r="O710" s="412">
        <f t="shared" si="58"/>
        <v>1.6E-2</v>
      </c>
      <c r="P710" t="s">
        <v>1863</v>
      </c>
      <c r="Q710" s="422"/>
      <c r="T710">
        <v>1</v>
      </c>
      <c r="U710" t="s">
        <v>2878</v>
      </c>
      <c r="V710" t="s">
        <v>2879</v>
      </c>
    </row>
    <row r="711" spans="1:22" x14ac:dyDescent="0.25">
      <c r="A711" t="s">
        <v>2852</v>
      </c>
      <c r="B711" t="s">
        <v>3029</v>
      </c>
      <c r="C711" t="str">
        <f>_xlfn.CONCAT(B711,U711)</f>
        <v>VC27ET07</v>
      </c>
      <c r="E711" t="s">
        <v>3033</v>
      </c>
      <c r="F711" t="s">
        <v>241</v>
      </c>
      <c r="G711" s="411" t="s">
        <v>253</v>
      </c>
      <c r="H711">
        <v>2020</v>
      </c>
      <c r="I711" s="412">
        <v>0.5</v>
      </c>
      <c r="K711" t="s">
        <v>3034</v>
      </c>
      <c r="L711" t="s">
        <v>3035</v>
      </c>
      <c r="O711" s="412">
        <f t="shared" si="58"/>
        <v>5.0000000000000001E-3</v>
      </c>
      <c r="P711" t="s">
        <v>1863</v>
      </c>
      <c r="Q711" s="422">
        <v>1</v>
      </c>
      <c r="R711" t="s">
        <v>3042</v>
      </c>
      <c r="T711">
        <v>1</v>
      </c>
      <c r="U711" t="s">
        <v>2880</v>
      </c>
      <c r="V711" t="s">
        <v>2881</v>
      </c>
    </row>
    <row r="712" spans="1:22" x14ac:dyDescent="0.25">
      <c r="A712" t="s">
        <v>2852</v>
      </c>
      <c r="B712" t="s">
        <v>3029</v>
      </c>
      <c r="E712" t="s">
        <v>3033</v>
      </c>
      <c r="F712" t="s">
        <v>241</v>
      </c>
      <c r="G712" s="411" t="s">
        <v>253</v>
      </c>
      <c r="H712">
        <v>2016</v>
      </c>
      <c r="I712">
        <v>0.5</v>
      </c>
      <c r="J712" t="s">
        <v>3045</v>
      </c>
      <c r="K712" t="s">
        <v>3034</v>
      </c>
      <c r="L712" t="s">
        <v>1863</v>
      </c>
      <c r="O712" s="412">
        <f t="shared" si="58"/>
        <v>5.0000000000000001E-3</v>
      </c>
      <c r="P712" t="s">
        <v>1863</v>
      </c>
      <c r="Q712" s="422"/>
      <c r="T712">
        <v>1</v>
      </c>
      <c r="U712" t="s">
        <v>2880</v>
      </c>
      <c r="V712" t="s">
        <v>2881</v>
      </c>
    </row>
    <row r="713" spans="1:22" x14ac:dyDescent="0.25">
      <c r="A713" t="s">
        <v>2852</v>
      </c>
      <c r="B713" t="s">
        <v>3029</v>
      </c>
      <c r="C713" t="str">
        <f>_xlfn.CONCAT(B713,U713)</f>
        <v>VC27ET12</v>
      </c>
      <c r="E713" t="s">
        <v>3033</v>
      </c>
      <c r="F713" t="s">
        <v>241</v>
      </c>
      <c r="G713" s="411" t="s">
        <v>253</v>
      </c>
      <c r="H713">
        <v>2020</v>
      </c>
      <c r="I713" s="412">
        <v>4.3900863962584324</v>
      </c>
      <c r="K713" t="s">
        <v>3034</v>
      </c>
      <c r="L713" t="s">
        <v>3035</v>
      </c>
      <c r="O713" s="412">
        <f t="shared" si="58"/>
        <v>4.3900863962584323E-2</v>
      </c>
      <c r="P713" t="s">
        <v>1863</v>
      </c>
      <c r="Q713" s="422">
        <v>0.93680576112425107</v>
      </c>
      <c r="R713" t="s">
        <v>3036</v>
      </c>
      <c r="T713">
        <v>1</v>
      </c>
      <c r="U713" t="s">
        <v>2882</v>
      </c>
      <c r="V713" t="s">
        <v>2883</v>
      </c>
    </row>
    <row r="714" spans="1:22" x14ac:dyDescent="0.25">
      <c r="A714" t="s">
        <v>2852</v>
      </c>
      <c r="B714" t="s">
        <v>3029</v>
      </c>
      <c r="E714" t="s">
        <v>3033</v>
      </c>
      <c r="F714" t="s">
        <v>241</v>
      </c>
      <c r="G714" s="411" t="s">
        <v>253</v>
      </c>
      <c r="H714">
        <v>2016</v>
      </c>
      <c r="I714">
        <v>5.7</v>
      </c>
      <c r="J714" t="s">
        <v>3046</v>
      </c>
      <c r="K714" t="s">
        <v>3034</v>
      </c>
      <c r="L714" t="s">
        <v>1863</v>
      </c>
      <c r="O714" s="412">
        <f t="shared" si="58"/>
        <v>5.7000000000000002E-2</v>
      </c>
      <c r="P714" t="s">
        <v>1863</v>
      </c>
      <c r="T714">
        <v>1</v>
      </c>
      <c r="U714" t="s">
        <v>2882</v>
      </c>
      <c r="V714" t="s">
        <v>2883</v>
      </c>
    </row>
    <row r="715" spans="1:22" x14ac:dyDescent="0.25">
      <c r="A715" t="s">
        <v>2852</v>
      </c>
      <c r="B715" t="s">
        <v>3029</v>
      </c>
      <c r="C715" t="str">
        <f>_xlfn.CONCAT(B715,U715)</f>
        <v>VC27ET13</v>
      </c>
      <c r="E715" t="s">
        <v>3033</v>
      </c>
      <c r="F715" t="s">
        <v>241</v>
      </c>
      <c r="G715" s="411" t="s">
        <v>253</v>
      </c>
      <c r="H715">
        <v>2020</v>
      </c>
      <c r="I715" s="412">
        <v>3.2771445850492595</v>
      </c>
      <c r="K715" t="s">
        <v>3034</v>
      </c>
      <c r="L715" t="s">
        <v>3035</v>
      </c>
      <c r="O715" s="412">
        <f t="shared" si="58"/>
        <v>3.2771445850492596E-2</v>
      </c>
      <c r="P715" t="s">
        <v>1863</v>
      </c>
      <c r="Q715" s="422">
        <v>0.98368690390810465</v>
      </c>
      <c r="R715" t="s">
        <v>3036</v>
      </c>
      <c r="T715">
        <v>1</v>
      </c>
      <c r="U715" t="s">
        <v>2884</v>
      </c>
      <c r="V715" t="s">
        <v>2885</v>
      </c>
    </row>
    <row r="716" spans="1:22" x14ac:dyDescent="0.25">
      <c r="A716" t="s">
        <v>2852</v>
      </c>
      <c r="B716" t="s">
        <v>3029</v>
      </c>
      <c r="E716" t="s">
        <v>3033</v>
      </c>
      <c r="F716" t="s">
        <v>241</v>
      </c>
      <c r="G716" s="411" t="s">
        <v>253</v>
      </c>
      <c r="H716">
        <v>2016</v>
      </c>
      <c r="I716">
        <v>3.5</v>
      </c>
      <c r="J716" t="s">
        <v>3047</v>
      </c>
      <c r="K716" t="s">
        <v>3034</v>
      </c>
      <c r="L716" t="s">
        <v>1863</v>
      </c>
      <c r="O716" s="412">
        <f t="shared" si="58"/>
        <v>3.5000000000000003E-2</v>
      </c>
      <c r="P716" t="s">
        <v>1863</v>
      </c>
      <c r="T716">
        <v>1</v>
      </c>
      <c r="U716" t="s">
        <v>2884</v>
      </c>
      <c r="V716" t="s">
        <v>2885</v>
      </c>
    </row>
    <row r="717" spans="1:22" x14ac:dyDescent="0.25">
      <c r="A717" t="s">
        <v>2852</v>
      </c>
      <c r="B717" t="s">
        <v>3029</v>
      </c>
      <c r="C717" t="str">
        <f>_xlfn.CONCAT(B717,U717)</f>
        <v>VC27ET14</v>
      </c>
      <c r="E717" t="s">
        <v>3033</v>
      </c>
      <c r="F717" t="s">
        <v>241</v>
      </c>
      <c r="G717" s="411" t="s">
        <v>253</v>
      </c>
      <c r="H717">
        <v>2020</v>
      </c>
      <c r="I717" s="412">
        <v>3.1573863159301916</v>
      </c>
      <c r="K717" t="s">
        <v>3034</v>
      </c>
      <c r="L717" t="s">
        <v>3035</v>
      </c>
      <c r="O717" s="412">
        <f t="shared" si="58"/>
        <v>3.1573863159301913E-2</v>
      </c>
      <c r="P717" t="s">
        <v>1863</v>
      </c>
      <c r="Q717" s="422">
        <v>0.93114991509483769</v>
      </c>
      <c r="R717" t="s">
        <v>3036</v>
      </c>
      <c r="T717">
        <v>1</v>
      </c>
      <c r="U717" t="s">
        <v>2886</v>
      </c>
      <c r="V717" t="s">
        <v>814</v>
      </c>
    </row>
    <row r="718" spans="1:22" x14ac:dyDescent="0.25">
      <c r="A718" t="s">
        <v>2852</v>
      </c>
      <c r="B718" t="s">
        <v>3029</v>
      </c>
      <c r="E718" t="s">
        <v>3033</v>
      </c>
      <c r="F718" t="s">
        <v>241</v>
      </c>
      <c r="G718" s="411" t="s">
        <v>253</v>
      </c>
      <c r="H718">
        <v>2016</v>
      </c>
      <c r="I718">
        <v>4.2</v>
      </c>
      <c r="J718" t="s">
        <v>3048</v>
      </c>
      <c r="K718" t="s">
        <v>3034</v>
      </c>
      <c r="L718" t="s">
        <v>1863</v>
      </c>
      <c r="O718" s="412">
        <f t="shared" si="58"/>
        <v>4.2000000000000003E-2</v>
      </c>
      <c r="P718" t="s">
        <v>1863</v>
      </c>
      <c r="T718">
        <v>1</v>
      </c>
      <c r="U718" t="s">
        <v>2886</v>
      </c>
      <c r="V718" t="s">
        <v>814</v>
      </c>
    </row>
    <row r="719" spans="1:22" x14ac:dyDescent="0.25">
      <c r="A719" t="s">
        <v>2852</v>
      </c>
      <c r="B719" t="s">
        <v>3029</v>
      </c>
      <c r="C719" t="str">
        <f>_xlfn.CONCAT(B719,U719)</f>
        <v>VC27ET15</v>
      </c>
      <c r="E719" t="s">
        <v>3033</v>
      </c>
      <c r="F719" t="s">
        <v>241</v>
      </c>
      <c r="G719" s="411" t="s">
        <v>253</v>
      </c>
      <c r="H719">
        <v>2020</v>
      </c>
      <c r="I719" s="412">
        <v>2.9685728787672567</v>
      </c>
      <c r="K719" t="s">
        <v>3034</v>
      </c>
      <c r="L719" t="s">
        <v>3035</v>
      </c>
      <c r="O719" s="412">
        <f t="shared" si="58"/>
        <v>2.9685728787672568E-2</v>
      </c>
      <c r="P719" t="s">
        <v>1863</v>
      </c>
      <c r="Q719" s="422">
        <v>0.95966557859456925</v>
      </c>
      <c r="R719" t="s">
        <v>3036</v>
      </c>
      <c r="T719">
        <v>1</v>
      </c>
      <c r="U719" t="s">
        <v>2887</v>
      </c>
      <c r="V719" t="s">
        <v>2888</v>
      </c>
    </row>
    <row r="720" spans="1:22" x14ac:dyDescent="0.25">
      <c r="A720" t="s">
        <v>2852</v>
      </c>
      <c r="B720" t="s">
        <v>3029</v>
      </c>
      <c r="E720" t="s">
        <v>3033</v>
      </c>
      <c r="F720" t="s">
        <v>241</v>
      </c>
      <c r="G720" s="411" t="s">
        <v>253</v>
      </c>
      <c r="H720">
        <v>2016</v>
      </c>
      <c r="I720">
        <v>3.5</v>
      </c>
      <c r="J720" t="s">
        <v>3049</v>
      </c>
      <c r="K720" t="s">
        <v>3034</v>
      </c>
      <c r="L720" t="s">
        <v>1863</v>
      </c>
      <c r="O720" s="412">
        <f t="shared" si="58"/>
        <v>3.5000000000000003E-2</v>
      </c>
      <c r="P720" t="s">
        <v>1863</v>
      </c>
      <c r="Q720" s="422"/>
      <c r="T720">
        <v>1</v>
      </c>
      <c r="U720" t="s">
        <v>2887</v>
      </c>
      <c r="V720" t="s">
        <v>2888</v>
      </c>
    </row>
    <row r="721" spans="1:22" x14ac:dyDescent="0.25">
      <c r="A721" t="s">
        <v>2852</v>
      </c>
      <c r="B721" t="s">
        <v>3050</v>
      </c>
      <c r="C721" t="str">
        <f>_xlfn.CONCAT(B721,U721)</f>
        <v>VC28ET</v>
      </c>
      <c r="E721" t="s">
        <v>2367</v>
      </c>
      <c r="F721" t="s">
        <v>2848</v>
      </c>
      <c r="G721" s="411" t="s">
        <v>212</v>
      </c>
      <c r="H721">
        <v>2019</v>
      </c>
      <c r="I721" s="413">
        <v>4.7</v>
      </c>
      <c r="J721" s="413"/>
      <c r="K721" t="s">
        <v>3051</v>
      </c>
      <c r="L721" t="s">
        <v>2893</v>
      </c>
      <c r="O721" s="412">
        <f>1/I721</f>
        <v>0.21276595744680851</v>
      </c>
      <c r="P721" t="s">
        <v>3052</v>
      </c>
      <c r="T721">
        <v>0</v>
      </c>
      <c r="U721" t="s">
        <v>2851</v>
      </c>
      <c r="V721" t="s">
        <v>594</v>
      </c>
    </row>
    <row r="722" spans="1:22" x14ac:dyDescent="0.25">
      <c r="A722" t="s">
        <v>2852</v>
      </c>
      <c r="B722" t="s">
        <v>3050</v>
      </c>
      <c r="C722" t="str">
        <f t="shared" ref="C722:C734" si="59">_xlfn.CONCAT(B722,U722)</f>
        <v>VC28ETR</v>
      </c>
      <c r="E722" t="s">
        <v>2367</v>
      </c>
      <c r="F722" t="s">
        <v>2848</v>
      </c>
      <c r="G722" s="411" t="s">
        <v>212</v>
      </c>
      <c r="H722">
        <v>2019</v>
      </c>
      <c r="I722" s="413">
        <v>5</v>
      </c>
      <c r="J722" s="413"/>
      <c r="K722" t="s">
        <v>3051</v>
      </c>
      <c r="L722" t="s">
        <v>2893</v>
      </c>
      <c r="O722" s="412">
        <f t="shared" ref="O722:O734" si="60">1/I722</f>
        <v>0.2</v>
      </c>
      <c r="P722" t="s">
        <v>3052</v>
      </c>
      <c r="T722">
        <v>0.5</v>
      </c>
      <c r="U722" t="s">
        <v>2868</v>
      </c>
      <c r="V722" t="s">
        <v>84</v>
      </c>
    </row>
    <row r="723" spans="1:22" x14ac:dyDescent="0.25">
      <c r="A723" t="s">
        <v>2852</v>
      </c>
      <c r="B723" t="s">
        <v>3050</v>
      </c>
      <c r="C723" t="str">
        <f t="shared" si="59"/>
        <v>VC28ETU</v>
      </c>
      <c r="E723" t="s">
        <v>2367</v>
      </c>
      <c r="F723" t="s">
        <v>2848</v>
      </c>
      <c r="G723" s="411" t="s">
        <v>212</v>
      </c>
      <c r="H723">
        <v>2019</v>
      </c>
      <c r="I723" s="413">
        <v>4.0999999999999996</v>
      </c>
      <c r="J723" s="413"/>
      <c r="K723" t="s">
        <v>3051</v>
      </c>
      <c r="L723" t="s">
        <v>2893</v>
      </c>
      <c r="O723" s="412">
        <f t="shared" si="60"/>
        <v>0.24390243902439027</v>
      </c>
      <c r="P723" t="s">
        <v>3052</v>
      </c>
      <c r="T723">
        <v>0.5</v>
      </c>
      <c r="U723" t="s">
        <v>2869</v>
      </c>
      <c r="V723" t="s">
        <v>336</v>
      </c>
    </row>
    <row r="724" spans="1:22" x14ac:dyDescent="0.25">
      <c r="A724" t="s">
        <v>2852</v>
      </c>
      <c r="B724" t="s">
        <v>3050</v>
      </c>
      <c r="C724" t="str">
        <f t="shared" si="59"/>
        <v>VC28ET01</v>
      </c>
      <c r="E724" t="s">
        <v>2367</v>
      </c>
      <c r="F724" t="s">
        <v>2848</v>
      </c>
      <c r="G724" s="411" t="s">
        <v>212</v>
      </c>
      <c r="H724">
        <v>2019</v>
      </c>
      <c r="I724" s="413">
        <v>4.3</v>
      </c>
      <c r="J724" s="413"/>
      <c r="K724" t="s">
        <v>3051</v>
      </c>
      <c r="L724" t="s">
        <v>2893</v>
      </c>
      <c r="O724" s="412">
        <f t="shared" si="60"/>
        <v>0.23255813953488372</v>
      </c>
      <c r="P724" t="s">
        <v>3052</v>
      </c>
      <c r="T724">
        <v>1</v>
      </c>
      <c r="U724" t="s">
        <v>2870</v>
      </c>
      <c r="V724" t="s">
        <v>806</v>
      </c>
    </row>
    <row r="725" spans="1:22" x14ac:dyDescent="0.25">
      <c r="A725" t="s">
        <v>2852</v>
      </c>
      <c r="B725" t="s">
        <v>3050</v>
      </c>
      <c r="C725" t="str">
        <f t="shared" si="59"/>
        <v>VC28ET02</v>
      </c>
      <c r="E725" t="s">
        <v>2367</v>
      </c>
      <c r="F725" t="s">
        <v>2848</v>
      </c>
      <c r="G725" s="411" t="s">
        <v>212</v>
      </c>
      <c r="H725">
        <v>2019</v>
      </c>
      <c r="I725" s="413">
        <v>4.8</v>
      </c>
      <c r="J725" s="413"/>
      <c r="K725" t="s">
        <v>3051</v>
      </c>
      <c r="L725" t="s">
        <v>2893</v>
      </c>
      <c r="O725" s="412">
        <f t="shared" si="60"/>
        <v>0.20833333333333334</v>
      </c>
      <c r="P725" t="s">
        <v>3052</v>
      </c>
      <c r="T725">
        <v>1</v>
      </c>
      <c r="U725" t="s">
        <v>2871</v>
      </c>
      <c r="V725" t="s">
        <v>2948</v>
      </c>
    </row>
    <row r="726" spans="1:22" x14ac:dyDescent="0.25">
      <c r="A726" t="s">
        <v>2852</v>
      </c>
      <c r="B726" t="s">
        <v>3050</v>
      </c>
      <c r="C726" t="str">
        <f t="shared" si="59"/>
        <v>VC28ET03</v>
      </c>
      <c r="E726" t="s">
        <v>2367</v>
      </c>
      <c r="F726" t="s">
        <v>2848</v>
      </c>
      <c r="G726" s="411" t="s">
        <v>212</v>
      </c>
      <c r="H726">
        <v>2019</v>
      </c>
      <c r="I726" s="413">
        <v>4</v>
      </c>
      <c r="J726" s="413"/>
      <c r="K726" t="s">
        <v>3051</v>
      </c>
      <c r="L726" t="s">
        <v>2893</v>
      </c>
      <c r="O726" s="412">
        <f t="shared" si="60"/>
        <v>0.25</v>
      </c>
      <c r="P726" t="s">
        <v>3052</v>
      </c>
      <c r="T726">
        <v>1</v>
      </c>
      <c r="U726" t="s">
        <v>2873</v>
      </c>
      <c r="V726" t="s">
        <v>805</v>
      </c>
    </row>
    <row r="727" spans="1:22" x14ac:dyDescent="0.25">
      <c r="A727" t="s">
        <v>2852</v>
      </c>
      <c r="B727" t="s">
        <v>3050</v>
      </c>
      <c r="C727" t="str">
        <f t="shared" si="59"/>
        <v>VC28ET04</v>
      </c>
      <c r="E727" t="s">
        <v>2367</v>
      </c>
      <c r="F727" t="s">
        <v>2848</v>
      </c>
      <c r="G727" s="411" t="s">
        <v>212</v>
      </c>
      <c r="H727">
        <v>2019</v>
      </c>
      <c r="I727" s="413">
        <v>5.2</v>
      </c>
      <c r="J727" s="413"/>
      <c r="K727" t="s">
        <v>3051</v>
      </c>
      <c r="L727" t="s">
        <v>2893</v>
      </c>
      <c r="O727" s="412">
        <f t="shared" si="60"/>
        <v>0.19230769230769229</v>
      </c>
      <c r="P727" t="s">
        <v>3052</v>
      </c>
      <c r="T727">
        <v>1</v>
      </c>
      <c r="U727" t="s">
        <v>2874</v>
      </c>
      <c r="V727" t="s">
        <v>809</v>
      </c>
    </row>
    <row r="728" spans="1:22" x14ac:dyDescent="0.25">
      <c r="A728" t="s">
        <v>2852</v>
      </c>
      <c r="B728" t="s">
        <v>3050</v>
      </c>
      <c r="C728" t="str">
        <f t="shared" si="59"/>
        <v>VC28ET05</v>
      </c>
      <c r="E728" t="s">
        <v>2367</v>
      </c>
      <c r="F728" t="s">
        <v>2848</v>
      </c>
      <c r="G728" s="411" t="s">
        <v>212</v>
      </c>
      <c r="H728">
        <v>2019</v>
      </c>
      <c r="I728" s="413">
        <v>6</v>
      </c>
      <c r="J728" s="413"/>
      <c r="K728" t="s">
        <v>3051</v>
      </c>
      <c r="L728" t="s">
        <v>2893</v>
      </c>
      <c r="O728" s="412">
        <f t="shared" si="60"/>
        <v>0.16666666666666666</v>
      </c>
      <c r="P728" t="s">
        <v>3052</v>
      </c>
      <c r="T728">
        <v>1</v>
      </c>
      <c r="U728" t="s">
        <v>2875</v>
      </c>
      <c r="V728" t="s">
        <v>2876</v>
      </c>
    </row>
    <row r="729" spans="1:22" x14ac:dyDescent="0.25">
      <c r="A729" t="s">
        <v>2852</v>
      </c>
      <c r="B729" t="s">
        <v>3050</v>
      </c>
      <c r="C729" t="str">
        <f t="shared" si="59"/>
        <v>VC28ET06</v>
      </c>
      <c r="E729" t="s">
        <v>2367</v>
      </c>
      <c r="F729" t="s">
        <v>2848</v>
      </c>
      <c r="G729" s="411" t="s">
        <v>212</v>
      </c>
      <c r="H729">
        <v>2019</v>
      </c>
      <c r="I729" s="413">
        <v>4.7</v>
      </c>
      <c r="J729" s="413"/>
      <c r="K729" t="s">
        <v>3051</v>
      </c>
      <c r="L729" t="s">
        <v>2893</v>
      </c>
      <c r="O729" s="412">
        <f t="shared" si="60"/>
        <v>0.21276595744680851</v>
      </c>
      <c r="P729" t="s">
        <v>3052</v>
      </c>
      <c r="T729">
        <v>1</v>
      </c>
      <c r="U729" t="s">
        <v>2878</v>
      </c>
      <c r="V729" t="s">
        <v>2879</v>
      </c>
    </row>
    <row r="730" spans="1:22" x14ac:dyDescent="0.25">
      <c r="A730" t="s">
        <v>2852</v>
      </c>
      <c r="B730" t="s">
        <v>3050</v>
      </c>
      <c r="C730" t="str">
        <f t="shared" si="59"/>
        <v>VC28ET07</v>
      </c>
      <c r="E730" t="s">
        <v>2367</v>
      </c>
      <c r="F730" t="s">
        <v>2848</v>
      </c>
      <c r="G730" s="411" t="s">
        <v>212</v>
      </c>
      <c r="H730">
        <v>2019</v>
      </c>
      <c r="I730" s="413">
        <v>4.9000000000000004</v>
      </c>
      <c r="J730" s="413"/>
      <c r="K730" t="s">
        <v>3051</v>
      </c>
      <c r="L730" t="s">
        <v>2893</v>
      </c>
      <c r="O730" s="412">
        <f t="shared" si="60"/>
        <v>0.2040816326530612</v>
      </c>
      <c r="P730" t="s">
        <v>3052</v>
      </c>
      <c r="T730">
        <v>1</v>
      </c>
      <c r="U730" t="s">
        <v>2880</v>
      </c>
      <c r="V730" t="s">
        <v>2881</v>
      </c>
    </row>
    <row r="731" spans="1:22" x14ac:dyDescent="0.25">
      <c r="A731" t="s">
        <v>2852</v>
      </c>
      <c r="B731" t="s">
        <v>3050</v>
      </c>
      <c r="C731" t="str">
        <f t="shared" si="59"/>
        <v>VC28ET12</v>
      </c>
      <c r="E731" t="s">
        <v>2367</v>
      </c>
      <c r="F731" t="s">
        <v>2848</v>
      </c>
      <c r="G731" s="411" t="s">
        <v>212</v>
      </c>
      <c r="H731">
        <v>2019</v>
      </c>
      <c r="I731" s="413">
        <v>4.4000000000000004</v>
      </c>
      <c r="J731" s="413"/>
      <c r="K731" t="s">
        <v>3051</v>
      </c>
      <c r="L731" t="s">
        <v>2893</v>
      </c>
      <c r="O731" s="412">
        <f t="shared" si="60"/>
        <v>0.22727272727272727</v>
      </c>
      <c r="P731" t="s">
        <v>3052</v>
      </c>
      <c r="T731">
        <v>1</v>
      </c>
      <c r="U731" t="s">
        <v>2882</v>
      </c>
      <c r="V731" t="s">
        <v>2883</v>
      </c>
    </row>
    <row r="732" spans="1:22" x14ac:dyDescent="0.25">
      <c r="A732" t="s">
        <v>2852</v>
      </c>
      <c r="B732" t="s">
        <v>3050</v>
      </c>
      <c r="C732" t="str">
        <f t="shared" si="59"/>
        <v>VC28ET13</v>
      </c>
      <c r="E732" t="s">
        <v>2367</v>
      </c>
      <c r="F732" t="s">
        <v>2848</v>
      </c>
      <c r="G732" s="411" t="s">
        <v>212</v>
      </c>
      <c r="H732">
        <v>2019</v>
      </c>
      <c r="I732" s="413">
        <v>4.4000000000000004</v>
      </c>
      <c r="J732" s="413"/>
      <c r="K732" t="s">
        <v>3051</v>
      </c>
      <c r="L732" t="s">
        <v>2893</v>
      </c>
      <c r="O732" s="412">
        <f t="shared" si="60"/>
        <v>0.22727272727272727</v>
      </c>
      <c r="P732" t="s">
        <v>3052</v>
      </c>
      <c r="T732">
        <v>1</v>
      </c>
      <c r="U732" t="s">
        <v>2884</v>
      </c>
      <c r="V732" t="s">
        <v>2885</v>
      </c>
    </row>
    <row r="733" spans="1:22" x14ac:dyDescent="0.25">
      <c r="A733" t="s">
        <v>2852</v>
      </c>
      <c r="B733" t="s">
        <v>3050</v>
      </c>
      <c r="C733" t="str">
        <f t="shared" si="59"/>
        <v>VC28ET14</v>
      </c>
      <c r="E733" t="s">
        <v>2367</v>
      </c>
      <c r="F733" t="s">
        <v>2848</v>
      </c>
      <c r="G733" s="411" t="s">
        <v>212</v>
      </c>
      <c r="H733">
        <v>2019</v>
      </c>
      <c r="I733" s="413">
        <v>3.6</v>
      </c>
      <c r="J733" s="413"/>
      <c r="K733" t="s">
        <v>3051</v>
      </c>
      <c r="L733" t="s">
        <v>2893</v>
      </c>
      <c r="O733" s="412">
        <f t="shared" si="60"/>
        <v>0.27777777777777779</v>
      </c>
      <c r="P733" t="s">
        <v>3052</v>
      </c>
      <c r="T733">
        <v>1</v>
      </c>
      <c r="U733" t="s">
        <v>2886</v>
      </c>
      <c r="V733" t="s">
        <v>814</v>
      </c>
    </row>
    <row r="734" spans="1:22" x14ac:dyDescent="0.25">
      <c r="A734" t="s">
        <v>2852</v>
      </c>
      <c r="B734" t="s">
        <v>3050</v>
      </c>
      <c r="C734" t="str">
        <f t="shared" si="59"/>
        <v>VC28ET15</v>
      </c>
      <c r="E734" t="s">
        <v>2367</v>
      </c>
      <c r="F734" t="s">
        <v>2848</v>
      </c>
      <c r="G734" s="411" t="s">
        <v>212</v>
      </c>
      <c r="H734">
        <v>2019</v>
      </c>
      <c r="I734" s="413">
        <v>4.2</v>
      </c>
      <c r="J734" s="413"/>
      <c r="K734" t="s">
        <v>3051</v>
      </c>
      <c r="L734" t="s">
        <v>2893</v>
      </c>
      <c r="O734" s="412">
        <f t="shared" si="60"/>
        <v>0.23809523809523808</v>
      </c>
      <c r="P734" t="s">
        <v>3052</v>
      </c>
      <c r="T734">
        <v>1</v>
      </c>
      <c r="U734" t="s">
        <v>2887</v>
      </c>
      <c r="V734" t="s">
        <v>2888</v>
      </c>
    </row>
    <row r="735" spans="1:22" x14ac:dyDescent="0.25">
      <c r="A735" t="s">
        <v>3053</v>
      </c>
      <c r="D735" t="s">
        <v>2356</v>
      </c>
      <c r="E735" t="s">
        <v>3054</v>
      </c>
      <c r="F735" t="s">
        <v>69</v>
      </c>
      <c r="G735" s="411" t="s">
        <v>201</v>
      </c>
      <c r="H735" t="s">
        <v>3055</v>
      </c>
      <c r="I735">
        <v>13.61</v>
      </c>
      <c r="K735" t="s">
        <v>3056</v>
      </c>
      <c r="L735" t="s">
        <v>2911</v>
      </c>
      <c r="R735" s="417" t="s">
        <v>3057</v>
      </c>
      <c r="T735">
        <v>0</v>
      </c>
      <c r="U735" t="s">
        <v>2851</v>
      </c>
      <c r="V735" t="s">
        <v>594</v>
      </c>
    </row>
    <row r="736" spans="1:22" x14ac:dyDescent="0.25">
      <c r="A736" t="s">
        <v>3053</v>
      </c>
      <c r="E736" t="s">
        <v>3054</v>
      </c>
      <c r="F736" t="s">
        <v>69</v>
      </c>
      <c r="G736" s="411" t="s">
        <v>201</v>
      </c>
      <c r="H736" t="s">
        <v>3055</v>
      </c>
      <c r="I736">
        <v>12.41</v>
      </c>
      <c r="K736" t="s">
        <v>3056</v>
      </c>
      <c r="L736" t="s">
        <v>2911</v>
      </c>
      <c r="R736" s="417" t="s">
        <v>3057</v>
      </c>
      <c r="T736">
        <v>1</v>
      </c>
      <c r="U736" t="s">
        <v>2873</v>
      </c>
      <c r="V736" t="s">
        <v>805</v>
      </c>
    </row>
    <row r="737" spans="1:22" x14ac:dyDescent="0.25">
      <c r="A737" t="s">
        <v>3053</v>
      </c>
      <c r="E737" t="s">
        <v>3054</v>
      </c>
      <c r="F737" t="s">
        <v>69</v>
      </c>
      <c r="G737" s="411" t="s">
        <v>201</v>
      </c>
      <c r="H737" t="s">
        <v>3055</v>
      </c>
      <c r="I737">
        <v>13.11</v>
      </c>
      <c r="K737" t="s">
        <v>3056</v>
      </c>
      <c r="L737" t="s">
        <v>2911</v>
      </c>
      <c r="R737" s="417" t="s">
        <v>3057</v>
      </c>
      <c r="T737">
        <v>1</v>
      </c>
      <c r="U737" t="s">
        <v>2874</v>
      </c>
      <c r="V737" t="s">
        <v>809</v>
      </c>
    </row>
    <row r="738" spans="1:22" x14ac:dyDescent="0.25">
      <c r="A738" t="s">
        <v>3053</v>
      </c>
      <c r="E738" t="s">
        <v>3054</v>
      </c>
      <c r="F738" t="s">
        <v>69</v>
      </c>
      <c r="G738" s="411" t="s">
        <v>201</v>
      </c>
      <c r="H738" t="s">
        <v>3055</v>
      </c>
      <c r="I738">
        <v>16.170000000000002</v>
      </c>
      <c r="K738" t="s">
        <v>3056</v>
      </c>
      <c r="L738" t="s">
        <v>2911</v>
      </c>
      <c r="R738" s="417" t="s">
        <v>3057</v>
      </c>
      <c r="T738">
        <v>1</v>
      </c>
      <c r="U738" t="s">
        <v>2880</v>
      </c>
      <c r="V738" t="s">
        <v>807</v>
      </c>
    </row>
    <row r="739" spans="1:22" s="408" customFormat="1" x14ac:dyDescent="0.25">
      <c r="A739" s="408" t="s">
        <v>3058</v>
      </c>
      <c r="E739" s="408" t="s">
        <v>3059</v>
      </c>
      <c r="F739" s="408" t="s">
        <v>69</v>
      </c>
      <c r="G739" s="409" t="s">
        <v>212</v>
      </c>
      <c r="H739" s="408">
        <v>2015</v>
      </c>
      <c r="I739" s="408">
        <v>68</v>
      </c>
      <c r="K739" s="408" t="s">
        <v>3060</v>
      </c>
      <c r="L739" s="408" t="s">
        <v>3061</v>
      </c>
      <c r="Q739" s="424"/>
      <c r="R739" s="408" t="s">
        <v>3062</v>
      </c>
      <c r="T739" s="408">
        <v>0</v>
      </c>
      <c r="U739" s="408" t="s">
        <v>2851</v>
      </c>
      <c r="V739" s="408" t="s">
        <v>594</v>
      </c>
    </row>
    <row r="740" spans="1:22" x14ac:dyDescent="0.25">
      <c r="A740" t="s">
        <v>3063</v>
      </c>
      <c r="E740" t="s">
        <v>3064</v>
      </c>
      <c r="F740" t="s">
        <v>69</v>
      </c>
      <c r="G740" s="411" t="s">
        <v>212</v>
      </c>
      <c r="H740">
        <v>2005</v>
      </c>
      <c r="I740" s="60">
        <v>27.1</v>
      </c>
      <c r="J740" s="60"/>
      <c r="K740" t="s">
        <v>3065</v>
      </c>
      <c r="L740" t="s">
        <v>3066</v>
      </c>
      <c r="O740" s="412">
        <f>I740/1000</f>
        <v>2.7100000000000003E-2</v>
      </c>
      <c r="R740" s="425" t="s">
        <v>3067</v>
      </c>
      <c r="T740">
        <v>0</v>
      </c>
      <c r="U740" t="s">
        <v>2851</v>
      </c>
      <c r="V740" t="s">
        <v>594</v>
      </c>
    </row>
    <row r="741" spans="1:22" x14ac:dyDescent="0.25">
      <c r="A741" t="s">
        <v>3063</v>
      </c>
      <c r="E741" t="s">
        <v>3064</v>
      </c>
      <c r="F741" t="s">
        <v>69</v>
      </c>
      <c r="G741" s="411" t="s">
        <v>212</v>
      </c>
      <c r="H741">
        <v>2006</v>
      </c>
      <c r="I741" s="60">
        <v>22.4</v>
      </c>
      <c r="J741" s="60"/>
      <c r="K741" t="s">
        <v>3065</v>
      </c>
      <c r="L741" t="s">
        <v>3066</v>
      </c>
      <c r="O741" s="412">
        <f t="shared" ref="O741:O796" si="61">I741/1000</f>
        <v>2.24E-2</v>
      </c>
      <c r="R741" s="425" t="s">
        <v>3067</v>
      </c>
      <c r="T741">
        <v>0</v>
      </c>
      <c r="U741" t="s">
        <v>2851</v>
      </c>
      <c r="V741" t="s">
        <v>594</v>
      </c>
    </row>
    <row r="742" spans="1:22" x14ac:dyDescent="0.25">
      <c r="A742" t="s">
        <v>3063</v>
      </c>
      <c r="E742" t="s">
        <v>3064</v>
      </c>
      <c r="F742" t="s">
        <v>69</v>
      </c>
      <c r="G742" s="411" t="s">
        <v>212</v>
      </c>
      <c r="H742">
        <v>2007</v>
      </c>
      <c r="I742" s="60">
        <v>19.93</v>
      </c>
      <c r="J742" s="60"/>
      <c r="K742" t="s">
        <v>3065</v>
      </c>
      <c r="L742" t="s">
        <v>3066</v>
      </c>
      <c r="O742" s="412">
        <f t="shared" si="61"/>
        <v>1.993E-2</v>
      </c>
      <c r="R742" s="425" t="s">
        <v>3067</v>
      </c>
      <c r="T742">
        <v>0</v>
      </c>
      <c r="U742" t="s">
        <v>2851</v>
      </c>
      <c r="V742" t="s">
        <v>594</v>
      </c>
    </row>
    <row r="743" spans="1:22" x14ac:dyDescent="0.25">
      <c r="A743" t="s">
        <v>3063</v>
      </c>
      <c r="E743" t="s">
        <v>3064</v>
      </c>
      <c r="F743" t="s">
        <v>69</v>
      </c>
      <c r="G743" s="411" t="s">
        <v>212</v>
      </c>
      <c r="H743">
        <v>2008</v>
      </c>
      <c r="I743" s="60">
        <v>23.95</v>
      </c>
      <c r="J743" s="60"/>
      <c r="K743" t="s">
        <v>3065</v>
      </c>
      <c r="L743" t="s">
        <v>3066</v>
      </c>
      <c r="O743" s="412">
        <f t="shared" si="61"/>
        <v>2.3949999999999999E-2</v>
      </c>
      <c r="Q743" s="417">
        <f>AVERAGE(I743/I742, I742/I741, I741/I740)</f>
        <v>0.97266879314598098</v>
      </c>
      <c r="R743" s="425" t="s">
        <v>3067</v>
      </c>
      <c r="T743">
        <v>0</v>
      </c>
      <c r="U743" t="s">
        <v>2851</v>
      </c>
      <c r="V743" t="s">
        <v>594</v>
      </c>
    </row>
    <row r="744" spans="1:22" x14ac:dyDescent="0.25">
      <c r="A744" t="s">
        <v>3063</v>
      </c>
      <c r="E744" t="s">
        <v>3064</v>
      </c>
      <c r="F744" t="s">
        <v>69</v>
      </c>
      <c r="G744" s="411" t="s">
        <v>212</v>
      </c>
      <c r="H744">
        <v>2005</v>
      </c>
      <c r="I744" s="60">
        <v>84.832471836006093</v>
      </c>
      <c r="J744" s="60"/>
      <c r="K744" t="s">
        <v>3065</v>
      </c>
      <c r="L744" t="s">
        <v>3066</v>
      </c>
      <c r="O744" s="412">
        <f t="shared" si="61"/>
        <v>8.483247183600609E-2</v>
      </c>
      <c r="R744" s="425"/>
      <c r="T744">
        <v>1</v>
      </c>
      <c r="U744" t="s">
        <v>2886</v>
      </c>
      <c r="V744" t="s">
        <v>814</v>
      </c>
    </row>
    <row r="745" spans="1:22" x14ac:dyDescent="0.25">
      <c r="A745" t="s">
        <v>3063</v>
      </c>
      <c r="E745" t="s">
        <v>3064</v>
      </c>
      <c r="F745" t="s">
        <v>69</v>
      </c>
      <c r="G745" s="411" t="s">
        <v>212</v>
      </c>
      <c r="H745">
        <v>2006</v>
      </c>
      <c r="I745" s="60">
        <v>106.28179895319929</v>
      </c>
      <c r="J745" s="60"/>
      <c r="K745" t="s">
        <v>3065</v>
      </c>
      <c r="L745" t="s">
        <v>3066</v>
      </c>
      <c r="O745" s="412">
        <f t="shared" si="61"/>
        <v>0.10628179895319928</v>
      </c>
      <c r="T745">
        <v>1</v>
      </c>
      <c r="U745" t="s">
        <v>2886</v>
      </c>
      <c r="V745" t="s">
        <v>814</v>
      </c>
    </row>
    <row r="746" spans="1:22" x14ac:dyDescent="0.25">
      <c r="A746" t="s">
        <v>3063</v>
      </c>
      <c r="E746" t="s">
        <v>3064</v>
      </c>
      <c r="F746" t="s">
        <v>69</v>
      </c>
      <c r="G746" s="411" t="s">
        <v>212</v>
      </c>
      <c r="H746">
        <v>2007</v>
      </c>
      <c r="I746" s="60">
        <v>90.842844822674948</v>
      </c>
      <c r="J746" s="60"/>
      <c r="K746" t="s">
        <v>3065</v>
      </c>
      <c r="L746" t="s">
        <v>3066</v>
      </c>
      <c r="O746" s="412">
        <f t="shared" si="61"/>
        <v>9.0842844822674948E-2</v>
      </c>
      <c r="T746">
        <v>1</v>
      </c>
      <c r="U746" t="s">
        <v>2886</v>
      </c>
      <c r="V746" t="s">
        <v>814</v>
      </c>
    </row>
    <row r="747" spans="1:22" x14ac:dyDescent="0.25">
      <c r="A747" t="s">
        <v>3063</v>
      </c>
      <c r="E747" t="s">
        <v>3064</v>
      </c>
      <c r="F747" t="s">
        <v>69</v>
      </c>
      <c r="G747" s="411" t="s">
        <v>212</v>
      </c>
      <c r="H747">
        <v>2008</v>
      </c>
      <c r="I747" s="60">
        <v>92.509560434263079</v>
      </c>
      <c r="J747" s="60"/>
      <c r="K747" t="s">
        <v>3065</v>
      </c>
      <c r="L747" t="s">
        <v>3066</v>
      </c>
      <c r="O747" s="412">
        <f t="shared" si="61"/>
        <v>9.2509560434263075E-2</v>
      </c>
      <c r="T747">
        <v>1</v>
      </c>
      <c r="U747" t="s">
        <v>2886</v>
      </c>
      <c r="V747" t="s">
        <v>814</v>
      </c>
    </row>
    <row r="748" spans="1:22" x14ac:dyDescent="0.25">
      <c r="A748" t="s">
        <v>3063</v>
      </c>
      <c r="B748" t="s">
        <v>3072</v>
      </c>
      <c r="C748" t="str">
        <f t="shared" ref="C748" si="62">_xlfn.CONCAT(B748,U748)</f>
        <v>VC30ET14</v>
      </c>
      <c r="E748" t="s">
        <v>3064</v>
      </c>
      <c r="F748" t="s">
        <v>69</v>
      </c>
      <c r="G748" s="411" t="s">
        <v>212</v>
      </c>
      <c r="H748">
        <v>2009</v>
      </c>
      <c r="I748" s="60">
        <v>45.898460888129932</v>
      </c>
      <c r="J748" s="60"/>
      <c r="K748" t="s">
        <v>3065</v>
      </c>
      <c r="L748" t="s">
        <v>3066</v>
      </c>
      <c r="O748" s="412">
        <f t="shared" si="61"/>
        <v>4.5898460888129933E-2</v>
      </c>
      <c r="Q748" s="417">
        <f>AVERAGE(I748/I747, I747/I746, I746/I745, I745/I744)</f>
        <v>0.9055186423281929</v>
      </c>
      <c r="R748" s="425" t="s">
        <v>3067</v>
      </c>
      <c r="T748">
        <v>1</v>
      </c>
      <c r="U748" t="s">
        <v>2886</v>
      </c>
      <c r="V748" t="s">
        <v>814</v>
      </c>
    </row>
    <row r="749" spans="1:22" x14ac:dyDescent="0.25">
      <c r="A749" t="s">
        <v>3063</v>
      </c>
      <c r="E749" t="s">
        <v>3064</v>
      </c>
      <c r="F749" t="s">
        <v>69</v>
      </c>
      <c r="G749" s="411" t="s">
        <v>212</v>
      </c>
      <c r="H749">
        <v>2005</v>
      </c>
      <c r="I749" s="60">
        <v>97.738587150944099</v>
      </c>
      <c r="J749" s="60"/>
      <c r="K749" t="s">
        <v>3065</v>
      </c>
      <c r="O749" s="412">
        <f t="shared" si="61"/>
        <v>9.7738587150944092E-2</v>
      </c>
      <c r="T749">
        <v>1</v>
      </c>
      <c r="U749" t="s">
        <v>2871</v>
      </c>
      <c r="V749" t="s">
        <v>2872</v>
      </c>
    </row>
    <row r="750" spans="1:22" x14ac:dyDescent="0.25">
      <c r="A750" t="s">
        <v>3063</v>
      </c>
      <c r="E750" t="s">
        <v>3064</v>
      </c>
      <c r="F750" t="s">
        <v>69</v>
      </c>
      <c r="G750" s="411" t="s">
        <v>212</v>
      </c>
      <c r="H750">
        <v>2006</v>
      </c>
      <c r="I750" s="60">
        <v>131.43187713487143</v>
      </c>
      <c r="J750" s="60"/>
      <c r="K750" t="s">
        <v>3065</v>
      </c>
      <c r="O750" s="412">
        <f t="shared" si="61"/>
        <v>0.13143187713487142</v>
      </c>
      <c r="T750">
        <v>1</v>
      </c>
      <c r="U750" t="s">
        <v>2871</v>
      </c>
      <c r="V750" t="s">
        <v>2872</v>
      </c>
    </row>
    <row r="751" spans="1:22" x14ac:dyDescent="0.25">
      <c r="A751" t="s">
        <v>3063</v>
      </c>
      <c r="E751" t="s">
        <v>3064</v>
      </c>
      <c r="F751" t="s">
        <v>69</v>
      </c>
      <c r="G751" s="411" t="s">
        <v>212</v>
      </c>
      <c r="H751">
        <v>2007</v>
      </c>
      <c r="I751" s="60">
        <v>98.871051710306645</v>
      </c>
      <c r="J751" s="60"/>
      <c r="K751" t="s">
        <v>3065</v>
      </c>
      <c r="O751" s="412">
        <f t="shared" si="61"/>
        <v>9.8871051710306648E-2</v>
      </c>
      <c r="T751">
        <v>1</v>
      </c>
      <c r="U751" t="s">
        <v>2871</v>
      </c>
      <c r="V751" t="s">
        <v>2872</v>
      </c>
    </row>
    <row r="752" spans="1:22" x14ac:dyDescent="0.25">
      <c r="A752" t="s">
        <v>3063</v>
      </c>
      <c r="E752" t="s">
        <v>3064</v>
      </c>
      <c r="F752" t="s">
        <v>69</v>
      </c>
      <c r="G752" s="411" t="s">
        <v>212</v>
      </c>
      <c r="H752">
        <v>2008</v>
      </c>
      <c r="I752" s="60">
        <v>121.20312010839831</v>
      </c>
      <c r="J752" s="60"/>
      <c r="K752" t="s">
        <v>3065</v>
      </c>
      <c r="O752" s="412">
        <f t="shared" si="61"/>
        <v>0.12120312010839832</v>
      </c>
      <c r="T752">
        <v>1</v>
      </c>
      <c r="U752" t="s">
        <v>2871</v>
      </c>
      <c r="V752" t="s">
        <v>2872</v>
      </c>
    </row>
    <row r="753" spans="1:22" x14ac:dyDescent="0.25">
      <c r="A753" t="s">
        <v>3063</v>
      </c>
      <c r="B753" t="s">
        <v>3072</v>
      </c>
      <c r="C753" t="str">
        <f t="shared" ref="C753" si="63">_xlfn.CONCAT(B753,U753)</f>
        <v>VC30ET02</v>
      </c>
      <c r="E753" t="s">
        <v>3064</v>
      </c>
      <c r="F753" t="s">
        <v>69</v>
      </c>
      <c r="G753" s="411" t="s">
        <v>212</v>
      </c>
      <c r="H753">
        <v>2009</v>
      </c>
      <c r="I753" s="60">
        <v>110.31482234326324</v>
      </c>
      <c r="J753" s="60"/>
      <c r="K753" t="s">
        <v>3065</v>
      </c>
      <c r="O753" s="412">
        <f t="shared" si="61"/>
        <v>0.11031482234326324</v>
      </c>
      <c r="Q753" s="417">
        <f>AVERAGE(I753/I752, I752/I751, I751/I750, I750/I749)</f>
        <v>1.0582562442534886</v>
      </c>
      <c r="R753" s="425" t="s">
        <v>3067</v>
      </c>
      <c r="T753">
        <v>1</v>
      </c>
      <c r="U753" t="s">
        <v>2871</v>
      </c>
      <c r="V753" t="s">
        <v>2872</v>
      </c>
    </row>
    <row r="754" spans="1:22" x14ac:dyDescent="0.25">
      <c r="A754" t="s">
        <v>3063</v>
      </c>
      <c r="E754" t="s">
        <v>3064</v>
      </c>
      <c r="F754" t="s">
        <v>69</v>
      </c>
      <c r="G754" s="411" t="s">
        <v>212</v>
      </c>
      <c r="H754">
        <v>2005</v>
      </c>
      <c r="I754" s="60">
        <v>15.786759503977448</v>
      </c>
      <c r="J754" s="60"/>
      <c r="K754" t="s">
        <v>3065</v>
      </c>
      <c r="O754" s="412">
        <f t="shared" si="61"/>
        <v>1.5786759503977447E-2</v>
      </c>
      <c r="T754">
        <v>1</v>
      </c>
      <c r="U754" t="s">
        <v>2873</v>
      </c>
      <c r="V754" t="s">
        <v>805</v>
      </c>
    </row>
    <row r="755" spans="1:22" x14ac:dyDescent="0.25">
      <c r="A755" t="s">
        <v>3063</v>
      </c>
      <c r="E755" t="s">
        <v>3064</v>
      </c>
      <c r="F755" t="s">
        <v>69</v>
      </c>
      <c r="G755" s="411" t="s">
        <v>212</v>
      </c>
      <c r="H755">
        <v>2006</v>
      </c>
      <c r="I755" s="60">
        <v>20.845109342620944</v>
      </c>
      <c r="J755" s="60"/>
      <c r="K755" t="s">
        <v>3065</v>
      </c>
      <c r="O755" s="412">
        <f t="shared" si="61"/>
        <v>2.0845109342620943E-2</v>
      </c>
      <c r="T755">
        <v>1</v>
      </c>
      <c r="U755" t="s">
        <v>2873</v>
      </c>
      <c r="V755" t="s">
        <v>805</v>
      </c>
    </row>
    <row r="756" spans="1:22" x14ac:dyDescent="0.25">
      <c r="A756" t="s">
        <v>3063</v>
      </c>
      <c r="E756" t="s">
        <v>3064</v>
      </c>
      <c r="F756" t="s">
        <v>69</v>
      </c>
      <c r="G756" s="411" t="s">
        <v>212</v>
      </c>
      <c r="H756">
        <v>2007</v>
      </c>
      <c r="I756" s="60">
        <v>15.963636026860836</v>
      </c>
      <c r="J756" s="60"/>
      <c r="K756" t="s">
        <v>3065</v>
      </c>
      <c r="O756" s="412">
        <f t="shared" si="61"/>
        <v>1.5963636026860836E-2</v>
      </c>
      <c r="T756">
        <v>1</v>
      </c>
      <c r="U756" t="s">
        <v>2873</v>
      </c>
      <c r="V756" t="s">
        <v>805</v>
      </c>
    </row>
    <row r="757" spans="1:22" x14ac:dyDescent="0.25">
      <c r="A757" t="s">
        <v>3063</v>
      </c>
      <c r="E757" t="s">
        <v>3064</v>
      </c>
      <c r="F757" t="s">
        <v>69</v>
      </c>
      <c r="G757" s="411" t="s">
        <v>212</v>
      </c>
      <c r="H757">
        <v>2008</v>
      </c>
      <c r="I757" s="60">
        <v>15.206344917200225</v>
      </c>
      <c r="J757" s="60"/>
      <c r="K757" t="s">
        <v>3065</v>
      </c>
      <c r="O757" s="412">
        <f t="shared" si="61"/>
        <v>1.5206344917200226E-2</v>
      </c>
      <c r="T757">
        <v>1</v>
      </c>
      <c r="U757" t="s">
        <v>2873</v>
      </c>
      <c r="V757" t="s">
        <v>805</v>
      </c>
    </row>
    <row r="758" spans="1:22" x14ac:dyDescent="0.25">
      <c r="A758" t="s">
        <v>3063</v>
      </c>
      <c r="B758" t="s">
        <v>3072</v>
      </c>
      <c r="C758" t="str">
        <f t="shared" ref="C758" si="64">_xlfn.CONCAT(B758,U758)</f>
        <v>VC30ET03</v>
      </c>
      <c r="E758" t="s">
        <v>3064</v>
      </c>
      <c r="F758" t="s">
        <v>69</v>
      </c>
      <c r="G758" s="411" t="s">
        <v>212</v>
      </c>
      <c r="H758">
        <v>2009</v>
      </c>
      <c r="I758" s="60">
        <v>12.914221918413649</v>
      </c>
      <c r="J758" s="60"/>
      <c r="K758" t="s">
        <v>3065</v>
      </c>
      <c r="O758" s="412">
        <f t="shared" si="61"/>
        <v>1.2914221918413649E-2</v>
      </c>
      <c r="Q758" s="417">
        <f>AVERAGE(I758/I757, I757/I756, I756/I755, I755/I754)</f>
        <v>0.97201643261651727</v>
      </c>
      <c r="R758" s="425" t="s">
        <v>3067</v>
      </c>
      <c r="T758">
        <v>1</v>
      </c>
      <c r="U758" t="s">
        <v>2873</v>
      </c>
      <c r="V758" t="s">
        <v>805</v>
      </c>
    </row>
    <row r="759" spans="1:22" x14ac:dyDescent="0.25">
      <c r="A759" t="s">
        <v>3063</v>
      </c>
      <c r="E759" t="s">
        <v>3064</v>
      </c>
      <c r="F759" t="s">
        <v>69</v>
      </c>
      <c r="G759" s="411" t="s">
        <v>212</v>
      </c>
      <c r="H759">
        <v>2005</v>
      </c>
      <c r="I759" s="60">
        <v>192.54088690863935</v>
      </c>
      <c r="J759" s="60"/>
      <c r="K759" t="s">
        <v>3065</v>
      </c>
      <c r="O759" s="412">
        <f t="shared" si="61"/>
        <v>0.19254088690863935</v>
      </c>
      <c r="T759">
        <v>1</v>
      </c>
      <c r="U759" t="s">
        <v>2878</v>
      </c>
      <c r="V759" t="s">
        <v>2879</v>
      </c>
    </row>
    <row r="760" spans="1:22" x14ac:dyDescent="0.25">
      <c r="A760" t="s">
        <v>3063</v>
      </c>
      <c r="E760" t="s">
        <v>3064</v>
      </c>
      <c r="F760" t="s">
        <v>69</v>
      </c>
      <c r="G760" s="411" t="s">
        <v>212</v>
      </c>
      <c r="H760">
        <v>2006</v>
      </c>
      <c r="I760" s="60">
        <v>262.65922426425101</v>
      </c>
      <c r="J760" s="60"/>
      <c r="K760" t="s">
        <v>3065</v>
      </c>
      <c r="O760" s="412">
        <f t="shared" si="61"/>
        <v>0.26265922426425103</v>
      </c>
      <c r="T760">
        <v>1</v>
      </c>
      <c r="U760" t="s">
        <v>2878</v>
      </c>
      <c r="V760" t="s">
        <v>2879</v>
      </c>
    </row>
    <row r="761" spans="1:22" x14ac:dyDescent="0.25">
      <c r="A761" t="s">
        <v>3063</v>
      </c>
      <c r="E761" t="s">
        <v>3064</v>
      </c>
      <c r="F761" t="s">
        <v>69</v>
      </c>
      <c r="G761" s="411" t="s">
        <v>212</v>
      </c>
      <c r="H761">
        <v>2007</v>
      </c>
      <c r="I761" s="60">
        <v>174.74264678831386</v>
      </c>
      <c r="J761" s="60"/>
      <c r="K761" t="s">
        <v>3065</v>
      </c>
      <c r="O761" s="412">
        <f t="shared" si="61"/>
        <v>0.17474264678831386</v>
      </c>
      <c r="T761">
        <v>1</v>
      </c>
      <c r="U761" t="s">
        <v>2878</v>
      </c>
      <c r="V761" t="s">
        <v>2879</v>
      </c>
    </row>
    <row r="762" spans="1:22" x14ac:dyDescent="0.25">
      <c r="A762" t="s">
        <v>3063</v>
      </c>
      <c r="E762" t="s">
        <v>3064</v>
      </c>
      <c r="F762" t="s">
        <v>69</v>
      </c>
      <c r="G762" s="411" t="s">
        <v>212</v>
      </c>
      <c r="H762">
        <v>2008</v>
      </c>
      <c r="I762" s="60">
        <v>127.09067299995377</v>
      </c>
      <c r="J762" s="60"/>
      <c r="K762" t="s">
        <v>3065</v>
      </c>
      <c r="O762" s="412">
        <f t="shared" si="61"/>
        <v>0.12709067299995377</v>
      </c>
      <c r="T762">
        <v>1</v>
      </c>
      <c r="U762" t="s">
        <v>2878</v>
      </c>
      <c r="V762" t="s">
        <v>2879</v>
      </c>
    </row>
    <row r="763" spans="1:22" x14ac:dyDescent="0.25">
      <c r="A763" t="s">
        <v>3063</v>
      </c>
      <c r="B763" t="s">
        <v>3072</v>
      </c>
      <c r="C763" t="str">
        <f t="shared" ref="C763" si="65">_xlfn.CONCAT(B763,U763)</f>
        <v>VC30ET06</v>
      </c>
      <c r="E763" t="s">
        <v>3064</v>
      </c>
      <c r="F763" t="s">
        <v>69</v>
      </c>
      <c r="G763" s="411" t="s">
        <v>212</v>
      </c>
      <c r="H763">
        <v>2009</v>
      </c>
      <c r="I763" s="60">
        <v>109.99260803133949</v>
      </c>
      <c r="J763" s="60"/>
      <c r="K763" t="s">
        <v>3065</v>
      </c>
      <c r="O763" s="412">
        <f t="shared" si="61"/>
        <v>0.10999260803133949</v>
      </c>
      <c r="Q763" s="417">
        <f>AVERAGE(I763/I762, I762/I761, I761/I760, I760/I759)</f>
        <v>0.90555602152223247</v>
      </c>
      <c r="R763" s="425" t="s">
        <v>3067</v>
      </c>
      <c r="T763">
        <v>1</v>
      </c>
      <c r="U763" t="s">
        <v>2878</v>
      </c>
      <c r="V763" t="s">
        <v>2879</v>
      </c>
    </row>
    <row r="764" spans="1:22" x14ac:dyDescent="0.25">
      <c r="A764" t="s">
        <v>3063</v>
      </c>
      <c r="E764" t="s">
        <v>3064</v>
      </c>
      <c r="F764" t="s">
        <v>69</v>
      </c>
      <c r="G764" s="411" t="s">
        <v>212</v>
      </c>
      <c r="H764">
        <v>2005</v>
      </c>
      <c r="I764" s="60">
        <v>2.78</v>
      </c>
      <c r="J764" s="60"/>
      <c r="K764" t="s">
        <v>3065</v>
      </c>
      <c r="O764" s="412">
        <f t="shared" si="61"/>
        <v>2.7799999999999999E-3</v>
      </c>
      <c r="T764">
        <v>1</v>
      </c>
      <c r="U764" t="s">
        <v>2887</v>
      </c>
      <c r="V764" t="s">
        <v>2888</v>
      </c>
    </row>
    <row r="765" spans="1:22" x14ac:dyDescent="0.25">
      <c r="A765" t="s">
        <v>3063</v>
      </c>
      <c r="E765" t="s">
        <v>3064</v>
      </c>
      <c r="F765" t="s">
        <v>69</v>
      </c>
      <c r="G765" s="411" t="s">
        <v>212</v>
      </c>
      <c r="H765">
        <v>2006</v>
      </c>
      <c r="I765" s="60">
        <v>3.03</v>
      </c>
      <c r="J765" s="60"/>
      <c r="K765" t="s">
        <v>3065</v>
      </c>
      <c r="O765" s="412">
        <f t="shared" si="61"/>
        <v>3.0299999999999997E-3</v>
      </c>
      <c r="T765">
        <v>1</v>
      </c>
      <c r="U765" t="s">
        <v>2887</v>
      </c>
      <c r="V765" t="s">
        <v>2888</v>
      </c>
    </row>
    <row r="766" spans="1:22" x14ac:dyDescent="0.25">
      <c r="A766" t="s">
        <v>3063</v>
      </c>
      <c r="E766" t="s">
        <v>3064</v>
      </c>
      <c r="F766" t="s">
        <v>69</v>
      </c>
      <c r="G766" s="411" t="s">
        <v>212</v>
      </c>
      <c r="H766">
        <v>2007</v>
      </c>
      <c r="I766" s="60">
        <v>3.8499999999999996</v>
      </c>
      <c r="J766" s="60"/>
      <c r="K766" t="s">
        <v>3065</v>
      </c>
      <c r="O766" s="412">
        <f t="shared" si="61"/>
        <v>3.8499999999999997E-3</v>
      </c>
      <c r="T766">
        <v>1</v>
      </c>
      <c r="U766" t="s">
        <v>2887</v>
      </c>
      <c r="V766" t="s">
        <v>2888</v>
      </c>
    </row>
    <row r="767" spans="1:22" x14ac:dyDescent="0.25">
      <c r="A767" t="s">
        <v>3063</v>
      </c>
      <c r="E767" t="s">
        <v>3064</v>
      </c>
      <c r="F767" t="s">
        <v>69</v>
      </c>
      <c r="G767" s="411" t="s">
        <v>212</v>
      </c>
      <c r="H767">
        <v>2008</v>
      </c>
      <c r="I767" s="60">
        <v>4.03</v>
      </c>
      <c r="J767" s="60"/>
      <c r="K767" t="s">
        <v>3065</v>
      </c>
      <c r="O767" s="412">
        <f t="shared" si="61"/>
        <v>4.0300000000000006E-3</v>
      </c>
      <c r="T767">
        <v>1</v>
      </c>
      <c r="U767" t="s">
        <v>2887</v>
      </c>
      <c r="V767" t="s">
        <v>2888</v>
      </c>
    </row>
    <row r="768" spans="1:22" x14ac:dyDescent="0.25">
      <c r="A768" t="s">
        <v>3063</v>
      </c>
      <c r="B768" t="s">
        <v>3072</v>
      </c>
      <c r="C768" t="str">
        <f t="shared" ref="C768" si="66">_xlfn.CONCAT(B768,U768)</f>
        <v>VC30ET15</v>
      </c>
      <c r="E768" t="s">
        <v>3064</v>
      </c>
      <c r="F768" t="s">
        <v>69</v>
      </c>
      <c r="G768" s="411" t="s">
        <v>212</v>
      </c>
      <c r="H768">
        <v>2009</v>
      </c>
      <c r="I768" s="60">
        <v>3.5300000000000002</v>
      </c>
      <c r="J768" s="60"/>
      <c r="K768" t="s">
        <v>3065</v>
      </c>
      <c r="O768" s="412">
        <f t="shared" si="61"/>
        <v>3.5300000000000002E-3</v>
      </c>
      <c r="Q768" s="417">
        <f>AVERAGE(I768/I767, I767/I766, I766/I765, I765/I764)</f>
        <v>1.0708097220263215</v>
      </c>
      <c r="R768" s="425" t="s">
        <v>3067</v>
      </c>
      <c r="T768">
        <v>1</v>
      </c>
      <c r="U768" t="s">
        <v>2887</v>
      </c>
      <c r="V768" t="s">
        <v>2888</v>
      </c>
    </row>
    <row r="769" spans="1:22" x14ac:dyDescent="0.25">
      <c r="A769" t="s">
        <v>3063</v>
      </c>
      <c r="E769" t="s">
        <v>3064</v>
      </c>
      <c r="F769" t="s">
        <v>69</v>
      </c>
      <c r="G769" s="411" t="s">
        <v>212</v>
      </c>
      <c r="H769">
        <v>2005</v>
      </c>
      <c r="I769" s="60">
        <v>135.57923415527375</v>
      </c>
      <c r="J769" s="60"/>
      <c r="K769" t="s">
        <v>3065</v>
      </c>
      <c r="O769" s="412">
        <f t="shared" si="61"/>
        <v>0.13557923415527376</v>
      </c>
      <c r="T769">
        <v>1</v>
      </c>
      <c r="U769" t="s">
        <v>2882</v>
      </c>
      <c r="V769" t="s">
        <v>2894</v>
      </c>
    </row>
    <row r="770" spans="1:22" x14ac:dyDescent="0.25">
      <c r="A770" t="s">
        <v>3063</v>
      </c>
      <c r="E770" t="s">
        <v>3064</v>
      </c>
      <c r="F770" t="s">
        <v>69</v>
      </c>
      <c r="G770" s="411" t="s">
        <v>212</v>
      </c>
      <c r="H770">
        <v>2006</v>
      </c>
      <c r="I770" s="60">
        <v>186.70936060681098</v>
      </c>
      <c r="J770" s="60"/>
      <c r="K770" t="s">
        <v>3065</v>
      </c>
      <c r="O770" s="412">
        <f t="shared" si="61"/>
        <v>0.18670936060681098</v>
      </c>
      <c r="T770">
        <v>1</v>
      </c>
      <c r="U770" t="s">
        <v>2882</v>
      </c>
      <c r="V770" t="s">
        <v>2894</v>
      </c>
    </row>
    <row r="771" spans="1:22" x14ac:dyDescent="0.25">
      <c r="A771" t="s">
        <v>3063</v>
      </c>
      <c r="E771" t="s">
        <v>3064</v>
      </c>
      <c r="F771" t="s">
        <v>69</v>
      </c>
      <c r="G771" s="411" t="s">
        <v>212</v>
      </c>
      <c r="H771">
        <v>2007</v>
      </c>
      <c r="I771" s="60">
        <v>172.21559934965921</v>
      </c>
      <c r="J771" s="60"/>
      <c r="K771" t="s">
        <v>3065</v>
      </c>
      <c r="O771" s="412">
        <f t="shared" si="61"/>
        <v>0.17221559934965922</v>
      </c>
      <c r="T771">
        <v>1</v>
      </c>
      <c r="U771" t="s">
        <v>2882</v>
      </c>
      <c r="V771" t="s">
        <v>2894</v>
      </c>
    </row>
    <row r="772" spans="1:22" x14ac:dyDescent="0.25">
      <c r="A772" t="s">
        <v>3063</v>
      </c>
      <c r="E772" t="s">
        <v>3064</v>
      </c>
      <c r="F772" t="s">
        <v>69</v>
      </c>
      <c r="G772" s="411" t="s">
        <v>212</v>
      </c>
      <c r="H772">
        <v>2008</v>
      </c>
      <c r="I772" s="60">
        <v>138.88053320778326</v>
      </c>
      <c r="J772" s="60"/>
      <c r="K772" t="s">
        <v>3065</v>
      </c>
      <c r="O772" s="412">
        <f t="shared" si="61"/>
        <v>0.13888053320778326</v>
      </c>
      <c r="T772">
        <v>1</v>
      </c>
      <c r="U772" t="s">
        <v>2882</v>
      </c>
      <c r="V772" t="s">
        <v>2894</v>
      </c>
    </row>
    <row r="773" spans="1:22" x14ac:dyDescent="0.25">
      <c r="A773" t="s">
        <v>3063</v>
      </c>
      <c r="B773" t="s">
        <v>3072</v>
      </c>
      <c r="C773" t="str">
        <f t="shared" ref="C773" si="67">_xlfn.CONCAT(B773,U773)</f>
        <v>VC30ET12</v>
      </c>
      <c r="E773" t="s">
        <v>3064</v>
      </c>
      <c r="F773" t="s">
        <v>69</v>
      </c>
      <c r="G773" s="411" t="s">
        <v>212</v>
      </c>
      <c r="H773">
        <v>2009</v>
      </c>
      <c r="I773" s="60">
        <v>106.68878165361207</v>
      </c>
      <c r="J773" s="60"/>
      <c r="K773" t="s">
        <v>3065</v>
      </c>
      <c r="O773" s="412">
        <f t="shared" si="61"/>
        <v>0.10668878165361206</v>
      </c>
      <c r="Q773" s="417">
        <f>AVERAGE(I773/I772, I772/I771, I771/I770, I770/I769)</f>
        <v>0.96853393473500482</v>
      </c>
      <c r="R773" s="425" t="s">
        <v>3067</v>
      </c>
      <c r="T773">
        <v>1</v>
      </c>
      <c r="U773" t="s">
        <v>2882</v>
      </c>
      <c r="V773" t="s">
        <v>2894</v>
      </c>
    </row>
    <row r="774" spans="1:22" x14ac:dyDescent="0.25">
      <c r="A774" t="s">
        <v>3063</v>
      </c>
      <c r="E774" t="s">
        <v>3064</v>
      </c>
      <c r="F774" t="s">
        <v>69</v>
      </c>
      <c r="G774" s="411" t="s">
        <v>212</v>
      </c>
      <c r="H774">
        <v>2005</v>
      </c>
      <c r="I774" s="60">
        <v>6.8599999999999994</v>
      </c>
      <c r="J774" s="60"/>
      <c r="K774" t="s">
        <v>3065</v>
      </c>
      <c r="O774" s="412">
        <f t="shared" si="61"/>
        <v>6.8599999999999998E-3</v>
      </c>
      <c r="T774">
        <v>1</v>
      </c>
      <c r="U774" t="s">
        <v>2884</v>
      </c>
      <c r="V774" t="s">
        <v>2885</v>
      </c>
    </row>
    <row r="775" spans="1:22" x14ac:dyDescent="0.25">
      <c r="A775" t="s">
        <v>3063</v>
      </c>
      <c r="E775" t="s">
        <v>3064</v>
      </c>
      <c r="F775" t="s">
        <v>69</v>
      </c>
      <c r="G775" s="411" t="s">
        <v>212</v>
      </c>
      <c r="H775">
        <v>2006</v>
      </c>
      <c r="I775" s="60">
        <v>11.979999999999999</v>
      </c>
      <c r="J775" s="60"/>
      <c r="K775" t="s">
        <v>3065</v>
      </c>
      <c r="O775" s="412">
        <f t="shared" si="61"/>
        <v>1.1979999999999999E-2</v>
      </c>
      <c r="T775">
        <v>1</v>
      </c>
      <c r="U775" t="s">
        <v>2884</v>
      </c>
      <c r="V775" t="s">
        <v>2885</v>
      </c>
    </row>
    <row r="776" spans="1:22" x14ac:dyDescent="0.25">
      <c r="A776" t="s">
        <v>3063</v>
      </c>
      <c r="E776" t="s">
        <v>3064</v>
      </c>
      <c r="F776" t="s">
        <v>69</v>
      </c>
      <c r="G776" s="411" t="s">
        <v>212</v>
      </c>
      <c r="H776">
        <v>2007</v>
      </c>
      <c r="I776" s="60">
        <v>12.23</v>
      </c>
      <c r="J776" s="60"/>
      <c r="K776" t="s">
        <v>3065</v>
      </c>
      <c r="O776" s="412">
        <f t="shared" si="61"/>
        <v>1.2230000000000001E-2</v>
      </c>
      <c r="T776">
        <v>1</v>
      </c>
      <c r="U776" t="s">
        <v>2884</v>
      </c>
      <c r="V776" t="s">
        <v>2885</v>
      </c>
    </row>
    <row r="777" spans="1:22" x14ac:dyDescent="0.25">
      <c r="A777" t="s">
        <v>3063</v>
      </c>
      <c r="E777" t="s">
        <v>3064</v>
      </c>
      <c r="F777" t="s">
        <v>69</v>
      </c>
      <c r="G777" s="411" t="s">
        <v>212</v>
      </c>
      <c r="H777">
        <v>2008</v>
      </c>
      <c r="I777" s="60">
        <v>9.0199999999999978</v>
      </c>
      <c r="J777" s="60"/>
      <c r="K777" t="s">
        <v>3065</v>
      </c>
      <c r="O777" s="412">
        <f t="shared" si="61"/>
        <v>9.0199999999999985E-3</v>
      </c>
      <c r="T777">
        <v>1</v>
      </c>
      <c r="U777" t="s">
        <v>2884</v>
      </c>
      <c r="V777" t="s">
        <v>2885</v>
      </c>
    </row>
    <row r="778" spans="1:22" x14ac:dyDescent="0.25">
      <c r="A778" t="s">
        <v>3063</v>
      </c>
      <c r="B778" t="s">
        <v>3072</v>
      </c>
      <c r="C778" t="str">
        <f t="shared" ref="C778" si="68">_xlfn.CONCAT(B778,U778)</f>
        <v>VC30ET13</v>
      </c>
      <c r="E778" t="s">
        <v>3064</v>
      </c>
      <c r="F778" t="s">
        <v>69</v>
      </c>
      <c r="G778" s="411" t="s">
        <v>212</v>
      </c>
      <c r="H778">
        <v>2009</v>
      </c>
      <c r="I778" s="60">
        <v>9.15</v>
      </c>
      <c r="J778" s="60"/>
      <c r="K778" t="s">
        <v>3065</v>
      </c>
      <c r="O778" s="412">
        <f t="shared" si="61"/>
        <v>9.1500000000000001E-3</v>
      </c>
      <c r="Q778" s="417">
        <f>AVERAGE(I778/I777, I777/I776, I776/I775, I775/I774)</f>
        <v>1.1297917194527449</v>
      </c>
      <c r="R778" s="425" t="s">
        <v>3067</v>
      </c>
      <c r="T778">
        <v>1</v>
      </c>
      <c r="U778" t="s">
        <v>2884</v>
      </c>
      <c r="V778" t="s">
        <v>2885</v>
      </c>
    </row>
    <row r="779" spans="1:22" x14ac:dyDescent="0.25">
      <c r="A779" t="s">
        <v>3063</v>
      </c>
      <c r="E779" t="s">
        <v>3064</v>
      </c>
      <c r="F779" t="s">
        <v>69</v>
      </c>
      <c r="G779" s="411" t="s">
        <v>212</v>
      </c>
      <c r="H779">
        <v>2005</v>
      </c>
      <c r="I779" s="60">
        <v>9.9995772122075657</v>
      </c>
      <c r="J779" s="60"/>
      <c r="K779" t="s">
        <v>3065</v>
      </c>
      <c r="O779" s="412">
        <f t="shared" si="61"/>
        <v>9.9995772122075648E-3</v>
      </c>
      <c r="T779">
        <v>1</v>
      </c>
      <c r="U779" t="s">
        <v>2874</v>
      </c>
      <c r="V779" t="s">
        <v>809</v>
      </c>
    </row>
    <row r="780" spans="1:22" x14ac:dyDescent="0.25">
      <c r="A780" t="s">
        <v>3063</v>
      </c>
      <c r="E780" t="s">
        <v>3064</v>
      </c>
      <c r="F780" t="s">
        <v>69</v>
      </c>
      <c r="G780" s="411" t="s">
        <v>212</v>
      </c>
      <c r="H780">
        <v>2006</v>
      </c>
      <c r="I780" s="60">
        <v>11.504453498505123</v>
      </c>
      <c r="J780" s="60"/>
      <c r="K780" t="s">
        <v>3065</v>
      </c>
      <c r="O780" s="412">
        <f t="shared" si="61"/>
        <v>1.1504453498505124E-2</v>
      </c>
      <c r="T780">
        <v>1</v>
      </c>
      <c r="U780" t="s">
        <v>2874</v>
      </c>
      <c r="V780" t="s">
        <v>809</v>
      </c>
    </row>
    <row r="781" spans="1:22" x14ac:dyDescent="0.25">
      <c r="A781" t="s">
        <v>3063</v>
      </c>
      <c r="E781" t="s">
        <v>3064</v>
      </c>
      <c r="F781" t="s">
        <v>69</v>
      </c>
      <c r="G781" s="411" t="s">
        <v>212</v>
      </c>
      <c r="H781">
        <v>2007</v>
      </c>
      <c r="I781" s="60">
        <v>9.0225101111178159</v>
      </c>
      <c r="J781" s="60"/>
      <c r="K781" t="s">
        <v>3065</v>
      </c>
      <c r="O781" s="412">
        <f t="shared" si="61"/>
        <v>9.0225101111178155E-3</v>
      </c>
      <c r="T781">
        <v>1</v>
      </c>
      <c r="U781" t="s">
        <v>2874</v>
      </c>
      <c r="V781" t="s">
        <v>809</v>
      </c>
    </row>
    <row r="782" spans="1:22" x14ac:dyDescent="0.25">
      <c r="A782" t="s">
        <v>3063</v>
      </c>
      <c r="E782" t="s">
        <v>3064</v>
      </c>
      <c r="F782" t="s">
        <v>69</v>
      </c>
      <c r="G782" s="411" t="s">
        <v>212</v>
      </c>
      <c r="H782">
        <v>2008</v>
      </c>
      <c r="I782" s="60">
        <v>8.9630256176792873</v>
      </c>
      <c r="J782" s="60"/>
      <c r="K782" t="s">
        <v>3065</v>
      </c>
      <c r="O782" s="412">
        <f t="shared" si="61"/>
        <v>8.9630256176792874E-3</v>
      </c>
      <c r="T782">
        <v>1</v>
      </c>
      <c r="U782" t="s">
        <v>2874</v>
      </c>
      <c r="V782" t="s">
        <v>809</v>
      </c>
    </row>
    <row r="783" spans="1:22" x14ac:dyDescent="0.25">
      <c r="A783" t="s">
        <v>3063</v>
      </c>
      <c r="B783" t="s">
        <v>3072</v>
      </c>
      <c r="C783" t="str">
        <f t="shared" ref="C783" si="69">_xlfn.CONCAT(B783,U783)</f>
        <v>VC30ET04</v>
      </c>
      <c r="E783" t="s">
        <v>3064</v>
      </c>
      <c r="F783" t="s">
        <v>69</v>
      </c>
      <c r="G783" s="411" t="s">
        <v>212</v>
      </c>
      <c r="H783">
        <v>2009</v>
      </c>
      <c r="I783" s="60">
        <v>8.8522952547660001</v>
      </c>
      <c r="J783" s="60"/>
      <c r="K783" t="s">
        <v>3065</v>
      </c>
      <c r="O783" s="412">
        <f t="shared" si="61"/>
        <v>8.8522952547659996E-3</v>
      </c>
      <c r="Q783" s="417">
        <f>AVERAGE(I783/I782, I782/I781, I781/I780, I780/I779)</f>
        <v>0.9789523369325448</v>
      </c>
      <c r="R783" s="425" t="s">
        <v>3067</v>
      </c>
      <c r="T783">
        <v>1</v>
      </c>
      <c r="U783" t="s">
        <v>2874</v>
      </c>
      <c r="V783" t="s">
        <v>809</v>
      </c>
    </row>
    <row r="784" spans="1:22" ht="12.95" customHeight="1" x14ac:dyDescent="0.25">
      <c r="A784" t="s">
        <v>3063</v>
      </c>
      <c r="E784" t="s">
        <v>3064</v>
      </c>
      <c r="F784" t="s">
        <v>69</v>
      </c>
      <c r="G784" s="411" t="s">
        <v>212</v>
      </c>
      <c r="H784">
        <v>2005</v>
      </c>
      <c r="I784" s="60">
        <v>8.3412049401792814</v>
      </c>
      <c r="J784" s="60"/>
      <c r="K784" t="s">
        <v>3065</v>
      </c>
      <c r="O784" s="412">
        <f t="shared" si="61"/>
        <v>8.3412049401792813E-3</v>
      </c>
      <c r="T784">
        <v>1</v>
      </c>
      <c r="U784" t="s">
        <v>2880</v>
      </c>
      <c r="V784" t="s">
        <v>2881</v>
      </c>
    </row>
    <row r="785" spans="1:22" ht="12.95" customHeight="1" x14ac:dyDescent="0.25">
      <c r="A785" t="s">
        <v>3063</v>
      </c>
      <c r="E785" t="s">
        <v>3064</v>
      </c>
      <c r="F785" t="s">
        <v>69</v>
      </c>
      <c r="G785" s="411" t="s">
        <v>212</v>
      </c>
      <c r="H785">
        <v>2006</v>
      </c>
      <c r="I785" s="60">
        <v>10.196147467470736</v>
      </c>
      <c r="J785" s="60"/>
      <c r="K785" t="s">
        <v>3065</v>
      </c>
      <c r="O785" s="412">
        <f t="shared" si="61"/>
        <v>1.0196147467470735E-2</v>
      </c>
      <c r="T785">
        <v>1</v>
      </c>
      <c r="U785" t="s">
        <v>2880</v>
      </c>
      <c r="V785" t="s">
        <v>2881</v>
      </c>
    </row>
    <row r="786" spans="1:22" ht="12.95" customHeight="1" x14ac:dyDescent="0.25">
      <c r="A786" t="s">
        <v>3063</v>
      </c>
      <c r="E786" t="s">
        <v>3064</v>
      </c>
      <c r="F786" t="s">
        <v>69</v>
      </c>
      <c r="G786" s="411" t="s">
        <v>212</v>
      </c>
      <c r="H786">
        <v>2007</v>
      </c>
      <c r="I786" s="60">
        <v>7.5888076188774338</v>
      </c>
      <c r="J786" s="60"/>
      <c r="K786" t="s">
        <v>3065</v>
      </c>
      <c r="O786" s="412">
        <f t="shared" si="61"/>
        <v>7.588807618877434E-3</v>
      </c>
      <c r="T786">
        <v>1</v>
      </c>
      <c r="U786" t="s">
        <v>2880</v>
      </c>
      <c r="V786" t="s">
        <v>2881</v>
      </c>
    </row>
    <row r="787" spans="1:22" ht="12.95" customHeight="1" x14ac:dyDescent="0.25">
      <c r="A787" t="s">
        <v>3063</v>
      </c>
      <c r="E787" t="s">
        <v>3064</v>
      </c>
      <c r="F787" t="s">
        <v>69</v>
      </c>
      <c r="G787" s="411" t="s">
        <v>212</v>
      </c>
      <c r="H787">
        <v>2008</v>
      </c>
      <c r="I787" s="60">
        <v>6.1850669445188444</v>
      </c>
      <c r="J787" s="60"/>
      <c r="K787" t="s">
        <v>3065</v>
      </c>
      <c r="O787" s="412">
        <f t="shared" si="61"/>
        <v>6.1850669445188446E-3</v>
      </c>
      <c r="T787">
        <v>1</v>
      </c>
      <c r="U787" t="s">
        <v>2880</v>
      </c>
      <c r="V787" t="s">
        <v>2881</v>
      </c>
    </row>
    <row r="788" spans="1:22" ht="12.95" customHeight="1" x14ac:dyDescent="0.25">
      <c r="A788" t="s">
        <v>3063</v>
      </c>
      <c r="B788" t="s">
        <v>3072</v>
      </c>
      <c r="C788" t="str">
        <f t="shared" ref="C788" si="70">_xlfn.CONCAT(B788,U788)</f>
        <v>VC30ET07</v>
      </c>
      <c r="E788" t="s">
        <v>3064</v>
      </c>
      <c r="F788" t="s">
        <v>69</v>
      </c>
      <c r="G788" s="411" t="s">
        <v>212</v>
      </c>
      <c r="H788">
        <v>2009</v>
      </c>
      <c r="I788" s="60">
        <v>5.9663104387154009</v>
      </c>
      <c r="J788" s="60"/>
      <c r="K788" t="s">
        <v>3065</v>
      </c>
      <c r="O788" s="412">
        <f t="shared" si="61"/>
        <v>5.9663104387154007E-3</v>
      </c>
      <c r="Q788" s="417">
        <f>AVERAGE(I788/I787, I787/I786, I786/I785, I785/I784)</f>
        <v>0.93658031981863554</v>
      </c>
      <c r="R788" s="425" t="s">
        <v>3067</v>
      </c>
      <c r="T788">
        <v>1</v>
      </c>
      <c r="U788" t="s">
        <v>2880</v>
      </c>
      <c r="V788" t="s">
        <v>2881</v>
      </c>
    </row>
    <row r="789" spans="1:22" ht="12.95" customHeight="1" x14ac:dyDescent="0.25">
      <c r="A789" t="s">
        <v>3063</v>
      </c>
      <c r="E789" t="s">
        <v>3064</v>
      </c>
      <c r="F789" t="s">
        <v>69</v>
      </c>
      <c r="G789" s="411" t="s">
        <v>212</v>
      </c>
      <c r="H789">
        <v>2005</v>
      </c>
      <c r="I789" s="60">
        <v>1.5648429799688992</v>
      </c>
      <c r="J789" s="60"/>
      <c r="K789" t="s">
        <v>3065</v>
      </c>
      <c r="O789" s="412">
        <f t="shared" si="61"/>
        <v>1.5648429799688993E-3</v>
      </c>
      <c r="T789">
        <v>1</v>
      </c>
      <c r="U789" t="s">
        <v>2875</v>
      </c>
      <c r="V789" t="s">
        <v>3068</v>
      </c>
    </row>
    <row r="790" spans="1:22" ht="12.95" customHeight="1" x14ac:dyDescent="0.25">
      <c r="A790" t="s">
        <v>3063</v>
      </c>
      <c r="E790" t="s">
        <v>3064</v>
      </c>
      <c r="F790" t="s">
        <v>69</v>
      </c>
      <c r="G790" s="411" t="s">
        <v>212</v>
      </c>
      <c r="H790">
        <v>2006</v>
      </c>
      <c r="I790" s="60">
        <v>2.2606052243820711</v>
      </c>
      <c r="J790" s="60"/>
      <c r="K790" t="s">
        <v>3065</v>
      </c>
      <c r="O790" s="412">
        <f t="shared" si="61"/>
        <v>2.2606052243820712E-3</v>
      </c>
      <c r="T790">
        <v>1</v>
      </c>
      <c r="U790" t="s">
        <v>2875</v>
      </c>
      <c r="V790" t="s">
        <v>3068</v>
      </c>
    </row>
    <row r="791" spans="1:22" ht="12.95" customHeight="1" x14ac:dyDescent="0.25">
      <c r="A791" t="s">
        <v>3063</v>
      </c>
      <c r="B791" t="s">
        <v>3072</v>
      </c>
      <c r="C791" t="str">
        <f t="shared" ref="C791" si="71">_xlfn.CONCAT(B791,U791)</f>
        <v>VC30ET05</v>
      </c>
      <c r="E791" t="s">
        <v>3064</v>
      </c>
      <c r="F791" t="s">
        <v>69</v>
      </c>
      <c r="G791" s="411" t="s">
        <v>212</v>
      </c>
      <c r="H791">
        <v>2007</v>
      </c>
      <c r="I791" s="60">
        <v>2.583153614872407</v>
      </c>
      <c r="J791" s="60"/>
      <c r="K791" t="s">
        <v>3065</v>
      </c>
      <c r="O791" s="412">
        <f t="shared" si="61"/>
        <v>2.5831536148724068E-3</v>
      </c>
      <c r="Q791" s="417">
        <f>AVERAGE(I791/I790, I790/I789)</f>
        <v>1.2936517202632145</v>
      </c>
      <c r="R791" s="425" t="s">
        <v>3067</v>
      </c>
      <c r="T791">
        <v>1</v>
      </c>
      <c r="U791" t="s">
        <v>2875</v>
      </c>
      <c r="V791" t="s">
        <v>3068</v>
      </c>
    </row>
    <row r="792" spans="1:22" ht="12.95" customHeight="1" x14ac:dyDescent="0.25">
      <c r="A792" t="s">
        <v>3063</v>
      </c>
      <c r="E792" t="s">
        <v>3064</v>
      </c>
      <c r="F792" t="s">
        <v>69</v>
      </c>
      <c r="G792" s="411" t="s">
        <v>212</v>
      </c>
      <c r="H792">
        <v>2005</v>
      </c>
      <c r="I792" s="60">
        <v>0.26718205956903951</v>
      </c>
      <c r="J792" s="60"/>
      <c r="K792" t="s">
        <v>3065</v>
      </c>
      <c r="O792" s="412">
        <f t="shared" si="61"/>
        <v>2.6718205956903951E-4</v>
      </c>
      <c r="T792">
        <v>1</v>
      </c>
      <c r="U792" t="s">
        <v>2870</v>
      </c>
      <c r="V792" t="s">
        <v>806</v>
      </c>
    </row>
    <row r="793" spans="1:22" ht="12.95" customHeight="1" x14ac:dyDescent="0.25">
      <c r="A793" t="s">
        <v>3063</v>
      </c>
      <c r="E793" t="s">
        <v>3064</v>
      </c>
      <c r="F793" t="s">
        <v>69</v>
      </c>
      <c r="G793" s="411" t="s">
        <v>212</v>
      </c>
      <c r="H793">
        <v>2006</v>
      </c>
      <c r="I793" s="60">
        <v>0.24722658661949504</v>
      </c>
      <c r="J793" s="60"/>
      <c r="K793" t="s">
        <v>3065</v>
      </c>
      <c r="O793" s="412">
        <f t="shared" si="61"/>
        <v>2.4722658661949503E-4</v>
      </c>
      <c r="T793">
        <v>1</v>
      </c>
      <c r="U793" t="s">
        <v>2870</v>
      </c>
      <c r="V793" t="s">
        <v>806</v>
      </c>
    </row>
    <row r="794" spans="1:22" ht="12.95" customHeight="1" x14ac:dyDescent="0.25">
      <c r="A794" t="s">
        <v>3063</v>
      </c>
      <c r="E794" t="s">
        <v>3064</v>
      </c>
      <c r="F794" t="s">
        <v>69</v>
      </c>
      <c r="G794" s="411" t="s">
        <v>212</v>
      </c>
      <c r="H794">
        <v>2007</v>
      </c>
      <c r="I794" s="60">
        <v>0.16934602647471667</v>
      </c>
      <c r="J794" s="60"/>
      <c r="K794" t="s">
        <v>3065</v>
      </c>
      <c r="O794" s="412">
        <f t="shared" si="61"/>
        <v>1.6934602647471667E-4</v>
      </c>
      <c r="T794">
        <v>1</v>
      </c>
      <c r="U794" t="s">
        <v>2870</v>
      </c>
      <c r="V794" t="s">
        <v>806</v>
      </c>
    </row>
    <row r="795" spans="1:22" ht="12.95" customHeight="1" x14ac:dyDescent="0.25">
      <c r="A795" t="s">
        <v>3063</v>
      </c>
      <c r="E795" t="s">
        <v>3064</v>
      </c>
      <c r="F795" t="s">
        <v>69</v>
      </c>
      <c r="G795" s="411" t="s">
        <v>212</v>
      </c>
      <c r="H795">
        <v>2008</v>
      </c>
      <c r="I795" s="60">
        <v>8.320274213017817E-2</v>
      </c>
      <c r="J795" s="60"/>
      <c r="K795" t="s">
        <v>3065</v>
      </c>
      <c r="O795" s="412">
        <f t="shared" si="61"/>
        <v>8.3202742130178173E-5</v>
      </c>
      <c r="T795">
        <v>1</v>
      </c>
      <c r="U795" t="s">
        <v>2870</v>
      </c>
      <c r="V795" t="s">
        <v>806</v>
      </c>
    </row>
    <row r="796" spans="1:22" ht="12.95" customHeight="1" x14ac:dyDescent="0.25">
      <c r="A796" t="s">
        <v>3063</v>
      </c>
      <c r="B796" t="s">
        <v>3072</v>
      </c>
      <c r="C796" t="str">
        <f t="shared" ref="C796" si="72">_xlfn.CONCAT(B796,U796)</f>
        <v>VC30ET01</v>
      </c>
      <c r="E796" t="s">
        <v>3064</v>
      </c>
      <c r="F796" t="s">
        <v>69</v>
      </c>
      <c r="G796" s="411" t="s">
        <v>212</v>
      </c>
      <c r="H796">
        <v>2009</v>
      </c>
      <c r="I796" s="60">
        <v>0.10231923097604891</v>
      </c>
      <c r="J796" s="60"/>
      <c r="K796" t="s">
        <v>3065</v>
      </c>
      <c r="O796" s="412">
        <f t="shared" si="61"/>
        <v>1.0231923097604891E-4</v>
      </c>
      <c r="Q796" s="417">
        <f>AVERAGE(I796/I795, I795/I794, I794/I793, I793/I792)-1</f>
        <v>-0.16715743358637758</v>
      </c>
      <c r="R796" s="425" t="s">
        <v>3067</v>
      </c>
      <c r="T796">
        <v>1</v>
      </c>
      <c r="U796" t="s">
        <v>2870</v>
      </c>
      <c r="V796" t="s">
        <v>806</v>
      </c>
    </row>
    <row r="797" spans="1:22" x14ac:dyDescent="0.25">
      <c r="A797" t="s">
        <v>3063</v>
      </c>
      <c r="E797" t="s">
        <v>3069</v>
      </c>
      <c r="F797" t="s">
        <v>69</v>
      </c>
      <c r="G797" s="411" t="s">
        <v>212</v>
      </c>
      <c r="H797">
        <v>2005</v>
      </c>
      <c r="I797" s="60">
        <v>10.67</v>
      </c>
      <c r="J797" s="60"/>
      <c r="K797" t="s">
        <v>3070</v>
      </c>
      <c r="L797" t="s">
        <v>3066</v>
      </c>
      <c r="R797" s="425" t="s">
        <v>3067</v>
      </c>
      <c r="T797">
        <v>0</v>
      </c>
      <c r="U797" t="s">
        <v>2851</v>
      </c>
      <c r="V797" t="s">
        <v>594</v>
      </c>
    </row>
    <row r="798" spans="1:22" x14ac:dyDescent="0.25">
      <c r="A798" t="s">
        <v>3063</v>
      </c>
      <c r="E798" t="s">
        <v>3069</v>
      </c>
      <c r="F798" t="s">
        <v>69</v>
      </c>
      <c r="G798" s="411" t="s">
        <v>212</v>
      </c>
      <c r="H798">
        <v>2006</v>
      </c>
      <c r="I798" s="60">
        <v>6.34</v>
      </c>
      <c r="J798" s="60"/>
      <c r="K798" t="s">
        <v>3070</v>
      </c>
      <c r="L798" t="s">
        <v>3066</v>
      </c>
      <c r="R798" s="425" t="s">
        <v>3067</v>
      </c>
      <c r="T798">
        <v>0</v>
      </c>
      <c r="U798" t="s">
        <v>2851</v>
      </c>
      <c r="V798" t="s">
        <v>594</v>
      </c>
    </row>
    <row r="799" spans="1:22" x14ac:dyDescent="0.25">
      <c r="A799" t="s">
        <v>3063</v>
      </c>
      <c r="E799" t="s">
        <v>3069</v>
      </c>
      <c r="F799" t="s">
        <v>69</v>
      </c>
      <c r="G799" s="411" t="s">
        <v>212</v>
      </c>
      <c r="H799">
        <v>2007</v>
      </c>
      <c r="I799" s="60">
        <v>3.98</v>
      </c>
      <c r="J799" s="60"/>
      <c r="K799" t="s">
        <v>3070</v>
      </c>
      <c r="L799" t="s">
        <v>3066</v>
      </c>
      <c r="R799" s="425" t="s">
        <v>3067</v>
      </c>
      <c r="T799">
        <v>0</v>
      </c>
      <c r="U799" t="s">
        <v>2851</v>
      </c>
      <c r="V799" t="s">
        <v>594</v>
      </c>
    </row>
    <row r="800" spans="1:22" x14ac:dyDescent="0.25">
      <c r="A800" t="s">
        <v>3063</v>
      </c>
      <c r="E800" t="s">
        <v>3069</v>
      </c>
      <c r="F800" t="s">
        <v>69</v>
      </c>
      <c r="G800" s="411" t="s">
        <v>212</v>
      </c>
      <c r="H800">
        <v>2008</v>
      </c>
      <c r="I800" s="60">
        <v>4.2699999999999996</v>
      </c>
      <c r="J800" s="60"/>
      <c r="K800" t="s">
        <v>3070</v>
      </c>
      <c r="L800" t="s">
        <v>3066</v>
      </c>
      <c r="Q800" s="417">
        <f>AVERAGE(I800/I799, I799/I798, I798/I797)</f>
        <v>0.76493796327092367</v>
      </c>
      <c r="R800" s="425" t="s">
        <v>3067</v>
      </c>
      <c r="T800">
        <v>0</v>
      </c>
      <c r="U800" t="s">
        <v>2851</v>
      </c>
      <c r="V800" t="s">
        <v>594</v>
      </c>
    </row>
    <row r="801" spans="1:22" ht="12.95" customHeight="1" x14ac:dyDescent="0.25">
      <c r="A801" t="s">
        <v>3071</v>
      </c>
      <c r="B801" t="s">
        <v>3072</v>
      </c>
      <c r="C801" t="str">
        <f t="shared" ref="C801:C802" si="73">_xlfn.CONCAT(B801,U801)</f>
        <v>VC30ET</v>
      </c>
      <c r="D801" t="s">
        <v>2360</v>
      </c>
      <c r="E801" t="s">
        <v>3073</v>
      </c>
      <c r="F801" t="s">
        <v>69</v>
      </c>
      <c r="G801" s="411" t="s">
        <v>3074</v>
      </c>
      <c r="H801">
        <v>2020</v>
      </c>
      <c r="I801" s="52">
        <v>54.1</v>
      </c>
      <c r="J801" s="52"/>
      <c r="K801" t="s">
        <v>3075</v>
      </c>
      <c r="O801" s="412">
        <f>I801/1000*I739/100</f>
        <v>3.6788000000000001E-2</v>
      </c>
      <c r="P801" t="s">
        <v>2196</v>
      </c>
      <c r="R801" t="s">
        <v>3076</v>
      </c>
      <c r="T801">
        <v>0</v>
      </c>
      <c r="U801" t="s">
        <v>2851</v>
      </c>
      <c r="V801" t="s">
        <v>594</v>
      </c>
    </row>
    <row r="802" spans="1:22" x14ac:dyDescent="0.25">
      <c r="A802" t="s">
        <v>3077</v>
      </c>
      <c r="B802" t="s">
        <v>3078</v>
      </c>
      <c r="C802" t="str">
        <f t="shared" si="73"/>
        <v>VC32ET</v>
      </c>
      <c r="E802" t="s">
        <v>3227</v>
      </c>
      <c r="F802" t="s">
        <v>200</v>
      </c>
      <c r="G802" s="411" t="s">
        <v>212</v>
      </c>
      <c r="H802">
        <v>2020</v>
      </c>
      <c r="I802">
        <v>132</v>
      </c>
      <c r="K802" t="s">
        <v>3079</v>
      </c>
      <c r="L802" t="s">
        <v>2196</v>
      </c>
      <c r="O802">
        <f>I802/100000</f>
        <v>1.32E-3</v>
      </c>
      <c r="P802" t="s">
        <v>2196</v>
      </c>
      <c r="Q802" s="417">
        <v>0.92500000000000004</v>
      </c>
      <c r="R802" t="s">
        <v>3080</v>
      </c>
      <c r="T802">
        <v>0</v>
      </c>
      <c r="U802" t="s">
        <v>2851</v>
      </c>
      <c r="V802" t="s">
        <v>594</v>
      </c>
    </row>
    <row r="803" spans="1:22" x14ac:dyDescent="0.25">
      <c r="A803" t="s">
        <v>3226</v>
      </c>
      <c r="B803" t="s">
        <v>3078</v>
      </c>
      <c r="E803" t="s">
        <v>3227</v>
      </c>
      <c r="F803" t="s">
        <v>200</v>
      </c>
      <c r="G803" s="411" t="s">
        <v>212</v>
      </c>
      <c r="H803">
        <v>2017</v>
      </c>
      <c r="I803">
        <v>112.7</v>
      </c>
      <c r="K803" t="s">
        <v>3079</v>
      </c>
      <c r="L803" t="s">
        <v>2196</v>
      </c>
      <c r="O803" s="431">
        <f>I803/100000</f>
        <v>1.127E-3</v>
      </c>
      <c r="P803" t="s">
        <v>2196</v>
      </c>
      <c r="T803">
        <v>0</v>
      </c>
      <c r="U803" t="s">
        <v>2851</v>
      </c>
      <c r="V803" t="s">
        <v>594</v>
      </c>
    </row>
    <row r="804" spans="1:22" x14ac:dyDescent="0.25">
      <c r="A804" t="s">
        <v>3226</v>
      </c>
      <c r="B804" t="s">
        <v>3078</v>
      </c>
      <c r="C804" t="s">
        <v>3228</v>
      </c>
      <c r="E804" t="s">
        <v>3227</v>
      </c>
      <c r="F804" t="s">
        <v>200</v>
      </c>
      <c r="G804" s="411" t="s">
        <v>212</v>
      </c>
      <c r="H804">
        <v>2017</v>
      </c>
      <c r="I804">
        <v>100.8</v>
      </c>
      <c r="K804" t="s">
        <v>3079</v>
      </c>
      <c r="L804" t="s">
        <v>2196</v>
      </c>
      <c r="O804" s="431">
        <f t="shared" ref="O804:O814" si="74">I804/100000</f>
        <v>1.008E-3</v>
      </c>
      <c r="P804" t="s">
        <v>2196</v>
      </c>
      <c r="T804">
        <v>1</v>
      </c>
      <c r="U804" t="s">
        <v>2870</v>
      </c>
      <c r="V804" t="s">
        <v>806</v>
      </c>
    </row>
    <row r="805" spans="1:22" x14ac:dyDescent="0.25">
      <c r="A805" t="s">
        <v>3226</v>
      </c>
      <c r="B805" t="s">
        <v>3078</v>
      </c>
      <c r="C805" t="s">
        <v>3229</v>
      </c>
      <c r="E805" t="s">
        <v>3227</v>
      </c>
      <c r="F805" t="s">
        <v>200</v>
      </c>
      <c r="G805" s="411" t="s">
        <v>212</v>
      </c>
      <c r="H805">
        <v>2017</v>
      </c>
      <c r="I805">
        <v>156.4</v>
      </c>
      <c r="K805" t="s">
        <v>3079</v>
      </c>
      <c r="L805" t="s">
        <v>2196</v>
      </c>
      <c r="O805" s="431">
        <f t="shared" si="74"/>
        <v>1.5640000000000001E-3</v>
      </c>
      <c r="P805" t="s">
        <v>2196</v>
      </c>
      <c r="T805">
        <v>1</v>
      </c>
      <c r="U805" t="s">
        <v>2871</v>
      </c>
      <c r="V805" t="s">
        <v>2948</v>
      </c>
    </row>
    <row r="806" spans="1:22" x14ac:dyDescent="0.25">
      <c r="A806" t="s">
        <v>3226</v>
      </c>
      <c r="B806" t="s">
        <v>3078</v>
      </c>
      <c r="C806" t="s">
        <v>3230</v>
      </c>
      <c r="E806" t="s">
        <v>3227</v>
      </c>
      <c r="F806" t="s">
        <v>200</v>
      </c>
      <c r="G806" s="411" t="s">
        <v>212</v>
      </c>
      <c r="H806">
        <v>2017</v>
      </c>
      <c r="I806">
        <v>108.3</v>
      </c>
      <c r="K806" t="s">
        <v>3079</v>
      </c>
      <c r="L806" t="s">
        <v>2196</v>
      </c>
      <c r="O806" s="431">
        <f t="shared" si="74"/>
        <v>1.083E-3</v>
      </c>
      <c r="P806" t="s">
        <v>2196</v>
      </c>
      <c r="T806">
        <v>1</v>
      </c>
      <c r="U806" t="s">
        <v>2873</v>
      </c>
      <c r="V806" t="s">
        <v>805</v>
      </c>
    </row>
    <row r="807" spans="1:22" x14ac:dyDescent="0.25">
      <c r="A807" t="s">
        <v>3226</v>
      </c>
      <c r="B807" t="s">
        <v>3078</v>
      </c>
      <c r="C807" t="s">
        <v>3231</v>
      </c>
      <c r="E807" t="s">
        <v>3227</v>
      </c>
      <c r="F807" t="s">
        <v>200</v>
      </c>
      <c r="G807" s="411" t="s">
        <v>212</v>
      </c>
      <c r="H807">
        <v>2017</v>
      </c>
      <c r="I807">
        <v>115.2</v>
      </c>
      <c r="K807" t="s">
        <v>3079</v>
      </c>
      <c r="L807" t="s">
        <v>2196</v>
      </c>
      <c r="O807" s="431">
        <f t="shared" si="74"/>
        <v>1.152E-3</v>
      </c>
      <c r="P807" t="s">
        <v>2196</v>
      </c>
      <c r="T807">
        <v>1</v>
      </c>
      <c r="U807" t="s">
        <v>2874</v>
      </c>
      <c r="V807" t="s">
        <v>809</v>
      </c>
    </row>
    <row r="808" spans="1:22" x14ac:dyDescent="0.25">
      <c r="A808" t="s">
        <v>3226</v>
      </c>
      <c r="B808" t="s">
        <v>3078</v>
      </c>
      <c r="C808" t="s">
        <v>3232</v>
      </c>
      <c r="E808" t="s">
        <v>3227</v>
      </c>
      <c r="F808" t="s">
        <v>200</v>
      </c>
      <c r="G808" s="411" t="s">
        <v>212</v>
      </c>
      <c r="H808">
        <v>2017</v>
      </c>
      <c r="I808">
        <v>51.1</v>
      </c>
      <c r="K808" t="s">
        <v>3079</v>
      </c>
      <c r="L808" t="s">
        <v>2196</v>
      </c>
      <c r="O808" s="431">
        <f t="shared" si="74"/>
        <v>5.1100000000000006E-4</v>
      </c>
      <c r="P808" t="s">
        <v>2196</v>
      </c>
      <c r="T808">
        <v>1</v>
      </c>
      <c r="U808" t="s">
        <v>2875</v>
      </c>
      <c r="V808" t="s">
        <v>2876</v>
      </c>
    </row>
    <row r="809" spans="1:22" x14ac:dyDescent="0.25">
      <c r="A809" t="s">
        <v>3226</v>
      </c>
      <c r="B809" t="s">
        <v>3078</v>
      </c>
      <c r="C809" t="s">
        <v>3233</v>
      </c>
      <c r="E809" t="s">
        <v>3227</v>
      </c>
      <c r="F809" t="s">
        <v>200</v>
      </c>
      <c r="G809" s="411" t="s">
        <v>212</v>
      </c>
      <c r="H809">
        <v>2017</v>
      </c>
      <c r="I809">
        <v>61.9</v>
      </c>
      <c r="K809" t="s">
        <v>3079</v>
      </c>
      <c r="L809" t="s">
        <v>2196</v>
      </c>
      <c r="O809" s="431">
        <f t="shared" si="74"/>
        <v>6.1899999999999998E-4</v>
      </c>
      <c r="P809" t="s">
        <v>2196</v>
      </c>
      <c r="T809">
        <v>1</v>
      </c>
      <c r="U809" t="s">
        <v>2878</v>
      </c>
      <c r="V809" t="s">
        <v>2879</v>
      </c>
    </row>
    <row r="810" spans="1:22" x14ac:dyDescent="0.25">
      <c r="A810" t="s">
        <v>3226</v>
      </c>
      <c r="B810" t="s">
        <v>3078</v>
      </c>
      <c r="C810" t="s">
        <v>3234</v>
      </c>
      <c r="E810" t="s">
        <v>3227</v>
      </c>
      <c r="F810" t="s">
        <v>200</v>
      </c>
      <c r="G810" s="411" t="s">
        <v>212</v>
      </c>
      <c r="H810">
        <v>2017</v>
      </c>
      <c r="I810">
        <v>101.4</v>
      </c>
      <c r="K810" t="s">
        <v>3079</v>
      </c>
      <c r="L810" t="s">
        <v>2196</v>
      </c>
      <c r="O810" s="431">
        <f t="shared" si="74"/>
        <v>1.0140000000000001E-3</v>
      </c>
      <c r="P810" t="s">
        <v>2196</v>
      </c>
      <c r="T810">
        <v>1</v>
      </c>
      <c r="U810" t="s">
        <v>2880</v>
      </c>
      <c r="V810" t="s">
        <v>2881</v>
      </c>
    </row>
    <row r="811" spans="1:22" x14ac:dyDescent="0.25">
      <c r="A811" t="s">
        <v>3226</v>
      </c>
      <c r="B811" t="s">
        <v>3078</v>
      </c>
      <c r="C811" t="s">
        <v>3235</v>
      </c>
      <c r="E811" t="s">
        <v>3227</v>
      </c>
      <c r="F811" t="s">
        <v>200</v>
      </c>
      <c r="G811" s="411" t="s">
        <v>212</v>
      </c>
      <c r="H811">
        <v>2017</v>
      </c>
      <c r="I811">
        <v>152.69999999999999</v>
      </c>
      <c r="K811" t="s">
        <v>3079</v>
      </c>
      <c r="L811" t="s">
        <v>2196</v>
      </c>
      <c r="O811" s="431">
        <f t="shared" si="74"/>
        <v>1.5269999999999999E-3</v>
      </c>
      <c r="P811" t="s">
        <v>2196</v>
      </c>
      <c r="T811">
        <v>1</v>
      </c>
      <c r="U811" t="s">
        <v>2882</v>
      </c>
      <c r="V811" t="s">
        <v>2883</v>
      </c>
    </row>
    <row r="812" spans="1:22" x14ac:dyDescent="0.25">
      <c r="A812" t="s">
        <v>3226</v>
      </c>
      <c r="B812" t="s">
        <v>3078</v>
      </c>
      <c r="C812" t="s">
        <v>3236</v>
      </c>
      <c r="E812" t="s">
        <v>3227</v>
      </c>
      <c r="F812" t="s">
        <v>200</v>
      </c>
      <c r="G812" s="411" t="s">
        <v>212</v>
      </c>
      <c r="H812">
        <v>2017</v>
      </c>
      <c r="I812">
        <v>206.7</v>
      </c>
      <c r="K812" t="s">
        <v>3079</v>
      </c>
      <c r="L812" t="s">
        <v>2196</v>
      </c>
      <c r="O812" s="431">
        <f t="shared" si="74"/>
        <v>2.0669999999999998E-3</v>
      </c>
      <c r="P812" t="s">
        <v>2196</v>
      </c>
      <c r="T812">
        <v>1</v>
      </c>
      <c r="U812" t="s">
        <v>2884</v>
      </c>
      <c r="V812" t="s">
        <v>2885</v>
      </c>
    </row>
    <row r="813" spans="1:22" x14ac:dyDescent="0.25">
      <c r="A813" t="s">
        <v>3226</v>
      </c>
      <c r="B813" t="s">
        <v>3078</v>
      </c>
      <c r="C813" t="s">
        <v>3237</v>
      </c>
      <c r="E813" t="s">
        <v>3227</v>
      </c>
      <c r="F813" t="s">
        <v>200</v>
      </c>
      <c r="G813" s="411" t="s">
        <v>212</v>
      </c>
      <c r="H813">
        <v>2017</v>
      </c>
      <c r="I813">
        <v>262.10000000000002</v>
      </c>
      <c r="K813" t="s">
        <v>3079</v>
      </c>
      <c r="L813" t="s">
        <v>2196</v>
      </c>
      <c r="O813" s="431">
        <f t="shared" si="74"/>
        <v>2.6210000000000001E-3</v>
      </c>
      <c r="P813" t="s">
        <v>2196</v>
      </c>
      <c r="T813">
        <v>1</v>
      </c>
      <c r="U813" t="s">
        <v>2886</v>
      </c>
      <c r="V813" t="s">
        <v>814</v>
      </c>
    </row>
    <row r="814" spans="1:22" x14ac:dyDescent="0.25">
      <c r="A814" t="s">
        <v>3226</v>
      </c>
      <c r="B814" t="s">
        <v>3078</v>
      </c>
      <c r="C814" t="s">
        <v>3238</v>
      </c>
      <c r="E814" t="s">
        <v>3227</v>
      </c>
      <c r="F814" t="s">
        <v>200</v>
      </c>
      <c r="G814" s="411" t="s">
        <v>212</v>
      </c>
      <c r="H814">
        <v>2017</v>
      </c>
      <c r="I814">
        <v>348.5</v>
      </c>
      <c r="K814" t="s">
        <v>3079</v>
      </c>
      <c r="L814" t="s">
        <v>2196</v>
      </c>
      <c r="O814" s="431">
        <f t="shared" si="74"/>
        <v>3.4849999999999998E-3</v>
      </c>
      <c r="P814" t="s">
        <v>2196</v>
      </c>
      <c r="T814">
        <v>1</v>
      </c>
      <c r="U814" t="s">
        <v>2887</v>
      </c>
      <c r="V814" t="s">
        <v>2888</v>
      </c>
    </row>
    <row r="815" spans="1:22" x14ac:dyDescent="0.25">
      <c r="A815" t="s">
        <v>3081</v>
      </c>
      <c r="F815" t="s">
        <v>2395</v>
      </c>
      <c r="G815" s="411" t="s">
        <v>3082</v>
      </c>
      <c r="H815" t="s">
        <v>3083</v>
      </c>
      <c r="I815">
        <v>19.600000000000001</v>
      </c>
      <c r="J815" t="s">
        <v>3084</v>
      </c>
      <c r="K815" t="s">
        <v>3085</v>
      </c>
      <c r="L815" t="s">
        <v>2911</v>
      </c>
      <c r="T815">
        <v>0</v>
      </c>
      <c r="U815" t="s">
        <v>2851</v>
      </c>
      <c r="V815" t="s">
        <v>594</v>
      </c>
    </row>
    <row r="816" spans="1:22" x14ac:dyDescent="0.25">
      <c r="A816" t="s">
        <v>3081</v>
      </c>
      <c r="F816" t="s">
        <v>2395</v>
      </c>
      <c r="G816" s="411" t="s">
        <v>3086</v>
      </c>
      <c r="H816">
        <v>2012</v>
      </c>
      <c r="I816">
        <v>28.3</v>
      </c>
      <c r="J816" t="s">
        <v>3087</v>
      </c>
      <c r="K816" t="s">
        <v>3088</v>
      </c>
      <c r="L816" t="s">
        <v>1863</v>
      </c>
      <c r="T816">
        <v>1</v>
      </c>
      <c r="U816" t="s">
        <v>2873</v>
      </c>
      <c r="V816" t="s">
        <v>805</v>
      </c>
    </row>
    <row r="817" spans="1:22" x14ac:dyDescent="0.25">
      <c r="A817" t="s">
        <v>3081</v>
      </c>
      <c r="F817" t="s">
        <v>2395</v>
      </c>
      <c r="G817" s="411" t="s">
        <v>3082</v>
      </c>
      <c r="H817">
        <v>2014</v>
      </c>
      <c r="I817">
        <v>16.899999999999999</v>
      </c>
      <c r="J817" t="s">
        <v>3089</v>
      </c>
      <c r="K817" t="s">
        <v>3085</v>
      </c>
      <c r="L817" t="s">
        <v>1863</v>
      </c>
      <c r="T817">
        <v>1</v>
      </c>
      <c r="U817" t="s">
        <v>2874</v>
      </c>
      <c r="V817" t="s">
        <v>809</v>
      </c>
    </row>
    <row r="818" spans="1:22" x14ac:dyDescent="0.25">
      <c r="A818" t="s">
        <v>3081</v>
      </c>
      <c r="F818" t="s">
        <v>2395</v>
      </c>
      <c r="G818" s="411" t="s">
        <v>3082</v>
      </c>
      <c r="H818">
        <v>2013</v>
      </c>
      <c r="I818">
        <v>18.8</v>
      </c>
      <c r="J818" t="s">
        <v>3090</v>
      </c>
      <c r="K818" t="s">
        <v>3091</v>
      </c>
      <c r="L818" t="s">
        <v>1863</v>
      </c>
      <c r="T818">
        <v>1</v>
      </c>
      <c r="U818" t="s">
        <v>2880</v>
      </c>
      <c r="V818" t="s">
        <v>3092</v>
      </c>
    </row>
    <row r="819" spans="1:22" x14ac:dyDescent="0.25">
      <c r="A819" t="s">
        <v>3081</v>
      </c>
      <c r="F819" t="s">
        <v>2395</v>
      </c>
      <c r="G819" s="411" t="s">
        <v>3093</v>
      </c>
      <c r="H819">
        <v>2014</v>
      </c>
      <c r="I819">
        <v>18.100000000000001</v>
      </c>
      <c r="J819" t="s">
        <v>3094</v>
      </c>
      <c r="K819" t="s">
        <v>3095</v>
      </c>
      <c r="L819" t="s">
        <v>1863</v>
      </c>
      <c r="T819">
        <v>1</v>
      </c>
      <c r="U819" t="s">
        <v>2870</v>
      </c>
      <c r="V819" t="s">
        <v>806</v>
      </c>
    </row>
    <row r="820" spans="1:22" x14ac:dyDescent="0.25">
      <c r="A820" t="s">
        <v>3081</v>
      </c>
      <c r="F820" t="s">
        <v>2395</v>
      </c>
      <c r="G820" s="411" t="s">
        <v>3096</v>
      </c>
      <c r="H820">
        <v>2009</v>
      </c>
      <c r="I820">
        <v>30.3</v>
      </c>
      <c r="J820" t="s">
        <v>3097</v>
      </c>
      <c r="K820" t="s">
        <v>3098</v>
      </c>
      <c r="L820" t="s">
        <v>1863</v>
      </c>
      <c r="T820">
        <v>1</v>
      </c>
      <c r="U820" t="s">
        <v>2886</v>
      </c>
      <c r="V820" t="s">
        <v>814</v>
      </c>
    </row>
    <row r="821" spans="1:22" x14ac:dyDescent="0.25">
      <c r="A821" t="s">
        <v>3099</v>
      </c>
      <c r="B821" t="s">
        <v>3100</v>
      </c>
      <c r="C821" t="str">
        <f t="shared" ref="C821:C830" si="75">_xlfn.CONCAT(B821,U821)</f>
        <v>VC34ET</v>
      </c>
      <c r="F821" t="s">
        <v>2395</v>
      </c>
      <c r="G821" s="411" t="s">
        <v>3093</v>
      </c>
      <c r="H821" t="s">
        <v>2940</v>
      </c>
      <c r="I821">
        <v>21.81</v>
      </c>
      <c r="J821" t="s">
        <v>3101</v>
      </c>
      <c r="K821" t="s">
        <v>3095</v>
      </c>
      <c r="L821" t="s">
        <v>1863</v>
      </c>
      <c r="O821">
        <f>I821/100</f>
        <v>0.21809999999999999</v>
      </c>
      <c r="P821" t="s">
        <v>1863</v>
      </c>
      <c r="T821">
        <v>0</v>
      </c>
      <c r="U821" t="s">
        <v>2851</v>
      </c>
      <c r="V821" t="s">
        <v>594</v>
      </c>
    </row>
    <row r="822" spans="1:22" x14ac:dyDescent="0.25">
      <c r="A822" t="s">
        <v>3099</v>
      </c>
      <c r="B822" t="s">
        <v>3100</v>
      </c>
      <c r="C822" t="str">
        <f t="shared" si="75"/>
        <v>VC34ETR</v>
      </c>
      <c r="F822" t="s">
        <v>2395</v>
      </c>
      <c r="G822" s="411" t="s">
        <v>3093</v>
      </c>
      <c r="H822" t="s">
        <v>3007</v>
      </c>
      <c r="I822">
        <v>18.45</v>
      </c>
      <c r="J822" t="s">
        <v>3102</v>
      </c>
      <c r="K822" t="s">
        <v>3095</v>
      </c>
      <c r="L822" t="s">
        <v>1863</v>
      </c>
      <c r="O822">
        <f t="shared" ref="O822:O830" si="76">I822/100</f>
        <v>0.1845</v>
      </c>
      <c r="P822" t="s">
        <v>1863</v>
      </c>
      <c r="T822">
        <v>0.5</v>
      </c>
      <c r="U822" t="s">
        <v>2868</v>
      </c>
      <c r="V822" t="s">
        <v>84</v>
      </c>
    </row>
    <row r="823" spans="1:22" x14ac:dyDescent="0.25">
      <c r="A823" t="s">
        <v>3099</v>
      </c>
      <c r="B823" t="s">
        <v>3100</v>
      </c>
      <c r="C823" t="str">
        <f t="shared" si="75"/>
        <v>VC34ETU</v>
      </c>
      <c r="F823" t="s">
        <v>2395</v>
      </c>
      <c r="G823" s="411" t="s">
        <v>3093</v>
      </c>
      <c r="H823" t="s">
        <v>2940</v>
      </c>
      <c r="I823">
        <v>22.85</v>
      </c>
      <c r="J823" t="s">
        <v>3103</v>
      </c>
      <c r="K823" t="s">
        <v>3095</v>
      </c>
      <c r="L823" t="s">
        <v>2911</v>
      </c>
      <c r="O823">
        <f t="shared" si="76"/>
        <v>0.22850000000000001</v>
      </c>
      <c r="P823" t="s">
        <v>2911</v>
      </c>
      <c r="T823">
        <v>0.5</v>
      </c>
      <c r="U823" t="s">
        <v>2869</v>
      </c>
      <c r="V823" t="s">
        <v>336</v>
      </c>
    </row>
    <row r="824" spans="1:22" x14ac:dyDescent="0.25">
      <c r="A824" t="s">
        <v>3099</v>
      </c>
      <c r="B824" t="s">
        <v>3100</v>
      </c>
      <c r="C824" t="str">
        <f t="shared" si="75"/>
        <v>VC34ET01</v>
      </c>
      <c r="F824" t="s">
        <v>2395</v>
      </c>
      <c r="G824" s="411" t="s">
        <v>3093</v>
      </c>
      <c r="H824" t="s">
        <v>3104</v>
      </c>
      <c r="I824">
        <v>15.36</v>
      </c>
      <c r="J824" t="s">
        <v>3105</v>
      </c>
      <c r="K824" t="s">
        <v>3095</v>
      </c>
      <c r="L824" t="s">
        <v>2911</v>
      </c>
      <c r="O824">
        <f t="shared" si="76"/>
        <v>0.15359999999999999</v>
      </c>
      <c r="P824" t="s">
        <v>2911</v>
      </c>
      <c r="T824">
        <v>1</v>
      </c>
      <c r="U824" t="s">
        <v>2870</v>
      </c>
      <c r="V824" t="s">
        <v>806</v>
      </c>
    </row>
    <row r="825" spans="1:22" x14ac:dyDescent="0.25">
      <c r="A825" t="s">
        <v>3099</v>
      </c>
      <c r="B825" t="s">
        <v>3100</v>
      </c>
      <c r="C825" t="str">
        <f t="shared" si="75"/>
        <v>VC34ET03</v>
      </c>
      <c r="F825" t="s">
        <v>2395</v>
      </c>
      <c r="G825" s="411" t="s">
        <v>3093</v>
      </c>
      <c r="H825" t="s">
        <v>3007</v>
      </c>
      <c r="I825">
        <v>22.27</v>
      </c>
      <c r="J825" t="s">
        <v>3106</v>
      </c>
      <c r="K825" t="s">
        <v>3095</v>
      </c>
      <c r="L825" t="s">
        <v>2911</v>
      </c>
      <c r="O825">
        <f t="shared" si="76"/>
        <v>0.22270000000000001</v>
      </c>
      <c r="P825" t="s">
        <v>2911</v>
      </c>
      <c r="T825">
        <v>1</v>
      </c>
      <c r="U825" t="s">
        <v>2873</v>
      </c>
      <c r="V825" t="s">
        <v>805</v>
      </c>
    </row>
    <row r="826" spans="1:22" x14ac:dyDescent="0.25">
      <c r="A826" t="s">
        <v>3099</v>
      </c>
      <c r="B826" t="s">
        <v>3100</v>
      </c>
      <c r="C826" t="str">
        <f t="shared" si="75"/>
        <v>VC34ET04</v>
      </c>
      <c r="F826" t="s">
        <v>2395</v>
      </c>
      <c r="G826" s="411" t="s">
        <v>3093</v>
      </c>
      <c r="H826" t="s">
        <v>3007</v>
      </c>
      <c r="I826">
        <v>19.829999999999998</v>
      </c>
      <c r="J826" t="s">
        <v>3107</v>
      </c>
      <c r="K826" t="s">
        <v>3095</v>
      </c>
      <c r="L826" t="s">
        <v>2911</v>
      </c>
      <c r="O826">
        <f t="shared" si="76"/>
        <v>0.19829999999999998</v>
      </c>
      <c r="P826" t="s">
        <v>2911</v>
      </c>
      <c r="T826">
        <v>1</v>
      </c>
      <c r="U826" t="s">
        <v>2874</v>
      </c>
      <c r="V826" t="s">
        <v>809</v>
      </c>
    </row>
    <row r="827" spans="1:22" x14ac:dyDescent="0.25">
      <c r="A827" t="s">
        <v>3099</v>
      </c>
      <c r="B827" t="s">
        <v>3100</v>
      </c>
      <c r="C827" t="str">
        <f t="shared" si="75"/>
        <v>VC34ET05</v>
      </c>
      <c r="F827" t="s">
        <v>2395</v>
      </c>
      <c r="G827" s="411" t="s">
        <v>3093</v>
      </c>
      <c r="H827">
        <v>2017</v>
      </c>
      <c r="I827">
        <v>21.14</v>
      </c>
      <c r="J827" t="s">
        <v>3108</v>
      </c>
      <c r="K827" t="s">
        <v>3095</v>
      </c>
      <c r="L827" t="s">
        <v>2911</v>
      </c>
      <c r="O827">
        <f t="shared" si="76"/>
        <v>0.2114</v>
      </c>
      <c r="P827" t="s">
        <v>2911</v>
      </c>
      <c r="T827">
        <v>1</v>
      </c>
      <c r="U827" t="s">
        <v>2875</v>
      </c>
      <c r="V827" t="s">
        <v>2876</v>
      </c>
    </row>
    <row r="828" spans="1:22" x14ac:dyDescent="0.25">
      <c r="A828" t="s">
        <v>3099</v>
      </c>
      <c r="B828" t="s">
        <v>3100</v>
      </c>
      <c r="C828" t="str">
        <f t="shared" si="75"/>
        <v>VC34ET07</v>
      </c>
      <c r="F828" t="s">
        <v>2395</v>
      </c>
      <c r="G828" s="411" t="s">
        <v>3093</v>
      </c>
      <c r="H828" t="s">
        <v>2905</v>
      </c>
      <c r="I828">
        <v>23.83</v>
      </c>
      <c r="J828" t="s">
        <v>3109</v>
      </c>
      <c r="K828" t="s">
        <v>3095</v>
      </c>
      <c r="L828" t="s">
        <v>2911</v>
      </c>
      <c r="O828">
        <f t="shared" si="76"/>
        <v>0.23829999999999998</v>
      </c>
      <c r="P828" t="s">
        <v>2911</v>
      </c>
      <c r="T828">
        <v>1</v>
      </c>
      <c r="U828" t="s">
        <v>2880</v>
      </c>
      <c r="V828" t="s">
        <v>2881</v>
      </c>
    </row>
    <row r="829" spans="1:22" x14ac:dyDescent="0.25">
      <c r="A829" t="s">
        <v>3099</v>
      </c>
      <c r="B829" t="s">
        <v>3100</v>
      </c>
      <c r="C829" t="str">
        <f t="shared" si="75"/>
        <v>VC34ET14</v>
      </c>
      <c r="F829" t="s">
        <v>2395</v>
      </c>
      <c r="G829" s="411" t="s">
        <v>3093</v>
      </c>
      <c r="H829" t="s">
        <v>2940</v>
      </c>
      <c r="I829">
        <v>25.35</v>
      </c>
      <c r="J829" t="s">
        <v>3110</v>
      </c>
      <c r="K829" t="s">
        <v>3095</v>
      </c>
      <c r="L829" t="s">
        <v>2911</v>
      </c>
      <c r="O829">
        <f t="shared" si="76"/>
        <v>0.2535</v>
      </c>
      <c r="P829" t="s">
        <v>2911</v>
      </c>
      <c r="T829">
        <v>1</v>
      </c>
      <c r="U829" t="s">
        <v>2886</v>
      </c>
      <c r="V829" t="s">
        <v>814</v>
      </c>
    </row>
    <row r="830" spans="1:22" x14ac:dyDescent="0.25">
      <c r="A830" t="s">
        <v>3099</v>
      </c>
      <c r="B830" t="s">
        <v>3100</v>
      </c>
      <c r="C830" t="str">
        <f t="shared" si="75"/>
        <v>VC34ET15</v>
      </c>
      <c r="F830" t="s">
        <v>2395</v>
      </c>
      <c r="G830" s="411" t="s">
        <v>3096</v>
      </c>
      <c r="H830">
        <v>2019</v>
      </c>
      <c r="I830">
        <v>24.43</v>
      </c>
      <c r="J830" t="s">
        <v>3111</v>
      </c>
      <c r="K830" t="s">
        <v>3112</v>
      </c>
      <c r="L830" t="s">
        <v>1863</v>
      </c>
      <c r="O830">
        <f t="shared" si="76"/>
        <v>0.24429999999999999</v>
      </c>
      <c r="P830" t="s">
        <v>1863</v>
      </c>
      <c r="T830">
        <v>1</v>
      </c>
      <c r="U830" t="s">
        <v>2887</v>
      </c>
      <c r="V830" t="s">
        <v>2888</v>
      </c>
    </row>
    <row r="831" spans="1:22" s="418" customFormat="1" x14ac:dyDescent="0.25">
      <c r="A831" s="418" t="s">
        <v>3113</v>
      </c>
      <c r="F831" s="418" t="s">
        <v>519</v>
      </c>
      <c r="G831" s="419" t="s">
        <v>3114</v>
      </c>
      <c r="H831" s="418">
        <v>2016</v>
      </c>
      <c r="I831" s="418">
        <v>1.9</v>
      </c>
      <c r="K831" s="418" t="s">
        <v>3115</v>
      </c>
      <c r="L831" s="418" t="s">
        <v>1863</v>
      </c>
      <c r="Q831" s="426"/>
      <c r="U831" s="418" t="s">
        <v>2851</v>
      </c>
      <c r="V831" s="418" t="s">
        <v>594</v>
      </c>
    </row>
    <row r="832" spans="1:22" s="418" customFormat="1" x14ac:dyDescent="0.25">
      <c r="A832" s="418" t="s">
        <v>3116</v>
      </c>
      <c r="F832" s="418" t="s">
        <v>519</v>
      </c>
      <c r="G832" s="419" t="s">
        <v>3117</v>
      </c>
      <c r="H832" s="418">
        <v>2012</v>
      </c>
      <c r="I832" s="418">
        <v>5.0999999999999996</v>
      </c>
      <c r="K832" s="418" t="s">
        <v>3118</v>
      </c>
      <c r="L832" s="418" t="s">
        <v>1863</v>
      </c>
      <c r="Q832" s="426"/>
      <c r="T832" s="418">
        <v>0</v>
      </c>
      <c r="U832" s="418" t="s">
        <v>2851</v>
      </c>
      <c r="V832" s="418" t="s">
        <v>594</v>
      </c>
    </row>
    <row r="833" spans="1:22" x14ac:dyDescent="0.25">
      <c r="A833" t="s">
        <v>3119</v>
      </c>
      <c r="B833" t="s">
        <v>3120</v>
      </c>
      <c r="C833" t="str">
        <f t="shared" ref="C833" si="77">_xlfn.CONCAT(B833,U833)</f>
        <v>VC35ET</v>
      </c>
      <c r="D833" t="s">
        <v>2715</v>
      </c>
      <c r="F833" t="s">
        <v>519</v>
      </c>
      <c r="G833" s="411" t="s">
        <v>3082</v>
      </c>
      <c r="H833">
        <v>2015</v>
      </c>
      <c r="I833">
        <v>3.2</v>
      </c>
      <c r="L833" t="s">
        <v>1863</v>
      </c>
      <c r="O833">
        <f>I833/100</f>
        <v>3.2000000000000001E-2</v>
      </c>
      <c r="Q833" s="425"/>
      <c r="T833">
        <v>0</v>
      </c>
      <c r="U833" t="s">
        <v>2851</v>
      </c>
      <c r="V833" t="s">
        <v>594</v>
      </c>
    </row>
    <row r="834" spans="1:22" x14ac:dyDescent="0.25">
      <c r="A834" t="s">
        <v>3119</v>
      </c>
      <c r="F834" t="s">
        <v>519</v>
      </c>
      <c r="G834" s="411" t="s">
        <v>3082</v>
      </c>
      <c r="H834">
        <v>2015</v>
      </c>
      <c r="I834">
        <v>3.5</v>
      </c>
      <c r="L834" t="s">
        <v>1863</v>
      </c>
      <c r="Q834" s="425"/>
      <c r="V834" t="s">
        <v>116</v>
      </c>
    </row>
    <row r="835" spans="1:22" x14ac:dyDescent="0.25">
      <c r="A835" t="s">
        <v>3119</v>
      </c>
      <c r="F835" t="s">
        <v>519</v>
      </c>
      <c r="G835" s="411" t="s">
        <v>3082</v>
      </c>
      <c r="H835">
        <v>2015</v>
      </c>
      <c r="I835">
        <v>3</v>
      </c>
      <c r="L835" t="s">
        <v>1863</v>
      </c>
      <c r="Q835" s="414"/>
      <c r="V835" t="s">
        <v>117</v>
      </c>
    </row>
    <row r="836" spans="1:22" x14ac:dyDescent="0.25">
      <c r="A836" t="s">
        <v>3119</v>
      </c>
      <c r="F836" t="s">
        <v>519</v>
      </c>
      <c r="G836" s="411" t="s">
        <v>3121</v>
      </c>
      <c r="H836">
        <v>2015</v>
      </c>
      <c r="I836">
        <v>2.6</v>
      </c>
      <c r="L836" t="s">
        <v>1863</v>
      </c>
      <c r="Q836" s="427">
        <v>1</v>
      </c>
      <c r="R836" t="s">
        <v>3122</v>
      </c>
    </row>
    <row r="837" spans="1:22" x14ac:dyDescent="0.25">
      <c r="A837" t="s">
        <v>3119</v>
      </c>
      <c r="F837" t="s">
        <v>519</v>
      </c>
      <c r="G837" s="411" t="s">
        <v>3123</v>
      </c>
      <c r="H837">
        <v>2015</v>
      </c>
      <c r="I837">
        <v>2.6</v>
      </c>
      <c r="L837" t="s">
        <v>1863</v>
      </c>
      <c r="Q837" s="427">
        <v>1</v>
      </c>
      <c r="R837" t="s">
        <v>3122</v>
      </c>
    </row>
    <row r="838" spans="1:22" x14ac:dyDescent="0.25">
      <c r="A838" t="s">
        <v>3119</v>
      </c>
      <c r="F838" t="s">
        <v>519</v>
      </c>
      <c r="G838" s="411" t="s">
        <v>3124</v>
      </c>
      <c r="H838">
        <v>2015</v>
      </c>
      <c r="I838">
        <v>3.9</v>
      </c>
      <c r="L838" t="s">
        <v>1863</v>
      </c>
      <c r="Q838" s="427">
        <v>1</v>
      </c>
      <c r="R838" t="s">
        <v>3122</v>
      </c>
    </row>
    <row r="839" spans="1:22" x14ac:dyDescent="0.25">
      <c r="A839" t="s">
        <v>3119</v>
      </c>
      <c r="F839" t="s">
        <v>519</v>
      </c>
      <c r="G839" s="411" t="s">
        <v>3125</v>
      </c>
      <c r="H839">
        <v>2015</v>
      </c>
      <c r="I839">
        <v>4.3</v>
      </c>
      <c r="L839" t="s">
        <v>1863</v>
      </c>
      <c r="Q839" s="427">
        <v>1</v>
      </c>
      <c r="R839" t="s">
        <v>3122</v>
      </c>
    </row>
    <row r="840" spans="1:22" x14ac:dyDescent="0.25">
      <c r="A840" t="s">
        <v>3119</v>
      </c>
      <c r="F840" t="s">
        <v>519</v>
      </c>
      <c r="G840" s="411" t="s">
        <v>3126</v>
      </c>
      <c r="H840">
        <v>2015</v>
      </c>
      <c r="I840">
        <v>4.9000000000000004</v>
      </c>
      <c r="L840" t="s">
        <v>1863</v>
      </c>
      <c r="Q840" s="427">
        <v>1</v>
      </c>
      <c r="R840" t="s">
        <v>3122</v>
      </c>
    </row>
    <row r="841" spans="1:22" x14ac:dyDescent="0.25">
      <c r="A841" t="s">
        <v>3119</v>
      </c>
      <c r="F841" t="s">
        <v>519</v>
      </c>
      <c r="G841" s="411" t="s">
        <v>3127</v>
      </c>
      <c r="H841">
        <v>2015</v>
      </c>
      <c r="I841">
        <v>4.5999999999999996</v>
      </c>
      <c r="L841" t="s">
        <v>1863</v>
      </c>
      <c r="Q841" s="427">
        <v>1</v>
      </c>
      <c r="R841" t="s">
        <v>3122</v>
      </c>
    </row>
    <row r="842" spans="1:22" s="418" customFormat="1" x14ac:dyDescent="0.25">
      <c r="A842" s="418" t="s">
        <v>3128</v>
      </c>
      <c r="F842" s="418" t="s">
        <v>3129</v>
      </c>
      <c r="G842" s="419" t="s">
        <v>3130</v>
      </c>
      <c r="H842" s="418">
        <v>2015</v>
      </c>
      <c r="I842" s="418">
        <v>8.9</v>
      </c>
      <c r="K842" s="418" t="s">
        <v>3131</v>
      </c>
      <c r="Q842" s="426"/>
      <c r="T842" s="418">
        <v>0</v>
      </c>
      <c r="U842" s="418" t="s">
        <v>2851</v>
      </c>
      <c r="V842" s="418" t="s">
        <v>594</v>
      </c>
    </row>
    <row r="843" spans="1:22" x14ac:dyDescent="0.25">
      <c r="A843" t="s">
        <v>2852</v>
      </c>
      <c r="B843" t="s">
        <v>3132</v>
      </c>
      <c r="C843" t="str">
        <f t="shared" ref="C843:C871" si="78">_xlfn.CONCAT(B843,U843)</f>
        <v>VC36ET</v>
      </c>
      <c r="D843" t="s">
        <v>2716</v>
      </c>
      <c r="E843" t="s">
        <v>3133</v>
      </c>
      <c r="F843" t="s">
        <v>3129</v>
      </c>
      <c r="G843" s="411" t="s">
        <v>3130</v>
      </c>
      <c r="H843">
        <v>2016</v>
      </c>
      <c r="I843">
        <v>4.7</v>
      </c>
      <c r="K843" t="s">
        <v>3131</v>
      </c>
      <c r="L843" t="s">
        <v>3134</v>
      </c>
      <c r="O843" s="412">
        <f>I843/100</f>
        <v>4.7E-2</v>
      </c>
      <c r="Q843" s="422">
        <f>(I843/I844)^(1/(H843-H844))</f>
        <v>0.91570376443284174</v>
      </c>
      <c r="T843">
        <v>0</v>
      </c>
      <c r="U843" t="s">
        <v>2851</v>
      </c>
      <c r="V843" t="s">
        <v>594</v>
      </c>
    </row>
    <row r="844" spans="1:22" x14ac:dyDescent="0.25">
      <c r="A844" t="s">
        <v>2852</v>
      </c>
      <c r="B844" t="s">
        <v>3132</v>
      </c>
      <c r="E844" t="s">
        <v>3133</v>
      </c>
      <c r="F844" t="s">
        <v>3129</v>
      </c>
      <c r="G844" s="411" t="s">
        <v>3130</v>
      </c>
      <c r="H844">
        <v>2011</v>
      </c>
      <c r="I844">
        <v>7.3</v>
      </c>
      <c r="K844" t="s">
        <v>3131</v>
      </c>
      <c r="L844" t="s">
        <v>3134</v>
      </c>
      <c r="O844" s="412">
        <f t="shared" ref="O844:O870" si="79">I844/100</f>
        <v>7.2999999999999995E-2</v>
      </c>
      <c r="T844">
        <v>0</v>
      </c>
      <c r="U844" t="s">
        <v>2851</v>
      </c>
      <c r="V844" t="s">
        <v>594</v>
      </c>
    </row>
    <row r="845" spans="1:22" x14ac:dyDescent="0.25">
      <c r="A845" t="s">
        <v>2852</v>
      </c>
      <c r="B845" t="s">
        <v>3132</v>
      </c>
      <c r="C845" t="str">
        <f t="shared" si="78"/>
        <v>VC36ETR</v>
      </c>
      <c r="E845" t="s">
        <v>3133</v>
      </c>
      <c r="F845" t="s">
        <v>3129</v>
      </c>
      <c r="G845" s="411" t="s">
        <v>3130</v>
      </c>
      <c r="H845">
        <v>2016</v>
      </c>
      <c r="I845">
        <v>4.5</v>
      </c>
      <c r="K845" t="s">
        <v>3131</v>
      </c>
      <c r="L845" t="s">
        <v>3134</v>
      </c>
      <c r="O845" s="412">
        <f t="shared" si="79"/>
        <v>4.4999999999999998E-2</v>
      </c>
      <c r="Q845" s="422">
        <f>(I845/I846)^(1/(H845-H846))</f>
        <v>0.93791647568279557</v>
      </c>
      <c r="T845">
        <v>0.5</v>
      </c>
      <c r="U845" t="s">
        <v>2868</v>
      </c>
      <c r="V845" t="s">
        <v>84</v>
      </c>
    </row>
    <row r="846" spans="1:22" x14ac:dyDescent="0.25">
      <c r="A846" t="s">
        <v>2852</v>
      </c>
      <c r="B846" t="s">
        <v>3132</v>
      </c>
      <c r="E846" t="s">
        <v>3133</v>
      </c>
      <c r="F846" t="s">
        <v>3129</v>
      </c>
      <c r="G846" s="411" t="s">
        <v>3130</v>
      </c>
      <c r="H846">
        <v>2011</v>
      </c>
      <c r="I846">
        <v>6.2</v>
      </c>
      <c r="K846" t="s">
        <v>3131</v>
      </c>
      <c r="L846" t="s">
        <v>3134</v>
      </c>
      <c r="O846" s="412">
        <f t="shared" si="79"/>
        <v>6.2E-2</v>
      </c>
      <c r="T846">
        <v>0.5</v>
      </c>
      <c r="U846" t="s">
        <v>2868</v>
      </c>
      <c r="V846" t="s">
        <v>84</v>
      </c>
    </row>
    <row r="847" spans="1:22" x14ac:dyDescent="0.25">
      <c r="A847" t="s">
        <v>2852</v>
      </c>
      <c r="B847" t="s">
        <v>3132</v>
      </c>
      <c r="C847" t="str">
        <f t="shared" si="78"/>
        <v>VC36ETU</v>
      </c>
      <c r="E847" t="s">
        <v>3133</v>
      </c>
      <c r="F847" t="s">
        <v>3129</v>
      </c>
      <c r="G847" s="411" t="s">
        <v>3130</v>
      </c>
      <c r="H847">
        <v>2016</v>
      </c>
      <c r="I847">
        <v>4.5</v>
      </c>
      <c r="K847" t="s">
        <v>3131</v>
      </c>
      <c r="L847" t="s">
        <v>3134</v>
      </c>
      <c r="O847" s="412">
        <f t="shared" si="79"/>
        <v>4.4999999999999998E-2</v>
      </c>
      <c r="Q847" s="422">
        <f>(I847/I848)^(1/(H847-H848))</f>
        <v>0.88264617913314714</v>
      </c>
      <c r="T847">
        <v>0.5</v>
      </c>
      <c r="U847" t="s">
        <v>2869</v>
      </c>
      <c r="V847" t="s">
        <v>336</v>
      </c>
    </row>
    <row r="848" spans="1:22" x14ac:dyDescent="0.25">
      <c r="A848" t="s">
        <v>2852</v>
      </c>
      <c r="B848" t="s">
        <v>3132</v>
      </c>
      <c r="E848" t="s">
        <v>3133</v>
      </c>
      <c r="F848" t="s">
        <v>3129</v>
      </c>
      <c r="G848" s="411" t="s">
        <v>3130</v>
      </c>
      <c r="H848">
        <v>2011</v>
      </c>
      <c r="I848">
        <v>8.4</v>
      </c>
      <c r="K848" t="s">
        <v>3131</v>
      </c>
      <c r="L848" t="s">
        <v>3134</v>
      </c>
      <c r="O848" s="412">
        <f t="shared" si="79"/>
        <v>8.4000000000000005E-2</v>
      </c>
      <c r="T848">
        <v>0.5</v>
      </c>
      <c r="U848" t="s">
        <v>2869</v>
      </c>
      <c r="V848" t="s">
        <v>336</v>
      </c>
    </row>
    <row r="849" spans="1:22" x14ac:dyDescent="0.25">
      <c r="A849" t="s">
        <v>2852</v>
      </c>
      <c r="B849" t="s">
        <v>3132</v>
      </c>
      <c r="C849" t="str">
        <f t="shared" si="78"/>
        <v>VC36ET01</v>
      </c>
      <c r="E849" t="s">
        <v>3133</v>
      </c>
      <c r="F849" t="s">
        <v>3129</v>
      </c>
      <c r="G849" s="411" t="s">
        <v>3130</v>
      </c>
      <c r="H849">
        <v>2016</v>
      </c>
      <c r="I849">
        <v>1.2</v>
      </c>
      <c r="K849" t="s">
        <v>3131</v>
      </c>
      <c r="L849" t="s">
        <v>3134</v>
      </c>
      <c r="O849" s="412">
        <f t="shared" si="79"/>
        <v>1.2E-2</v>
      </c>
      <c r="Q849" s="422">
        <f>(I849/I850)^(1/(H849-H850))</f>
        <v>0.94408751129490198</v>
      </c>
      <c r="T849">
        <v>1</v>
      </c>
      <c r="U849" t="s">
        <v>2870</v>
      </c>
      <c r="V849" t="s">
        <v>806</v>
      </c>
    </row>
    <row r="850" spans="1:22" x14ac:dyDescent="0.25">
      <c r="A850" t="s">
        <v>2852</v>
      </c>
      <c r="B850" t="s">
        <v>3132</v>
      </c>
      <c r="E850" t="s">
        <v>3133</v>
      </c>
      <c r="F850" t="s">
        <v>3129</v>
      </c>
      <c r="G850" s="411" t="s">
        <v>3130</v>
      </c>
      <c r="H850">
        <v>2011</v>
      </c>
      <c r="I850">
        <v>1.6</v>
      </c>
      <c r="K850" t="s">
        <v>3131</v>
      </c>
      <c r="L850" t="s">
        <v>3134</v>
      </c>
      <c r="O850" s="412">
        <f t="shared" si="79"/>
        <v>1.6E-2</v>
      </c>
      <c r="T850">
        <v>1</v>
      </c>
      <c r="U850" t="s">
        <v>2870</v>
      </c>
      <c r="V850" t="s">
        <v>806</v>
      </c>
    </row>
    <row r="851" spans="1:22" x14ac:dyDescent="0.25">
      <c r="A851" t="s">
        <v>2852</v>
      </c>
      <c r="B851" t="s">
        <v>3132</v>
      </c>
      <c r="C851" t="str">
        <f t="shared" si="78"/>
        <v>VC36ET02</v>
      </c>
      <c r="E851" t="s">
        <v>3133</v>
      </c>
      <c r="F851" t="s">
        <v>3129</v>
      </c>
      <c r="G851" s="411" t="s">
        <v>3130</v>
      </c>
      <c r="H851">
        <v>2016</v>
      </c>
      <c r="I851">
        <v>10</v>
      </c>
      <c r="K851" t="s">
        <v>3131</v>
      </c>
      <c r="L851" t="s">
        <v>3134</v>
      </c>
      <c r="O851" s="412">
        <f t="shared" si="79"/>
        <v>0.1</v>
      </c>
      <c r="Q851" s="422">
        <f>(I851/I852)^(1/(H851-H852))</f>
        <v>0.85180272951111635</v>
      </c>
      <c r="T851">
        <v>1</v>
      </c>
      <c r="U851" t="s">
        <v>2871</v>
      </c>
      <c r="V851" t="s">
        <v>2948</v>
      </c>
    </row>
    <row r="852" spans="1:22" x14ac:dyDescent="0.25">
      <c r="A852" t="s">
        <v>2852</v>
      </c>
      <c r="B852" t="s">
        <v>3132</v>
      </c>
      <c r="E852" t="s">
        <v>3133</v>
      </c>
      <c r="F852" t="s">
        <v>3129</v>
      </c>
      <c r="G852" s="411" t="s">
        <v>3130</v>
      </c>
      <c r="H852">
        <v>2011</v>
      </c>
      <c r="I852">
        <v>22.3</v>
      </c>
      <c r="K852" t="s">
        <v>3131</v>
      </c>
      <c r="L852" t="s">
        <v>3134</v>
      </c>
      <c r="O852" s="412">
        <f t="shared" si="79"/>
        <v>0.223</v>
      </c>
      <c r="T852">
        <v>1</v>
      </c>
      <c r="U852" t="s">
        <v>2871</v>
      </c>
      <c r="V852" t="s">
        <v>2948</v>
      </c>
    </row>
    <row r="853" spans="1:22" x14ac:dyDescent="0.25">
      <c r="A853" t="s">
        <v>2852</v>
      </c>
      <c r="B853" t="s">
        <v>3132</v>
      </c>
      <c r="C853" t="str">
        <f t="shared" si="78"/>
        <v>VC36ET03</v>
      </c>
      <c r="E853" t="s">
        <v>3133</v>
      </c>
      <c r="F853" t="s">
        <v>3129</v>
      </c>
      <c r="G853" s="411" t="s">
        <v>3130</v>
      </c>
      <c r="H853">
        <v>2016</v>
      </c>
      <c r="I853">
        <v>0.7</v>
      </c>
      <c r="K853" t="s">
        <v>3131</v>
      </c>
      <c r="L853" t="s">
        <v>3134</v>
      </c>
      <c r="O853" s="412">
        <f t="shared" si="79"/>
        <v>6.9999999999999993E-3</v>
      </c>
      <c r="Q853" s="422">
        <f>(I853/I854)^(1/(H853-H854))</f>
        <v>0.78158705837046549</v>
      </c>
      <c r="T853">
        <v>1</v>
      </c>
      <c r="U853" t="s">
        <v>2873</v>
      </c>
      <c r="V853" t="s">
        <v>805</v>
      </c>
    </row>
    <row r="854" spans="1:22" x14ac:dyDescent="0.25">
      <c r="A854" t="s">
        <v>2852</v>
      </c>
      <c r="B854" t="s">
        <v>3132</v>
      </c>
      <c r="E854" t="s">
        <v>3133</v>
      </c>
      <c r="F854" t="s">
        <v>3129</v>
      </c>
      <c r="G854" s="411" t="s">
        <v>3130</v>
      </c>
      <c r="H854">
        <v>2011</v>
      </c>
      <c r="I854">
        <v>2.4</v>
      </c>
      <c r="K854" t="s">
        <v>3131</v>
      </c>
      <c r="L854" t="s">
        <v>3134</v>
      </c>
      <c r="O854" s="412">
        <f t="shared" si="79"/>
        <v>2.4E-2</v>
      </c>
      <c r="T854">
        <v>1</v>
      </c>
      <c r="U854" t="s">
        <v>2873</v>
      </c>
      <c r="V854" t="s">
        <v>805</v>
      </c>
    </row>
    <row r="855" spans="1:22" x14ac:dyDescent="0.25">
      <c r="A855" t="s">
        <v>2852</v>
      </c>
      <c r="B855" t="s">
        <v>3132</v>
      </c>
      <c r="C855" t="str">
        <f t="shared" si="78"/>
        <v>VC36ET04</v>
      </c>
      <c r="E855" t="s">
        <v>3133</v>
      </c>
      <c r="F855" t="s">
        <v>3129</v>
      </c>
      <c r="G855" s="411" t="s">
        <v>3130</v>
      </c>
      <c r="H855">
        <v>2016</v>
      </c>
      <c r="I855">
        <v>6.7</v>
      </c>
      <c r="K855" t="s">
        <v>3131</v>
      </c>
      <c r="L855" t="s">
        <v>3134</v>
      </c>
      <c r="O855" s="412">
        <f t="shared" si="79"/>
        <v>6.7000000000000004E-2</v>
      </c>
      <c r="Q855" s="422">
        <f>(I855/I856)^(1/(H855-H856))</f>
        <v>0.94268470047285413</v>
      </c>
      <c r="T855">
        <v>1</v>
      </c>
      <c r="U855" t="s">
        <v>2874</v>
      </c>
      <c r="V855" t="s">
        <v>809</v>
      </c>
    </row>
    <row r="856" spans="1:22" x14ac:dyDescent="0.25">
      <c r="A856" t="s">
        <v>2852</v>
      </c>
      <c r="B856" t="s">
        <v>3132</v>
      </c>
      <c r="E856" t="s">
        <v>3133</v>
      </c>
      <c r="F856" t="s">
        <v>3129</v>
      </c>
      <c r="G856" s="411" t="s">
        <v>3130</v>
      </c>
      <c r="H856">
        <v>2011</v>
      </c>
      <c r="I856">
        <v>9</v>
      </c>
      <c r="K856" t="s">
        <v>3131</v>
      </c>
      <c r="L856" t="s">
        <v>3134</v>
      </c>
      <c r="O856" s="412">
        <f t="shared" si="79"/>
        <v>0.09</v>
      </c>
      <c r="T856">
        <v>1</v>
      </c>
      <c r="U856" t="s">
        <v>2874</v>
      </c>
      <c r="V856" t="s">
        <v>809</v>
      </c>
    </row>
    <row r="857" spans="1:22" x14ac:dyDescent="0.25">
      <c r="A857" t="s">
        <v>2852</v>
      </c>
      <c r="B857" t="s">
        <v>3132</v>
      </c>
      <c r="C857" t="str">
        <f t="shared" si="78"/>
        <v>VC36ET05</v>
      </c>
      <c r="E857" t="s">
        <v>3133</v>
      </c>
      <c r="F857" t="s">
        <v>3129</v>
      </c>
      <c r="G857" s="411" t="s">
        <v>3130</v>
      </c>
      <c r="H857">
        <v>2016</v>
      </c>
      <c r="I857">
        <v>18.2</v>
      </c>
      <c r="K857" t="s">
        <v>3131</v>
      </c>
      <c r="L857" t="s">
        <v>3134</v>
      </c>
      <c r="O857" s="412">
        <f t="shared" si="79"/>
        <v>0.182</v>
      </c>
      <c r="Q857" s="422">
        <f>(I857/I858)^(1/(H857-H858))</f>
        <v>0.94538970591709703</v>
      </c>
      <c r="T857">
        <v>1</v>
      </c>
      <c r="U857" t="s">
        <v>2875</v>
      </c>
      <c r="V857" t="s">
        <v>2876</v>
      </c>
    </row>
    <row r="858" spans="1:22" x14ac:dyDescent="0.25">
      <c r="A858" t="s">
        <v>2852</v>
      </c>
      <c r="B858" t="s">
        <v>3132</v>
      </c>
      <c r="E858" t="s">
        <v>3133</v>
      </c>
      <c r="F858" t="s">
        <v>3129</v>
      </c>
      <c r="G858" s="411" t="s">
        <v>3130</v>
      </c>
      <c r="H858">
        <v>2011</v>
      </c>
      <c r="I858">
        <v>24.1</v>
      </c>
      <c r="K858" t="s">
        <v>3131</v>
      </c>
      <c r="L858" t="s">
        <v>3134</v>
      </c>
      <c r="O858" s="412">
        <f t="shared" si="79"/>
        <v>0.24100000000000002</v>
      </c>
      <c r="T858">
        <v>1</v>
      </c>
      <c r="U858" t="s">
        <v>2875</v>
      </c>
      <c r="V858" t="s">
        <v>2876</v>
      </c>
    </row>
    <row r="859" spans="1:22" x14ac:dyDescent="0.25">
      <c r="A859" t="s">
        <v>2852</v>
      </c>
      <c r="B859" t="s">
        <v>3132</v>
      </c>
      <c r="C859" t="str">
        <f t="shared" si="78"/>
        <v>VC36ET06</v>
      </c>
      <c r="E859" t="s">
        <v>3133</v>
      </c>
      <c r="F859" t="s">
        <v>3129</v>
      </c>
      <c r="G859" s="411" t="s">
        <v>3130</v>
      </c>
      <c r="H859">
        <v>2016</v>
      </c>
      <c r="I859">
        <v>12.8</v>
      </c>
      <c r="K859" t="s">
        <v>3131</v>
      </c>
      <c r="L859" t="s">
        <v>3134</v>
      </c>
      <c r="O859" s="412">
        <f t="shared" si="79"/>
        <v>0.128</v>
      </c>
      <c r="Q859" s="422">
        <f>(I859/I860)^(1/(H859-H860))</f>
        <v>1.046458378616733</v>
      </c>
      <c r="T859">
        <v>1</v>
      </c>
      <c r="U859" t="s">
        <v>2878</v>
      </c>
      <c r="V859" t="s">
        <v>2879</v>
      </c>
    </row>
    <row r="860" spans="1:22" x14ac:dyDescent="0.25">
      <c r="A860" t="s">
        <v>2852</v>
      </c>
      <c r="B860" t="s">
        <v>3132</v>
      </c>
      <c r="E860" t="s">
        <v>3133</v>
      </c>
      <c r="F860" t="s">
        <v>3129</v>
      </c>
      <c r="G860" s="411" t="s">
        <v>3130</v>
      </c>
      <c r="H860">
        <v>2011</v>
      </c>
      <c r="I860">
        <v>10.199999999999999</v>
      </c>
      <c r="K860" t="s">
        <v>3131</v>
      </c>
      <c r="L860" t="s">
        <v>3134</v>
      </c>
      <c r="O860" s="412">
        <f t="shared" si="79"/>
        <v>0.10199999999999999</v>
      </c>
      <c r="T860">
        <v>1</v>
      </c>
      <c r="U860" t="s">
        <v>2878</v>
      </c>
      <c r="V860" t="s">
        <v>2879</v>
      </c>
    </row>
    <row r="861" spans="1:22" x14ac:dyDescent="0.25">
      <c r="A861" t="s">
        <v>2852</v>
      </c>
      <c r="B861" t="s">
        <v>3132</v>
      </c>
      <c r="C861" t="str">
        <f t="shared" si="78"/>
        <v>VC36ET07</v>
      </c>
      <c r="E861" t="s">
        <v>3133</v>
      </c>
      <c r="F861" t="s">
        <v>3129</v>
      </c>
      <c r="G861" s="411" t="s">
        <v>3130</v>
      </c>
      <c r="H861">
        <v>2016</v>
      </c>
      <c r="I861">
        <v>2.7</v>
      </c>
      <c r="K861" t="s">
        <v>3131</v>
      </c>
      <c r="L861" t="s">
        <v>3134</v>
      </c>
      <c r="O861" s="412">
        <f t="shared" si="79"/>
        <v>2.7000000000000003E-2</v>
      </c>
      <c r="Q861" s="422">
        <f>(I861/I862)^(1/(H861-H862))</f>
        <v>0.86118762733689047</v>
      </c>
      <c r="T861">
        <v>1</v>
      </c>
      <c r="U861" t="s">
        <v>2880</v>
      </c>
      <c r="V861" t="s">
        <v>2881</v>
      </c>
    </row>
    <row r="862" spans="1:22" x14ac:dyDescent="0.25">
      <c r="A862" t="s">
        <v>2852</v>
      </c>
      <c r="B862" t="s">
        <v>3132</v>
      </c>
      <c r="E862" t="s">
        <v>3133</v>
      </c>
      <c r="F862" t="s">
        <v>3129</v>
      </c>
      <c r="G862" s="411" t="s">
        <v>3130</v>
      </c>
      <c r="H862">
        <v>2011</v>
      </c>
      <c r="I862">
        <v>5.7</v>
      </c>
      <c r="K862" t="s">
        <v>3131</v>
      </c>
      <c r="L862" t="s">
        <v>3134</v>
      </c>
      <c r="O862" s="412">
        <f t="shared" si="79"/>
        <v>5.7000000000000002E-2</v>
      </c>
      <c r="T862">
        <v>1</v>
      </c>
      <c r="U862" t="s">
        <v>2880</v>
      </c>
      <c r="V862" t="s">
        <v>2881</v>
      </c>
    </row>
    <row r="863" spans="1:22" x14ac:dyDescent="0.25">
      <c r="A863" t="s">
        <v>2852</v>
      </c>
      <c r="B863" t="s">
        <v>3132</v>
      </c>
      <c r="C863" t="str">
        <f t="shared" si="78"/>
        <v>VC36ET12</v>
      </c>
      <c r="E863" t="s">
        <v>3133</v>
      </c>
      <c r="F863" t="s">
        <v>3129</v>
      </c>
      <c r="G863" s="411" t="s">
        <v>3130</v>
      </c>
      <c r="H863">
        <v>2016</v>
      </c>
      <c r="I863">
        <v>10.8</v>
      </c>
      <c r="K863" t="s">
        <v>3131</v>
      </c>
      <c r="L863" t="s">
        <v>3134</v>
      </c>
      <c r="O863" s="412">
        <f t="shared" si="79"/>
        <v>0.10800000000000001</v>
      </c>
      <c r="Q863" s="422">
        <f>(I863/I864)^(1/(H863-H864))</f>
        <v>0.88405391544249468</v>
      </c>
      <c r="T863">
        <v>1</v>
      </c>
      <c r="U863" t="s">
        <v>2882</v>
      </c>
      <c r="V863" t="s">
        <v>2883</v>
      </c>
    </row>
    <row r="864" spans="1:22" x14ac:dyDescent="0.25">
      <c r="A864" t="s">
        <v>2852</v>
      </c>
      <c r="B864" t="s">
        <v>3132</v>
      </c>
      <c r="E864" t="s">
        <v>3133</v>
      </c>
      <c r="F864" t="s">
        <v>3129</v>
      </c>
      <c r="G864" s="411" t="s">
        <v>3130</v>
      </c>
      <c r="H864">
        <v>2011</v>
      </c>
      <c r="I864">
        <v>20</v>
      </c>
      <c r="K864" t="s">
        <v>3131</v>
      </c>
      <c r="L864" t="s">
        <v>3134</v>
      </c>
      <c r="O864" s="412">
        <f t="shared" si="79"/>
        <v>0.2</v>
      </c>
      <c r="T864">
        <v>1</v>
      </c>
      <c r="U864" t="s">
        <v>2882</v>
      </c>
      <c r="V864" t="s">
        <v>2883</v>
      </c>
    </row>
    <row r="865" spans="1:22" x14ac:dyDescent="0.25">
      <c r="A865" t="s">
        <v>2852</v>
      </c>
      <c r="B865" t="s">
        <v>3132</v>
      </c>
      <c r="C865" t="str">
        <f t="shared" si="78"/>
        <v>VC36ET13</v>
      </c>
      <c r="E865" t="s">
        <v>3133</v>
      </c>
      <c r="F865" t="s">
        <v>3129</v>
      </c>
      <c r="G865" s="411" t="s">
        <v>3130</v>
      </c>
      <c r="H865">
        <v>2016</v>
      </c>
      <c r="I865">
        <v>15.5</v>
      </c>
      <c r="K865" t="s">
        <v>3131</v>
      </c>
      <c r="L865" t="s">
        <v>3134</v>
      </c>
      <c r="O865" s="412">
        <f t="shared" si="79"/>
        <v>0.155</v>
      </c>
      <c r="Q865" s="422">
        <f>(I865/I866)^(1/(H865-H866))</f>
        <v>0.88531407257085371</v>
      </c>
      <c r="T865">
        <v>1</v>
      </c>
      <c r="U865" t="s">
        <v>2884</v>
      </c>
      <c r="V865" t="s">
        <v>2885</v>
      </c>
    </row>
    <row r="866" spans="1:22" x14ac:dyDescent="0.25">
      <c r="A866" t="s">
        <v>2852</v>
      </c>
      <c r="B866" t="s">
        <v>3132</v>
      </c>
      <c r="E866" t="s">
        <v>3133</v>
      </c>
      <c r="F866" t="s">
        <v>3129</v>
      </c>
      <c r="G866" s="411" t="s">
        <v>3130</v>
      </c>
      <c r="H866">
        <v>2011</v>
      </c>
      <c r="I866">
        <v>28.5</v>
      </c>
      <c r="K866" t="s">
        <v>3131</v>
      </c>
      <c r="L866" t="s">
        <v>3134</v>
      </c>
      <c r="O866" s="412">
        <f t="shared" si="79"/>
        <v>0.28499999999999998</v>
      </c>
      <c r="T866">
        <v>1</v>
      </c>
      <c r="U866" t="s">
        <v>2884</v>
      </c>
      <c r="V866" t="s">
        <v>2885</v>
      </c>
    </row>
    <row r="867" spans="1:22" x14ac:dyDescent="0.25">
      <c r="A867" t="s">
        <v>2852</v>
      </c>
      <c r="B867" t="s">
        <v>3132</v>
      </c>
      <c r="C867" t="str">
        <f t="shared" si="78"/>
        <v>VC36ET14</v>
      </c>
      <c r="E867" t="s">
        <v>3133</v>
      </c>
      <c r="F867" t="s">
        <v>3129</v>
      </c>
      <c r="G867" s="411" t="s">
        <v>3130</v>
      </c>
      <c r="H867">
        <v>2016</v>
      </c>
      <c r="I867">
        <v>6.3</v>
      </c>
      <c r="K867" t="s">
        <v>3131</v>
      </c>
      <c r="L867" t="s">
        <v>3134</v>
      </c>
      <c r="O867" s="412">
        <f t="shared" si="79"/>
        <v>6.3E-2</v>
      </c>
      <c r="Q867" s="422">
        <f>(I867/I868)^(1/(H867-H868))</f>
        <v>0.95097939279558963</v>
      </c>
      <c r="T867">
        <v>1</v>
      </c>
      <c r="U867" t="s">
        <v>2886</v>
      </c>
      <c r="V867" t="s">
        <v>814</v>
      </c>
    </row>
    <row r="868" spans="1:22" x14ac:dyDescent="0.25">
      <c r="A868" t="s">
        <v>2852</v>
      </c>
      <c r="B868" t="s">
        <v>3132</v>
      </c>
      <c r="E868" t="s">
        <v>3133</v>
      </c>
      <c r="F868" t="s">
        <v>3129</v>
      </c>
      <c r="G868" s="411" t="s">
        <v>3130</v>
      </c>
      <c r="H868">
        <v>2011</v>
      </c>
      <c r="I868">
        <v>8.1</v>
      </c>
      <c r="K868" t="s">
        <v>3131</v>
      </c>
      <c r="L868" t="s">
        <v>3134</v>
      </c>
      <c r="O868" s="412">
        <f t="shared" si="79"/>
        <v>8.1000000000000003E-2</v>
      </c>
      <c r="T868">
        <v>1</v>
      </c>
      <c r="U868" t="s">
        <v>2886</v>
      </c>
      <c r="V868" t="s">
        <v>814</v>
      </c>
    </row>
    <row r="869" spans="1:22" x14ac:dyDescent="0.25">
      <c r="A869" t="s">
        <v>2852</v>
      </c>
      <c r="B869" t="s">
        <v>3132</v>
      </c>
      <c r="C869" t="str">
        <f t="shared" si="78"/>
        <v>VC36ET15</v>
      </c>
      <c r="E869" t="s">
        <v>3133</v>
      </c>
      <c r="F869" t="s">
        <v>3129</v>
      </c>
      <c r="G869" s="411" t="s">
        <v>3130</v>
      </c>
      <c r="H869">
        <v>2016</v>
      </c>
      <c r="I869">
        <v>15.2</v>
      </c>
      <c r="K869" t="s">
        <v>3131</v>
      </c>
      <c r="L869" t="s">
        <v>3134</v>
      </c>
      <c r="O869" s="412">
        <f t="shared" si="79"/>
        <v>0.152</v>
      </c>
      <c r="Q869" s="422">
        <f>(I869/I870)^(1/(H869-H870))</f>
        <v>0.90169711782321127</v>
      </c>
      <c r="T869">
        <v>1</v>
      </c>
      <c r="U869" t="s">
        <v>2887</v>
      </c>
      <c r="V869" t="s">
        <v>2888</v>
      </c>
    </row>
    <row r="870" spans="1:22" x14ac:dyDescent="0.25">
      <c r="A870" t="s">
        <v>2852</v>
      </c>
      <c r="B870" t="s">
        <v>3132</v>
      </c>
      <c r="E870" t="s">
        <v>3133</v>
      </c>
      <c r="F870" t="s">
        <v>3129</v>
      </c>
      <c r="G870" s="411" t="s">
        <v>3130</v>
      </c>
      <c r="H870">
        <v>2011</v>
      </c>
      <c r="I870">
        <v>25.5</v>
      </c>
      <c r="K870" t="s">
        <v>3131</v>
      </c>
      <c r="L870" t="s">
        <v>3134</v>
      </c>
      <c r="O870" s="412">
        <f t="shared" si="79"/>
        <v>0.255</v>
      </c>
      <c r="T870">
        <v>1</v>
      </c>
      <c r="U870" t="s">
        <v>2887</v>
      </c>
      <c r="V870" t="s">
        <v>2888</v>
      </c>
    </row>
    <row r="871" spans="1:22" s="418" customFormat="1" x14ac:dyDescent="0.25">
      <c r="A871" s="418" t="s">
        <v>3135</v>
      </c>
      <c r="B871" s="418" t="s">
        <v>3136</v>
      </c>
      <c r="C871" s="418" t="str">
        <f t="shared" si="78"/>
        <v>VC37aET</v>
      </c>
      <c r="D871" s="418" t="s">
        <v>2718</v>
      </c>
      <c r="F871" s="418" t="s">
        <v>3129</v>
      </c>
      <c r="G871" s="419"/>
      <c r="H871" s="418" t="s">
        <v>3137</v>
      </c>
      <c r="I871" s="418">
        <v>8.6999999999999993</v>
      </c>
      <c r="K871" s="418" t="s">
        <v>475</v>
      </c>
      <c r="L871" s="418" t="s">
        <v>2911</v>
      </c>
      <c r="O871" s="418">
        <f>(I871/100)*(1-I883/100)</f>
        <v>8.2649999999999987E-2</v>
      </c>
      <c r="Q871" s="426"/>
      <c r="T871" s="418">
        <v>0</v>
      </c>
      <c r="U871" s="418" t="s">
        <v>2851</v>
      </c>
      <c r="V871" s="418" t="s">
        <v>594</v>
      </c>
    </row>
    <row r="872" spans="1:22" x14ac:dyDescent="0.25">
      <c r="A872" t="s">
        <v>3138</v>
      </c>
      <c r="F872" t="s">
        <v>3129</v>
      </c>
      <c r="H872">
        <v>2018</v>
      </c>
      <c r="I872">
        <v>4.9000000000000004</v>
      </c>
      <c r="L872" t="s">
        <v>1863</v>
      </c>
      <c r="Q872" s="425"/>
      <c r="T872">
        <v>3</v>
      </c>
      <c r="U872" t="s">
        <v>3139</v>
      </c>
      <c r="V872" t="s">
        <v>3140</v>
      </c>
    </row>
    <row r="873" spans="1:22" x14ac:dyDescent="0.25">
      <c r="A873" t="s">
        <v>3138</v>
      </c>
      <c r="F873" t="s">
        <v>3129</v>
      </c>
      <c r="H873">
        <v>2018</v>
      </c>
      <c r="I873">
        <v>3.51</v>
      </c>
      <c r="L873" t="s">
        <v>1863</v>
      </c>
      <c r="Q873" s="425"/>
      <c r="U873" t="s">
        <v>3141</v>
      </c>
      <c r="V873" t="s">
        <v>3142</v>
      </c>
    </row>
    <row r="874" spans="1:22" x14ac:dyDescent="0.25">
      <c r="A874" t="s">
        <v>3138</v>
      </c>
      <c r="F874" t="s">
        <v>3129</v>
      </c>
      <c r="H874">
        <v>2018</v>
      </c>
      <c r="I874">
        <v>6.24</v>
      </c>
      <c r="L874" t="s">
        <v>1863</v>
      </c>
      <c r="Q874" s="425"/>
      <c r="U874" t="s">
        <v>3143</v>
      </c>
      <c r="V874" t="s">
        <v>3144</v>
      </c>
    </row>
    <row r="875" spans="1:22" x14ac:dyDescent="0.25">
      <c r="A875" t="s">
        <v>3145</v>
      </c>
      <c r="F875" t="s">
        <v>3129</v>
      </c>
      <c r="G875" s="411" t="s">
        <v>3146</v>
      </c>
      <c r="H875">
        <v>2009</v>
      </c>
      <c r="I875">
        <v>1.5</v>
      </c>
      <c r="J875" t="s">
        <v>3147</v>
      </c>
      <c r="L875" t="s">
        <v>1863</v>
      </c>
      <c r="Q875" s="425"/>
      <c r="T875">
        <v>0</v>
      </c>
      <c r="U875" t="s">
        <v>2851</v>
      </c>
      <c r="V875" t="s">
        <v>594</v>
      </c>
    </row>
    <row r="876" spans="1:22" x14ac:dyDescent="0.25">
      <c r="A876" t="s">
        <v>3145</v>
      </c>
      <c r="F876" t="s">
        <v>3129</v>
      </c>
      <c r="G876" s="411" t="s">
        <v>3146</v>
      </c>
      <c r="H876">
        <v>2009</v>
      </c>
      <c r="I876">
        <v>3.2</v>
      </c>
      <c r="J876" t="s">
        <v>3148</v>
      </c>
      <c r="L876" t="s">
        <v>1863</v>
      </c>
      <c r="Q876" s="425"/>
      <c r="T876">
        <v>0.5</v>
      </c>
      <c r="U876" t="s">
        <v>2869</v>
      </c>
      <c r="V876" t="s">
        <v>336</v>
      </c>
    </row>
    <row r="877" spans="1:22" x14ac:dyDescent="0.25">
      <c r="A877" t="s">
        <v>3145</v>
      </c>
      <c r="F877" t="s">
        <v>3129</v>
      </c>
      <c r="G877" s="411" t="s">
        <v>3146</v>
      </c>
      <c r="H877">
        <v>2009</v>
      </c>
      <c r="I877">
        <v>0.9</v>
      </c>
      <c r="J877" t="s">
        <v>3149</v>
      </c>
      <c r="L877" t="s">
        <v>1863</v>
      </c>
      <c r="Q877" s="425"/>
      <c r="T877">
        <v>0.5</v>
      </c>
      <c r="U877" t="s">
        <v>2868</v>
      </c>
      <c r="V877" t="s">
        <v>84</v>
      </c>
    </row>
    <row r="878" spans="1:22" x14ac:dyDescent="0.25">
      <c r="A878" t="s">
        <v>3145</v>
      </c>
      <c r="F878" t="s">
        <v>3129</v>
      </c>
      <c r="G878" s="411" t="s">
        <v>3121</v>
      </c>
      <c r="H878">
        <v>2009</v>
      </c>
      <c r="I878">
        <v>0.7</v>
      </c>
      <c r="L878" t="s">
        <v>1863</v>
      </c>
      <c r="Q878" s="427">
        <v>1</v>
      </c>
      <c r="R878" t="s">
        <v>3122</v>
      </c>
    </row>
    <row r="879" spans="1:22" x14ac:dyDescent="0.25">
      <c r="A879" t="s">
        <v>3145</v>
      </c>
      <c r="F879" t="s">
        <v>3129</v>
      </c>
      <c r="G879" s="411" t="s">
        <v>3123</v>
      </c>
      <c r="H879">
        <v>2009</v>
      </c>
      <c r="I879">
        <v>0.3</v>
      </c>
      <c r="L879" t="s">
        <v>1863</v>
      </c>
      <c r="Q879" s="427">
        <v>1</v>
      </c>
      <c r="R879" t="s">
        <v>3122</v>
      </c>
    </row>
    <row r="880" spans="1:22" x14ac:dyDescent="0.25">
      <c r="A880" t="s">
        <v>3145</v>
      </c>
      <c r="F880" t="s">
        <v>3129</v>
      </c>
      <c r="G880" s="411" t="s">
        <v>3124</v>
      </c>
      <c r="H880">
        <v>2009</v>
      </c>
      <c r="I880">
        <v>1.9</v>
      </c>
      <c r="L880" t="s">
        <v>1863</v>
      </c>
      <c r="Q880" s="427">
        <v>1</v>
      </c>
      <c r="R880" t="s">
        <v>3122</v>
      </c>
    </row>
    <row r="881" spans="1:22" x14ac:dyDescent="0.25">
      <c r="A881" t="s">
        <v>3145</v>
      </c>
      <c r="F881" t="s">
        <v>3129</v>
      </c>
      <c r="G881" s="411" t="s">
        <v>3125</v>
      </c>
      <c r="H881">
        <v>2009</v>
      </c>
      <c r="I881">
        <v>1.6</v>
      </c>
      <c r="L881" t="s">
        <v>1863</v>
      </c>
      <c r="Q881" s="427">
        <v>1</v>
      </c>
      <c r="R881" t="s">
        <v>3122</v>
      </c>
    </row>
    <row r="882" spans="1:22" x14ac:dyDescent="0.25">
      <c r="A882" t="s">
        <v>3145</v>
      </c>
      <c r="F882" t="s">
        <v>3129</v>
      </c>
      <c r="G882" s="411" t="s">
        <v>3126</v>
      </c>
      <c r="H882">
        <v>2009</v>
      </c>
      <c r="I882">
        <v>2.6</v>
      </c>
      <c r="L882" t="s">
        <v>1863</v>
      </c>
      <c r="Q882" s="427">
        <v>1</v>
      </c>
      <c r="R882" t="s">
        <v>3122</v>
      </c>
    </row>
    <row r="883" spans="1:22" x14ac:dyDescent="0.25">
      <c r="A883" t="s">
        <v>3150</v>
      </c>
      <c r="B883" t="s">
        <v>3151</v>
      </c>
      <c r="C883" t="str">
        <f t="shared" ref="C883:C884" si="80">_xlfn.CONCAT(B883,U883)</f>
        <v>VC37bET</v>
      </c>
      <c r="D883" t="s">
        <v>2719</v>
      </c>
      <c r="E883" t="s">
        <v>3152</v>
      </c>
      <c r="F883" t="s">
        <v>3129</v>
      </c>
      <c r="H883">
        <v>2015</v>
      </c>
      <c r="I883">
        <v>5</v>
      </c>
      <c r="K883" t="s">
        <v>3153</v>
      </c>
      <c r="L883" t="s">
        <v>1863</v>
      </c>
      <c r="O883">
        <f>(I871/100)*(I883/100)</f>
        <v>4.3499999999999997E-3</v>
      </c>
      <c r="Q883" s="422"/>
      <c r="T883">
        <v>0</v>
      </c>
      <c r="U883" t="s">
        <v>2851</v>
      </c>
      <c r="V883" t="s">
        <v>594</v>
      </c>
    </row>
    <row r="884" spans="1:22" s="418" customFormat="1" x14ac:dyDescent="0.25">
      <c r="A884" s="418" t="s">
        <v>3154</v>
      </c>
      <c r="B884" s="418" t="s">
        <v>3155</v>
      </c>
      <c r="C884" s="418" t="str">
        <f t="shared" si="80"/>
        <v>VC33ET</v>
      </c>
      <c r="D884" s="418" t="s">
        <v>2709</v>
      </c>
      <c r="E884" s="418" t="s">
        <v>3156</v>
      </c>
      <c r="F884" s="418" t="s">
        <v>2388</v>
      </c>
      <c r="G884" s="419" t="s">
        <v>212</v>
      </c>
      <c r="H884" s="418">
        <v>2020</v>
      </c>
      <c r="I884" s="428">
        <v>45.1</v>
      </c>
      <c r="J884" s="429" t="s">
        <v>3157</v>
      </c>
      <c r="K884" s="418" t="s">
        <v>3158</v>
      </c>
      <c r="L884" s="418" t="s">
        <v>2955</v>
      </c>
      <c r="O884" s="430">
        <f>I884/100000</f>
        <v>4.5100000000000001E-4</v>
      </c>
      <c r="Q884" s="421"/>
      <c r="T884" s="418">
        <v>0</v>
      </c>
      <c r="U884" s="418" t="s">
        <v>2851</v>
      </c>
      <c r="V884" s="418" t="s">
        <v>594</v>
      </c>
    </row>
    <row r="885" spans="1:22" x14ac:dyDescent="0.25">
      <c r="A885" t="s">
        <v>3154</v>
      </c>
      <c r="E885" t="s">
        <v>3159</v>
      </c>
      <c r="F885" t="s">
        <v>2388</v>
      </c>
      <c r="G885" s="411" t="s">
        <v>3160</v>
      </c>
      <c r="H885">
        <v>2020</v>
      </c>
      <c r="I885" s="413">
        <v>32.9</v>
      </c>
      <c r="J885" s="181" t="s">
        <v>3161</v>
      </c>
      <c r="K885" t="s">
        <v>3158</v>
      </c>
      <c r="L885" t="s">
        <v>2955</v>
      </c>
      <c r="Q885" s="422"/>
    </row>
    <row r="886" spans="1:22" x14ac:dyDescent="0.25">
      <c r="A886" t="s">
        <v>3154</v>
      </c>
      <c r="E886" t="s">
        <v>3159</v>
      </c>
      <c r="F886" t="s">
        <v>2388</v>
      </c>
      <c r="G886" s="411" t="s">
        <v>3162</v>
      </c>
      <c r="H886">
        <v>2020</v>
      </c>
      <c r="I886" s="413">
        <v>7.2</v>
      </c>
      <c r="J886" s="181"/>
      <c r="K886" t="s">
        <v>3158</v>
      </c>
      <c r="L886" t="s">
        <v>2955</v>
      </c>
      <c r="Q886" s="422">
        <v>1</v>
      </c>
    </row>
    <row r="887" spans="1:22" x14ac:dyDescent="0.25">
      <c r="A887" t="s">
        <v>3154</v>
      </c>
      <c r="E887" t="s">
        <v>3159</v>
      </c>
      <c r="F887" t="s">
        <v>2388</v>
      </c>
      <c r="G887" s="411" t="s">
        <v>3163</v>
      </c>
      <c r="H887">
        <v>2020</v>
      </c>
      <c r="I887" s="413">
        <v>10</v>
      </c>
      <c r="J887" s="181"/>
      <c r="K887" t="s">
        <v>3158</v>
      </c>
      <c r="L887" t="s">
        <v>2955</v>
      </c>
      <c r="Q887" s="422">
        <v>1</v>
      </c>
    </row>
    <row r="888" spans="1:22" x14ac:dyDescent="0.25">
      <c r="A888" t="s">
        <v>3154</v>
      </c>
      <c r="E888" t="s">
        <v>3159</v>
      </c>
      <c r="F888" t="s">
        <v>2388</v>
      </c>
      <c r="G888" s="411" t="s">
        <v>3164</v>
      </c>
      <c r="H888">
        <v>2020</v>
      </c>
      <c r="I888" s="413">
        <v>12.1</v>
      </c>
      <c r="J888" s="181"/>
      <c r="K888" t="s">
        <v>3158</v>
      </c>
      <c r="L888" t="s">
        <v>2955</v>
      </c>
      <c r="Q888" s="422">
        <v>1</v>
      </c>
    </row>
    <row r="889" spans="1:22" x14ac:dyDescent="0.25">
      <c r="A889" t="s">
        <v>3154</v>
      </c>
      <c r="E889" t="s">
        <v>3159</v>
      </c>
      <c r="F889" t="s">
        <v>2388</v>
      </c>
      <c r="G889" s="411" t="s">
        <v>3165</v>
      </c>
      <c r="H889">
        <v>2020</v>
      </c>
      <c r="I889" s="413">
        <v>15.1</v>
      </c>
      <c r="J889" s="181"/>
      <c r="K889" t="s">
        <v>3158</v>
      </c>
      <c r="L889" t="s">
        <v>2955</v>
      </c>
      <c r="Q889" s="422">
        <v>1</v>
      </c>
    </row>
    <row r="890" spans="1:22" x14ac:dyDescent="0.25">
      <c r="A890" t="s">
        <v>3154</v>
      </c>
      <c r="E890" t="s">
        <v>3159</v>
      </c>
      <c r="F890" t="s">
        <v>2388</v>
      </c>
      <c r="G890" s="411" t="s">
        <v>3166</v>
      </c>
      <c r="H890">
        <v>2020</v>
      </c>
      <c r="I890" s="413">
        <v>21.7</v>
      </c>
      <c r="J890" s="181"/>
      <c r="K890" t="s">
        <v>3158</v>
      </c>
      <c r="L890" t="s">
        <v>2955</v>
      </c>
      <c r="Q890" s="422">
        <v>1</v>
      </c>
    </row>
    <row r="891" spans="1:22" x14ac:dyDescent="0.25">
      <c r="A891" t="s">
        <v>3154</v>
      </c>
      <c r="E891" t="s">
        <v>3159</v>
      </c>
      <c r="F891" t="s">
        <v>2388</v>
      </c>
      <c r="G891" s="411" t="s">
        <v>3167</v>
      </c>
      <c r="H891">
        <v>2020</v>
      </c>
      <c r="I891" s="413">
        <v>32.9</v>
      </c>
      <c r="J891" s="181"/>
      <c r="K891" t="s">
        <v>3158</v>
      </c>
      <c r="L891" t="s">
        <v>2955</v>
      </c>
      <c r="Q891" s="422">
        <v>1</v>
      </c>
    </row>
    <row r="892" spans="1:22" x14ac:dyDescent="0.25">
      <c r="A892" t="s">
        <v>3154</v>
      </c>
      <c r="E892" t="s">
        <v>3159</v>
      </c>
      <c r="F892" t="s">
        <v>2388</v>
      </c>
      <c r="G892" s="411" t="s">
        <v>3168</v>
      </c>
      <c r="H892">
        <v>2020</v>
      </c>
      <c r="I892" s="413">
        <v>54.3</v>
      </c>
      <c r="J892" s="181"/>
      <c r="K892" t="s">
        <v>3158</v>
      </c>
      <c r="L892" t="s">
        <v>2955</v>
      </c>
      <c r="Q892" s="422">
        <v>1</v>
      </c>
    </row>
    <row r="893" spans="1:22" x14ac:dyDescent="0.25">
      <c r="A893" t="s">
        <v>3154</v>
      </c>
      <c r="E893" t="s">
        <v>3159</v>
      </c>
      <c r="F893" t="s">
        <v>2388</v>
      </c>
      <c r="G893" s="411" t="s">
        <v>3169</v>
      </c>
      <c r="H893">
        <v>2020</v>
      </c>
      <c r="I893" s="413">
        <v>89.7</v>
      </c>
      <c r="J893" s="181"/>
      <c r="K893" t="s">
        <v>3158</v>
      </c>
      <c r="L893" t="s">
        <v>2955</v>
      </c>
      <c r="Q893" s="422">
        <v>1</v>
      </c>
    </row>
    <row r="894" spans="1:22" x14ac:dyDescent="0.25">
      <c r="A894" t="s">
        <v>3154</v>
      </c>
      <c r="E894" t="s">
        <v>3159</v>
      </c>
      <c r="F894" t="s">
        <v>2388</v>
      </c>
      <c r="G894" s="411" t="s">
        <v>3170</v>
      </c>
      <c r="H894">
        <v>2020</v>
      </c>
      <c r="I894" s="413">
        <v>142.19999999999999</v>
      </c>
      <c r="J894" s="181"/>
      <c r="K894" t="s">
        <v>3158</v>
      </c>
      <c r="L894" t="s">
        <v>2955</v>
      </c>
      <c r="Q894" s="422">
        <v>1</v>
      </c>
    </row>
    <row r="895" spans="1:22" x14ac:dyDescent="0.25">
      <c r="A895" t="s">
        <v>3154</v>
      </c>
      <c r="E895" t="s">
        <v>3159</v>
      </c>
      <c r="F895" t="s">
        <v>2388</v>
      </c>
      <c r="G895" s="411" t="s">
        <v>3171</v>
      </c>
      <c r="H895">
        <v>2020</v>
      </c>
      <c r="I895" s="413">
        <v>210.8</v>
      </c>
      <c r="J895" s="181"/>
      <c r="K895" t="s">
        <v>3158</v>
      </c>
      <c r="L895" t="s">
        <v>2955</v>
      </c>
      <c r="Q895" s="422">
        <v>1</v>
      </c>
    </row>
    <row r="896" spans="1:22" x14ac:dyDescent="0.25">
      <c r="A896" t="s">
        <v>3154</v>
      </c>
      <c r="E896" t="s">
        <v>3159</v>
      </c>
      <c r="F896" t="s">
        <v>2388</v>
      </c>
      <c r="G896" s="411" t="s">
        <v>3172</v>
      </c>
      <c r="H896">
        <v>2020</v>
      </c>
      <c r="I896" s="413">
        <v>293.60000000000002</v>
      </c>
      <c r="J896" s="181"/>
      <c r="K896" t="s">
        <v>3158</v>
      </c>
      <c r="L896" t="s">
        <v>2955</v>
      </c>
      <c r="Q896" s="422">
        <v>1</v>
      </c>
    </row>
    <row r="897" spans="1:22" x14ac:dyDescent="0.25">
      <c r="A897" t="s">
        <v>3154</v>
      </c>
      <c r="E897" t="s">
        <v>3159</v>
      </c>
      <c r="F897" t="s">
        <v>2388</v>
      </c>
      <c r="G897" s="411" t="s">
        <v>3173</v>
      </c>
      <c r="H897">
        <v>2020</v>
      </c>
      <c r="I897" s="413">
        <v>458.1</v>
      </c>
      <c r="J897" s="181"/>
      <c r="K897" t="s">
        <v>3158</v>
      </c>
      <c r="L897" t="s">
        <v>2955</v>
      </c>
      <c r="Q897" s="422">
        <v>1</v>
      </c>
    </row>
    <row r="898" spans="1:22" x14ac:dyDescent="0.25">
      <c r="A898" t="s">
        <v>3154</v>
      </c>
      <c r="E898" t="s">
        <v>3174</v>
      </c>
      <c r="F898" t="s">
        <v>2388</v>
      </c>
      <c r="G898" s="411" t="s">
        <v>3175</v>
      </c>
      <c r="H898">
        <v>2020</v>
      </c>
      <c r="I898" s="413">
        <v>57.4</v>
      </c>
      <c r="J898" s="181" t="s">
        <v>3176</v>
      </c>
      <c r="K898" t="s">
        <v>3158</v>
      </c>
      <c r="L898" t="s">
        <v>2955</v>
      </c>
      <c r="Q898" s="422"/>
    </row>
    <row r="899" spans="1:22" x14ac:dyDescent="0.25">
      <c r="A899" t="s">
        <v>3154</v>
      </c>
      <c r="E899" t="s">
        <v>3174</v>
      </c>
      <c r="F899" t="s">
        <v>2388</v>
      </c>
      <c r="G899" s="411" t="s">
        <v>3177</v>
      </c>
      <c r="H899">
        <v>2020</v>
      </c>
      <c r="I899" s="413">
        <v>5.6</v>
      </c>
      <c r="J899" s="181"/>
      <c r="K899" t="s">
        <v>3158</v>
      </c>
      <c r="L899" t="s">
        <v>2955</v>
      </c>
      <c r="Q899" s="422">
        <v>1</v>
      </c>
    </row>
    <row r="900" spans="1:22" x14ac:dyDescent="0.25">
      <c r="A900" t="s">
        <v>3154</v>
      </c>
      <c r="E900" t="s">
        <v>3174</v>
      </c>
      <c r="F900" t="s">
        <v>2388</v>
      </c>
      <c r="G900" s="411" t="s">
        <v>3178</v>
      </c>
      <c r="H900">
        <v>2020</v>
      </c>
      <c r="I900" s="413">
        <v>11.3</v>
      </c>
      <c r="J900" s="181"/>
      <c r="K900" t="s">
        <v>3158</v>
      </c>
      <c r="L900" t="s">
        <v>2955</v>
      </c>
      <c r="Q900" s="422">
        <v>1</v>
      </c>
    </row>
    <row r="901" spans="1:22" x14ac:dyDescent="0.25">
      <c r="A901" t="s">
        <v>3154</v>
      </c>
      <c r="E901" t="s">
        <v>3174</v>
      </c>
      <c r="F901" t="s">
        <v>2388</v>
      </c>
      <c r="G901" s="411" t="s">
        <v>3179</v>
      </c>
      <c r="H901">
        <v>2020</v>
      </c>
      <c r="I901" s="413">
        <v>23.7</v>
      </c>
      <c r="J901" s="181"/>
      <c r="K901" t="s">
        <v>3158</v>
      </c>
      <c r="L901" t="s">
        <v>2955</v>
      </c>
      <c r="Q901" s="422">
        <v>1</v>
      </c>
    </row>
    <row r="902" spans="1:22" x14ac:dyDescent="0.25">
      <c r="A902" t="s">
        <v>3154</v>
      </c>
      <c r="E902" t="s">
        <v>3174</v>
      </c>
      <c r="F902" t="s">
        <v>2388</v>
      </c>
      <c r="G902" s="411" t="s">
        <v>3180</v>
      </c>
      <c r="H902">
        <v>2020</v>
      </c>
      <c r="I902" s="413">
        <v>38.700000000000003</v>
      </c>
      <c r="J902" s="181"/>
      <c r="K902" t="s">
        <v>3158</v>
      </c>
      <c r="L902" t="s">
        <v>2955</v>
      </c>
      <c r="Q902" s="422">
        <v>1</v>
      </c>
    </row>
    <row r="903" spans="1:22" x14ac:dyDescent="0.25">
      <c r="A903" t="s">
        <v>3154</v>
      </c>
      <c r="E903" t="s">
        <v>3174</v>
      </c>
      <c r="F903" t="s">
        <v>2388</v>
      </c>
      <c r="G903" s="411" t="s">
        <v>3181</v>
      </c>
      <c r="H903">
        <v>2020</v>
      </c>
      <c r="I903" s="413">
        <v>64.7</v>
      </c>
      <c r="J903" s="181"/>
      <c r="K903" t="s">
        <v>3158</v>
      </c>
      <c r="L903" t="s">
        <v>2955</v>
      </c>
      <c r="Q903" s="422">
        <v>1</v>
      </c>
    </row>
    <row r="904" spans="1:22" x14ac:dyDescent="0.25">
      <c r="A904" t="s">
        <v>3154</v>
      </c>
      <c r="E904" t="s">
        <v>3174</v>
      </c>
      <c r="F904" t="s">
        <v>2388</v>
      </c>
      <c r="G904" s="411" t="s">
        <v>3182</v>
      </c>
      <c r="H904">
        <v>2020</v>
      </c>
      <c r="I904" s="413">
        <v>102.9</v>
      </c>
      <c r="J904" s="181"/>
      <c r="K904" t="s">
        <v>3158</v>
      </c>
      <c r="L904" t="s">
        <v>2955</v>
      </c>
      <c r="Q904" s="422">
        <v>1</v>
      </c>
    </row>
    <row r="905" spans="1:22" x14ac:dyDescent="0.25">
      <c r="A905" t="s">
        <v>3154</v>
      </c>
      <c r="E905" t="s">
        <v>3174</v>
      </c>
      <c r="F905" t="s">
        <v>2388</v>
      </c>
      <c r="G905" s="411" t="s">
        <v>3183</v>
      </c>
      <c r="H905">
        <v>2020</v>
      </c>
      <c r="I905" s="413">
        <v>160</v>
      </c>
      <c r="J905" s="181"/>
      <c r="K905" t="s">
        <v>3158</v>
      </c>
      <c r="L905" t="s">
        <v>2955</v>
      </c>
      <c r="Q905" s="422">
        <v>1</v>
      </c>
    </row>
    <row r="906" spans="1:22" x14ac:dyDescent="0.25">
      <c r="A906" t="s">
        <v>3154</v>
      </c>
      <c r="E906" t="s">
        <v>3174</v>
      </c>
      <c r="F906" t="s">
        <v>2388</v>
      </c>
      <c r="G906" s="411" t="s">
        <v>3184</v>
      </c>
      <c r="H906">
        <v>2020</v>
      </c>
      <c r="I906" s="413">
        <v>227.3</v>
      </c>
      <c r="J906" s="181"/>
      <c r="K906" t="s">
        <v>3158</v>
      </c>
      <c r="L906" t="s">
        <v>2955</v>
      </c>
      <c r="Q906" s="422">
        <v>1</v>
      </c>
    </row>
    <row r="907" spans="1:22" x14ac:dyDescent="0.25">
      <c r="A907" t="s">
        <v>3154</v>
      </c>
      <c r="E907" t="s">
        <v>3174</v>
      </c>
      <c r="F907" t="s">
        <v>2388</v>
      </c>
      <c r="G907" s="411" t="s">
        <v>3185</v>
      </c>
      <c r="H907">
        <v>2020</v>
      </c>
      <c r="I907" s="413">
        <v>290</v>
      </c>
      <c r="J907" s="181"/>
      <c r="K907" t="s">
        <v>3158</v>
      </c>
      <c r="L907" t="s">
        <v>2955</v>
      </c>
      <c r="Q907" s="422">
        <v>1</v>
      </c>
    </row>
    <row r="908" spans="1:22" x14ac:dyDescent="0.25">
      <c r="A908" t="s">
        <v>3154</v>
      </c>
      <c r="E908" t="s">
        <v>3174</v>
      </c>
      <c r="F908" t="s">
        <v>2388</v>
      </c>
      <c r="G908" s="411" t="s">
        <v>3186</v>
      </c>
      <c r="H908">
        <v>2020</v>
      </c>
      <c r="I908" s="413">
        <v>342.6</v>
      </c>
      <c r="J908" s="181"/>
      <c r="K908" t="s">
        <v>3158</v>
      </c>
      <c r="L908" t="s">
        <v>2955</v>
      </c>
      <c r="Q908" s="422">
        <v>1</v>
      </c>
    </row>
    <row r="909" spans="1:22" x14ac:dyDescent="0.25">
      <c r="A909" t="s">
        <v>3154</v>
      </c>
      <c r="E909" t="s">
        <v>3174</v>
      </c>
      <c r="F909" t="s">
        <v>2388</v>
      </c>
      <c r="G909" s="411" t="s">
        <v>3187</v>
      </c>
      <c r="H909">
        <v>2020</v>
      </c>
      <c r="I909" s="413">
        <v>378.8</v>
      </c>
      <c r="J909" s="181"/>
      <c r="K909" t="s">
        <v>3158</v>
      </c>
      <c r="L909" t="s">
        <v>2955</v>
      </c>
      <c r="Q909" s="422">
        <v>1</v>
      </c>
    </row>
    <row r="910" spans="1:22" x14ac:dyDescent="0.25">
      <c r="A910" t="s">
        <v>3154</v>
      </c>
      <c r="E910" t="s">
        <v>3174</v>
      </c>
      <c r="F910" t="s">
        <v>2388</v>
      </c>
      <c r="G910" s="411" t="s">
        <v>3188</v>
      </c>
      <c r="H910">
        <v>2020</v>
      </c>
      <c r="I910" s="413">
        <v>416.6</v>
      </c>
      <c r="J910" s="181"/>
      <c r="K910" t="s">
        <v>3158</v>
      </c>
      <c r="L910" t="s">
        <v>2955</v>
      </c>
      <c r="Q910" s="422">
        <v>1</v>
      </c>
    </row>
    <row r="911" spans="1:22" x14ac:dyDescent="0.25">
      <c r="A911" t="s">
        <v>3189</v>
      </c>
      <c r="B911" t="s">
        <v>3190</v>
      </c>
      <c r="C911" t="str">
        <f t="shared" ref="C911" si="81">_xlfn.CONCAT(B911,U911)</f>
        <v>VC38ET</v>
      </c>
      <c r="D911" t="s">
        <v>2445</v>
      </c>
      <c r="F911" t="s">
        <v>232</v>
      </c>
      <c r="G911" s="411" t="s">
        <v>212</v>
      </c>
      <c r="H911" t="s">
        <v>2904</v>
      </c>
      <c r="I911">
        <v>21.58</v>
      </c>
      <c r="K911" t="s">
        <v>2849</v>
      </c>
      <c r="O911">
        <f>I911/100</f>
        <v>0.21579999999999999</v>
      </c>
      <c r="P911" t="s">
        <v>2911</v>
      </c>
      <c r="S911">
        <v>0.38</v>
      </c>
      <c r="T911">
        <v>0</v>
      </c>
      <c r="U911" t="s">
        <v>2851</v>
      </c>
      <c r="V911" t="s">
        <v>594</v>
      </c>
    </row>
    <row r="912" spans="1:22" x14ac:dyDescent="0.25">
      <c r="A912" t="s">
        <v>3191</v>
      </c>
      <c r="K912" t="s">
        <v>3192</v>
      </c>
    </row>
    <row r="913" spans="1:22" x14ac:dyDescent="0.25">
      <c r="A913" t="s">
        <v>3191</v>
      </c>
    </row>
    <row r="914" spans="1:22" x14ac:dyDescent="0.25">
      <c r="A914" t="s">
        <v>3191</v>
      </c>
    </row>
    <row r="915" spans="1:22" x14ac:dyDescent="0.25">
      <c r="A915" t="s">
        <v>3191</v>
      </c>
    </row>
    <row r="916" spans="1:22" x14ac:dyDescent="0.25">
      <c r="A916" t="s">
        <v>3191</v>
      </c>
    </row>
    <row r="917" spans="1:22" x14ac:dyDescent="0.25">
      <c r="A917" t="s">
        <v>3191</v>
      </c>
    </row>
    <row r="918" spans="1:22" x14ac:dyDescent="0.25">
      <c r="A918" t="s">
        <v>3191</v>
      </c>
    </row>
    <row r="919" spans="1:22" x14ac:dyDescent="0.25">
      <c r="A919" t="s">
        <v>3191</v>
      </c>
    </row>
    <row r="920" spans="1:22" x14ac:dyDescent="0.25">
      <c r="A920" t="s">
        <v>3193</v>
      </c>
      <c r="D920" t="s">
        <v>2725</v>
      </c>
      <c r="F920" t="s">
        <v>2397</v>
      </c>
      <c r="G920" s="411" t="s">
        <v>212</v>
      </c>
      <c r="H920">
        <v>2006</v>
      </c>
      <c r="I920">
        <v>360</v>
      </c>
      <c r="K920" t="s">
        <v>3194</v>
      </c>
      <c r="P920" t="s">
        <v>3195</v>
      </c>
      <c r="T920">
        <v>0</v>
      </c>
      <c r="U920" t="s">
        <v>2851</v>
      </c>
      <c r="V920" t="s">
        <v>594</v>
      </c>
    </row>
    <row r="921" spans="1:22" x14ac:dyDescent="0.25">
      <c r="A921" t="s">
        <v>3196</v>
      </c>
      <c r="B921" t="s">
        <v>3197</v>
      </c>
      <c r="C921" t="str">
        <f t="shared" ref="C921:C975" si="82">_xlfn.CONCAT(B921,U921)</f>
        <v>VC39ET</v>
      </c>
      <c r="D921" t="s">
        <v>2725</v>
      </c>
      <c r="F921" t="s">
        <v>2397</v>
      </c>
      <c r="G921" s="411" t="s">
        <v>212</v>
      </c>
      <c r="H921">
        <v>2020</v>
      </c>
      <c r="I921">
        <f>0.172*(890-180)+I920</f>
        <v>482.12</v>
      </c>
      <c r="K921" t="s">
        <v>3198</v>
      </c>
      <c r="O921" s="431">
        <f>I921/1000000</f>
        <v>4.8212E-4</v>
      </c>
      <c r="P921" t="s">
        <v>2581</v>
      </c>
      <c r="Q921" s="417">
        <f>(I921/314)^(1/14)-1</f>
        <v>3.110245624716157E-2</v>
      </c>
      <c r="R921" t="s">
        <v>3199</v>
      </c>
      <c r="T921">
        <v>0</v>
      </c>
      <c r="U921" t="s">
        <v>2851</v>
      </c>
      <c r="V921" t="s">
        <v>594</v>
      </c>
    </row>
    <row r="922" spans="1:22" x14ac:dyDescent="0.25">
      <c r="A922" t="s">
        <v>3200</v>
      </c>
      <c r="B922" t="s">
        <v>3201</v>
      </c>
      <c r="C922" t="str">
        <f t="shared" si="82"/>
        <v>VC40ET</v>
      </c>
      <c r="D922" t="s">
        <v>2730</v>
      </c>
      <c r="F922" t="s">
        <v>2397</v>
      </c>
      <c r="G922" s="411" t="s">
        <v>3202</v>
      </c>
      <c r="H922" t="s">
        <v>3203</v>
      </c>
      <c r="I922">
        <v>15.5</v>
      </c>
      <c r="K922" t="s">
        <v>3204</v>
      </c>
      <c r="O922" s="412">
        <f>I922/100</f>
        <v>0.155</v>
      </c>
      <c r="P922" t="s">
        <v>2196</v>
      </c>
      <c r="T922">
        <v>0</v>
      </c>
      <c r="U922" t="s">
        <v>2851</v>
      </c>
      <c r="V922" t="s">
        <v>594</v>
      </c>
    </row>
    <row r="923" spans="1:22" x14ac:dyDescent="0.25">
      <c r="A923" t="s">
        <v>3205</v>
      </c>
      <c r="B923" t="s">
        <v>3206</v>
      </c>
      <c r="C923" t="str">
        <f t="shared" si="82"/>
        <v>VC41ET</v>
      </c>
      <c r="D923" t="s">
        <v>2594</v>
      </c>
      <c r="E923" t="s">
        <v>2595</v>
      </c>
      <c r="F923" t="s">
        <v>214</v>
      </c>
      <c r="G923" s="411" t="s">
        <v>212</v>
      </c>
      <c r="H923">
        <v>2016</v>
      </c>
      <c r="I923" s="412">
        <v>0.18504347826086959</v>
      </c>
      <c r="J923" s="68"/>
      <c r="K923" t="s">
        <v>3207</v>
      </c>
      <c r="L923" t="s">
        <v>1944</v>
      </c>
      <c r="O923" s="68">
        <f>I923/100</f>
        <v>1.8504347826086959E-3</v>
      </c>
      <c r="P923" t="s">
        <v>2196</v>
      </c>
      <c r="T923">
        <v>0</v>
      </c>
      <c r="U923" t="s">
        <v>2851</v>
      </c>
      <c r="V923" t="s">
        <v>594</v>
      </c>
    </row>
    <row r="924" spans="1:22" x14ac:dyDescent="0.25">
      <c r="A924" t="s">
        <v>3205</v>
      </c>
      <c r="B924" t="s">
        <v>3206</v>
      </c>
      <c r="C924" t="str">
        <f t="shared" si="82"/>
        <v>VC41ETU</v>
      </c>
      <c r="E924" t="s">
        <v>2595</v>
      </c>
      <c r="F924" t="s">
        <v>214</v>
      </c>
      <c r="G924" s="411" t="s">
        <v>212</v>
      </c>
      <c r="H924">
        <v>2016</v>
      </c>
      <c r="I924" s="412">
        <v>0.27360000000000007</v>
      </c>
      <c r="K924" t="s">
        <v>3207</v>
      </c>
      <c r="L924" t="s">
        <v>1944</v>
      </c>
      <c r="O924" s="68">
        <f t="shared" ref="O924:O936" si="83">I924/100</f>
        <v>2.7360000000000006E-3</v>
      </c>
      <c r="T924">
        <v>0.5</v>
      </c>
      <c r="U924" t="s">
        <v>2869</v>
      </c>
      <c r="V924" t="s">
        <v>336</v>
      </c>
    </row>
    <row r="925" spans="1:22" x14ac:dyDescent="0.25">
      <c r="A925" t="s">
        <v>3205</v>
      </c>
      <c r="B925" t="s">
        <v>3206</v>
      </c>
      <c r="C925" t="str">
        <f t="shared" si="82"/>
        <v>VC41ETR</v>
      </c>
      <c r="E925" t="s">
        <v>2595</v>
      </c>
      <c r="F925" t="s">
        <v>214</v>
      </c>
      <c r="G925" s="411" t="s">
        <v>212</v>
      </c>
      <c r="H925">
        <v>2016</v>
      </c>
      <c r="I925" s="412">
        <v>0.16828571428571429</v>
      </c>
      <c r="J925" s="68"/>
      <c r="K925" t="s">
        <v>3207</v>
      </c>
      <c r="L925" t="s">
        <v>1944</v>
      </c>
      <c r="O925" s="68">
        <f t="shared" si="83"/>
        <v>1.6828571428571428E-3</v>
      </c>
      <c r="T925">
        <v>0.5</v>
      </c>
      <c r="U925" t="s">
        <v>2868</v>
      </c>
      <c r="V925" t="s">
        <v>84</v>
      </c>
    </row>
    <row r="926" spans="1:22" x14ac:dyDescent="0.25">
      <c r="A926" t="s">
        <v>3205</v>
      </c>
      <c r="B926" t="s">
        <v>3206</v>
      </c>
      <c r="C926" t="str">
        <f t="shared" si="82"/>
        <v>VC41ET01</v>
      </c>
      <c r="E926" t="s">
        <v>2595</v>
      </c>
      <c r="F926" t="s">
        <v>214</v>
      </c>
      <c r="G926" s="411" t="s">
        <v>212</v>
      </c>
      <c r="H926">
        <v>2016</v>
      </c>
      <c r="I926" s="412">
        <v>0.18558139534883722</v>
      </c>
      <c r="J926" s="68"/>
      <c r="K926" t="s">
        <v>3207</v>
      </c>
      <c r="L926" t="s">
        <v>1944</v>
      </c>
      <c r="O926" s="68">
        <f t="shared" si="83"/>
        <v>1.8558139534883722E-3</v>
      </c>
      <c r="T926">
        <v>1</v>
      </c>
      <c r="U926" t="s">
        <v>2870</v>
      </c>
      <c r="V926" t="s">
        <v>806</v>
      </c>
    </row>
    <row r="927" spans="1:22" x14ac:dyDescent="0.25">
      <c r="A927" t="s">
        <v>3205</v>
      </c>
      <c r="B927" t="s">
        <v>3206</v>
      </c>
      <c r="C927" t="str">
        <f t="shared" si="82"/>
        <v>VC41ET02</v>
      </c>
      <c r="E927" t="s">
        <v>2595</v>
      </c>
      <c r="F927" t="s">
        <v>214</v>
      </c>
      <c r="G927" s="411" t="s">
        <v>212</v>
      </c>
      <c r="H927">
        <v>2016</v>
      </c>
      <c r="I927" s="412">
        <v>0.18740909090909091</v>
      </c>
      <c r="J927" s="68"/>
      <c r="K927" t="s">
        <v>3207</v>
      </c>
      <c r="L927" t="s">
        <v>1944</v>
      </c>
      <c r="O927" s="68">
        <f t="shared" si="83"/>
        <v>1.8740909090909092E-3</v>
      </c>
      <c r="T927">
        <v>1</v>
      </c>
      <c r="U927" t="s">
        <v>2871</v>
      </c>
      <c r="V927" t="s">
        <v>2948</v>
      </c>
    </row>
    <row r="928" spans="1:22" x14ac:dyDescent="0.25">
      <c r="A928" t="s">
        <v>3205</v>
      </c>
      <c r="B928" t="s">
        <v>3206</v>
      </c>
      <c r="C928" t="str">
        <f t="shared" si="82"/>
        <v>VC41ET03</v>
      </c>
      <c r="E928" t="s">
        <v>2595</v>
      </c>
      <c r="F928" t="s">
        <v>214</v>
      </c>
      <c r="G928" s="411" t="s">
        <v>212</v>
      </c>
      <c r="H928">
        <v>2016</v>
      </c>
      <c r="I928" s="412">
        <v>0.25951219512195128</v>
      </c>
      <c r="J928" s="68"/>
      <c r="K928" t="s">
        <v>3207</v>
      </c>
      <c r="L928" t="s">
        <v>1944</v>
      </c>
      <c r="O928" s="68">
        <f t="shared" si="83"/>
        <v>2.595121951219513E-3</v>
      </c>
      <c r="T928">
        <v>1</v>
      </c>
      <c r="U928" t="s">
        <v>2873</v>
      </c>
      <c r="V928" t="s">
        <v>805</v>
      </c>
    </row>
    <row r="929" spans="1:22" x14ac:dyDescent="0.25">
      <c r="A929" t="s">
        <v>3205</v>
      </c>
      <c r="B929" t="s">
        <v>3206</v>
      </c>
      <c r="C929" t="str">
        <f t="shared" si="82"/>
        <v>VC41ET04</v>
      </c>
      <c r="E929" t="s">
        <v>2595</v>
      </c>
      <c r="F929" t="s">
        <v>214</v>
      </c>
      <c r="G929" s="411" t="s">
        <v>212</v>
      </c>
      <c r="H929">
        <v>2016</v>
      </c>
      <c r="I929" s="412">
        <v>0.17555999999999999</v>
      </c>
      <c r="J929" s="68"/>
      <c r="K929" t="s">
        <v>3207</v>
      </c>
      <c r="L929" t="s">
        <v>1944</v>
      </c>
      <c r="O929" s="68">
        <f t="shared" si="83"/>
        <v>1.7556E-3</v>
      </c>
      <c r="T929">
        <v>1</v>
      </c>
      <c r="U929" t="s">
        <v>2874</v>
      </c>
      <c r="V929" t="s">
        <v>809</v>
      </c>
    </row>
    <row r="930" spans="1:22" x14ac:dyDescent="0.25">
      <c r="A930" t="s">
        <v>3205</v>
      </c>
      <c r="B930" t="s">
        <v>3206</v>
      </c>
      <c r="C930" t="str">
        <f t="shared" si="82"/>
        <v>VC41ET05</v>
      </c>
      <c r="E930" t="s">
        <v>2595</v>
      </c>
      <c r="F930" t="s">
        <v>214</v>
      </c>
      <c r="G930" s="411" t="s">
        <v>212</v>
      </c>
      <c r="H930">
        <v>2016</v>
      </c>
      <c r="I930" s="412">
        <v>6.1384615384615385E-2</v>
      </c>
      <c r="J930" s="68"/>
      <c r="K930" t="s">
        <v>3207</v>
      </c>
      <c r="L930" t="s">
        <v>1944</v>
      </c>
      <c r="O930" s="68">
        <f t="shared" si="83"/>
        <v>6.1384615384615384E-4</v>
      </c>
      <c r="T930">
        <v>1</v>
      </c>
      <c r="U930" t="s">
        <v>2875</v>
      </c>
      <c r="V930" t="s">
        <v>2876</v>
      </c>
    </row>
    <row r="931" spans="1:22" x14ac:dyDescent="0.25">
      <c r="A931" t="s">
        <v>3205</v>
      </c>
      <c r="B931" t="s">
        <v>3206</v>
      </c>
      <c r="C931" t="str">
        <f t="shared" si="82"/>
        <v>VC41ET06</v>
      </c>
      <c r="E931" t="s">
        <v>2595</v>
      </c>
      <c r="F931" t="s">
        <v>214</v>
      </c>
      <c r="G931" s="411" t="s">
        <v>212</v>
      </c>
      <c r="H931">
        <v>2016</v>
      </c>
      <c r="I931" s="412">
        <v>0.17939534883720931</v>
      </c>
      <c r="J931" s="68"/>
      <c r="K931" t="s">
        <v>3207</v>
      </c>
      <c r="L931" t="s">
        <v>1944</v>
      </c>
      <c r="O931" s="68">
        <f t="shared" si="83"/>
        <v>1.793953488372093E-3</v>
      </c>
      <c r="T931">
        <v>1</v>
      </c>
      <c r="U931" t="s">
        <v>2878</v>
      </c>
      <c r="V931" t="s">
        <v>2879</v>
      </c>
    </row>
    <row r="932" spans="1:22" x14ac:dyDescent="0.25">
      <c r="A932" t="s">
        <v>3205</v>
      </c>
      <c r="B932" t="s">
        <v>3206</v>
      </c>
      <c r="C932" t="str">
        <f t="shared" si="82"/>
        <v>VC41ET07</v>
      </c>
      <c r="E932" t="s">
        <v>2595</v>
      </c>
      <c r="F932" t="s">
        <v>214</v>
      </c>
      <c r="G932" s="411" t="s">
        <v>212</v>
      </c>
      <c r="H932">
        <v>2016</v>
      </c>
      <c r="I932" s="412">
        <v>0.14657142857142857</v>
      </c>
      <c r="J932" s="68"/>
      <c r="K932" t="s">
        <v>3207</v>
      </c>
      <c r="L932" t="s">
        <v>1944</v>
      </c>
      <c r="O932" s="68">
        <f t="shared" si="83"/>
        <v>1.4657142857142857E-3</v>
      </c>
      <c r="T932">
        <v>1</v>
      </c>
      <c r="U932" t="s">
        <v>2880</v>
      </c>
      <c r="V932" t="s">
        <v>2881</v>
      </c>
    </row>
    <row r="933" spans="1:22" x14ac:dyDescent="0.25">
      <c r="A933" t="s">
        <v>3205</v>
      </c>
      <c r="B933" t="s">
        <v>3206</v>
      </c>
      <c r="C933" t="str">
        <f t="shared" si="82"/>
        <v>VC41ET12</v>
      </c>
      <c r="E933" t="s">
        <v>2595</v>
      </c>
      <c r="F933" t="s">
        <v>214</v>
      </c>
      <c r="G933" s="411" t="s">
        <v>212</v>
      </c>
      <c r="H933">
        <v>2016</v>
      </c>
      <c r="I933" s="412">
        <v>0.1862</v>
      </c>
      <c r="J933" s="68"/>
      <c r="K933" t="s">
        <v>3207</v>
      </c>
      <c r="L933" t="s">
        <v>1944</v>
      </c>
      <c r="O933" s="68">
        <f t="shared" si="83"/>
        <v>1.8619999999999999E-3</v>
      </c>
      <c r="T933">
        <v>1</v>
      </c>
      <c r="U933" t="s">
        <v>2882</v>
      </c>
      <c r="V933" t="s">
        <v>2883</v>
      </c>
    </row>
    <row r="934" spans="1:22" x14ac:dyDescent="0.25">
      <c r="A934" t="s">
        <v>3205</v>
      </c>
      <c r="B934" t="s">
        <v>3206</v>
      </c>
      <c r="C934" t="str">
        <f t="shared" si="82"/>
        <v>VC41ET13</v>
      </c>
      <c r="E934" t="s">
        <v>2595</v>
      </c>
      <c r="F934" t="s">
        <v>214</v>
      </c>
      <c r="G934" s="411" t="s">
        <v>212</v>
      </c>
      <c r="H934">
        <v>2016</v>
      </c>
      <c r="I934" s="412">
        <v>0.11594871794871796</v>
      </c>
      <c r="J934" s="68"/>
      <c r="K934" t="s">
        <v>3207</v>
      </c>
      <c r="L934" t="s">
        <v>1944</v>
      </c>
      <c r="O934" s="68">
        <f t="shared" si="83"/>
        <v>1.1594871794871795E-3</v>
      </c>
      <c r="T934">
        <v>1</v>
      </c>
      <c r="U934" t="s">
        <v>2884</v>
      </c>
      <c r="V934" t="s">
        <v>2885</v>
      </c>
    </row>
    <row r="935" spans="1:22" x14ac:dyDescent="0.25">
      <c r="A935" t="s">
        <v>3205</v>
      </c>
      <c r="B935" t="s">
        <v>3206</v>
      </c>
      <c r="C935" t="str">
        <f t="shared" si="82"/>
        <v>VC41ET14</v>
      </c>
      <c r="E935" t="s">
        <v>2595</v>
      </c>
      <c r="F935" t="s">
        <v>214</v>
      </c>
      <c r="G935" s="411" t="s">
        <v>212</v>
      </c>
      <c r="H935">
        <v>2016</v>
      </c>
      <c r="I935" s="412">
        <v>0.18472222222222223</v>
      </c>
      <c r="J935" s="68"/>
      <c r="K935" t="s">
        <v>3207</v>
      </c>
      <c r="L935" t="s">
        <v>1944</v>
      </c>
      <c r="O935" s="68">
        <f t="shared" si="83"/>
        <v>1.8472222222222223E-3</v>
      </c>
      <c r="T935">
        <v>1</v>
      </c>
      <c r="U935" t="s">
        <v>2886</v>
      </c>
      <c r="V935" t="s">
        <v>814</v>
      </c>
    </row>
    <row r="936" spans="1:22" x14ac:dyDescent="0.25">
      <c r="A936" t="s">
        <v>3205</v>
      </c>
      <c r="B936" t="s">
        <v>3206</v>
      </c>
      <c r="C936" t="str">
        <f t="shared" si="82"/>
        <v>VC41ET15</v>
      </c>
      <c r="E936" t="s">
        <v>2595</v>
      </c>
      <c r="F936" t="s">
        <v>214</v>
      </c>
      <c r="G936" s="411" t="s">
        <v>212</v>
      </c>
      <c r="H936">
        <v>2016</v>
      </c>
      <c r="I936" s="412">
        <v>0.20112195121951223</v>
      </c>
      <c r="J936" s="68"/>
      <c r="K936" t="s">
        <v>3207</v>
      </c>
      <c r="L936" t="s">
        <v>1944</v>
      </c>
      <c r="O936" s="68">
        <f t="shared" si="83"/>
        <v>2.0112195121951225E-3</v>
      </c>
      <c r="T936">
        <v>1</v>
      </c>
      <c r="U936" t="s">
        <v>2887</v>
      </c>
      <c r="V936" t="s">
        <v>2888</v>
      </c>
    </row>
    <row r="937" spans="1:22" x14ac:dyDescent="0.25">
      <c r="A937" t="s">
        <v>3205</v>
      </c>
      <c r="B937" t="s">
        <v>3208</v>
      </c>
      <c r="C937" t="str">
        <f t="shared" si="82"/>
        <v>VC42ET</v>
      </c>
      <c r="D937" t="s">
        <v>2596</v>
      </c>
      <c r="E937" t="s">
        <v>2597</v>
      </c>
      <c r="F937" t="s">
        <v>214</v>
      </c>
      <c r="G937" s="411" t="s">
        <v>212</v>
      </c>
      <c r="H937">
        <v>2016</v>
      </c>
      <c r="I937" s="412">
        <v>0.2121739130434783</v>
      </c>
      <c r="J937" s="68"/>
      <c r="K937" t="s">
        <v>3207</v>
      </c>
      <c r="L937" t="s">
        <v>1944</v>
      </c>
      <c r="O937" s="68">
        <f>I937/100</f>
        <v>2.1217391304347829E-3</v>
      </c>
      <c r="P937" t="s">
        <v>2196</v>
      </c>
      <c r="T937">
        <v>0</v>
      </c>
      <c r="U937" t="s">
        <v>2851</v>
      </c>
      <c r="V937" t="s">
        <v>594</v>
      </c>
    </row>
    <row r="938" spans="1:22" x14ac:dyDescent="0.25">
      <c r="A938" t="s">
        <v>3205</v>
      </c>
      <c r="B938" t="s">
        <v>3208</v>
      </c>
      <c r="C938" t="str">
        <f t="shared" si="82"/>
        <v>VC42ETU</v>
      </c>
      <c r="E938" t="s">
        <v>2597</v>
      </c>
      <c r="F938" t="s">
        <v>214</v>
      </c>
      <c r="G938" s="411" t="s">
        <v>212</v>
      </c>
      <c r="H938">
        <v>2016</v>
      </c>
      <c r="I938" s="412">
        <v>0.31371428571428572</v>
      </c>
      <c r="J938" s="68"/>
      <c r="K938" t="s">
        <v>3209</v>
      </c>
      <c r="L938" t="s">
        <v>1944</v>
      </c>
      <c r="O938" s="68">
        <f t="shared" ref="O938:O950" si="84">I938/100</f>
        <v>3.1371428571428574E-3</v>
      </c>
      <c r="T938">
        <v>0.5</v>
      </c>
      <c r="U938" t="s">
        <v>2869</v>
      </c>
      <c r="V938" t="s">
        <v>336</v>
      </c>
    </row>
    <row r="939" spans="1:22" x14ac:dyDescent="0.25">
      <c r="A939" t="s">
        <v>3205</v>
      </c>
      <c r="B939" t="s">
        <v>3208</v>
      </c>
      <c r="C939" t="str">
        <f t="shared" si="82"/>
        <v>VC42ETR</v>
      </c>
      <c r="E939" t="s">
        <v>2597</v>
      </c>
      <c r="F939" t="s">
        <v>214</v>
      </c>
      <c r="G939" s="411" t="s">
        <v>212</v>
      </c>
      <c r="H939">
        <v>2016</v>
      </c>
      <c r="I939" s="412">
        <v>0.19295918367346937</v>
      </c>
      <c r="J939" s="68"/>
      <c r="K939" t="s">
        <v>3209</v>
      </c>
      <c r="L939" t="s">
        <v>1944</v>
      </c>
      <c r="O939" s="68">
        <f t="shared" si="84"/>
        <v>1.9295918367346937E-3</v>
      </c>
      <c r="T939">
        <v>0.5</v>
      </c>
      <c r="U939" t="s">
        <v>2868</v>
      </c>
      <c r="V939" t="s">
        <v>84</v>
      </c>
    </row>
    <row r="940" spans="1:22" x14ac:dyDescent="0.25">
      <c r="A940" t="s">
        <v>3205</v>
      </c>
      <c r="B940" t="s">
        <v>3208</v>
      </c>
      <c r="C940" t="str">
        <f t="shared" si="82"/>
        <v>VC42ET01</v>
      </c>
      <c r="E940" t="s">
        <v>2597</v>
      </c>
      <c r="F940" t="s">
        <v>214</v>
      </c>
      <c r="G940" s="411" t="s">
        <v>212</v>
      </c>
      <c r="H940">
        <v>2016</v>
      </c>
      <c r="I940" s="412">
        <v>0.21279069767441861</v>
      </c>
      <c r="J940" s="68"/>
      <c r="K940" t="s">
        <v>3209</v>
      </c>
      <c r="L940" t="s">
        <v>1944</v>
      </c>
      <c r="O940" s="68">
        <f t="shared" si="84"/>
        <v>2.1279069767441861E-3</v>
      </c>
      <c r="T940">
        <v>1</v>
      </c>
      <c r="U940" t="s">
        <v>2870</v>
      </c>
      <c r="V940" t="s">
        <v>806</v>
      </c>
    </row>
    <row r="941" spans="1:22" x14ac:dyDescent="0.25">
      <c r="A941" t="s">
        <v>3205</v>
      </c>
      <c r="B941" t="s">
        <v>3208</v>
      </c>
      <c r="C941" t="str">
        <f t="shared" si="82"/>
        <v>VC42ET02</v>
      </c>
      <c r="E941" t="s">
        <v>2597</v>
      </c>
      <c r="F941" t="s">
        <v>214</v>
      </c>
      <c r="G941" s="411" t="s">
        <v>212</v>
      </c>
      <c r="H941">
        <v>2016</v>
      </c>
      <c r="I941" s="412">
        <v>0.2148863636363636</v>
      </c>
      <c r="J941" s="68"/>
      <c r="K941" t="s">
        <v>3209</v>
      </c>
      <c r="L941" t="s">
        <v>1944</v>
      </c>
      <c r="O941" s="68">
        <f t="shared" si="84"/>
        <v>2.1488636363636358E-3</v>
      </c>
      <c r="T941">
        <v>1</v>
      </c>
      <c r="U941" t="s">
        <v>2871</v>
      </c>
      <c r="V941" t="s">
        <v>2948</v>
      </c>
    </row>
    <row r="942" spans="1:22" x14ac:dyDescent="0.25">
      <c r="A942" t="s">
        <v>3205</v>
      </c>
      <c r="B942" t="s">
        <v>3208</v>
      </c>
      <c r="C942" t="str">
        <f t="shared" si="82"/>
        <v>VC42ET03</v>
      </c>
      <c r="E942" t="s">
        <v>2597</v>
      </c>
      <c r="F942" t="s">
        <v>214</v>
      </c>
      <c r="G942" s="411" t="s">
        <v>212</v>
      </c>
      <c r="H942">
        <v>2016</v>
      </c>
      <c r="I942" s="412">
        <v>0.29756097560975614</v>
      </c>
      <c r="J942" s="68"/>
      <c r="K942" t="s">
        <v>3209</v>
      </c>
      <c r="L942" t="s">
        <v>1944</v>
      </c>
      <c r="O942" s="68">
        <f t="shared" si="84"/>
        <v>2.9756097560975615E-3</v>
      </c>
      <c r="T942">
        <v>1</v>
      </c>
      <c r="U942" t="s">
        <v>2873</v>
      </c>
      <c r="V942" t="s">
        <v>805</v>
      </c>
    </row>
    <row r="943" spans="1:22" x14ac:dyDescent="0.25">
      <c r="A943" t="s">
        <v>3205</v>
      </c>
      <c r="B943" t="s">
        <v>3208</v>
      </c>
      <c r="C943" t="str">
        <f t="shared" si="82"/>
        <v>VC42ET04</v>
      </c>
      <c r="E943" t="s">
        <v>2597</v>
      </c>
      <c r="F943" t="s">
        <v>214</v>
      </c>
      <c r="G943" s="411" t="s">
        <v>212</v>
      </c>
      <c r="H943">
        <v>2016</v>
      </c>
      <c r="I943" s="412">
        <v>0.20129999999999998</v>
      </c>
      <c r="J943" s="68"/>
      <c r="K943" t="s">
        <v>3209</v>
      </c>
      <c r="L943" t="s">
        <v>1944</v>
      </c>
      <c r="O943" s="68">
        <f t="shared" si="84"/>
        <v>2.0129999999999996E-3</v>
      </c>
      <c r="T943">
        <v>1</v>
      </c>
      <c r="U943" t="s">
        <v>2874</v>
      </c>
      <c r="V943" t="s">
        <v>809</v>
      </c>
    </row>
    <row r="944" spans="1:22" x14ac:dyDescent="0.25">
      <c r="A944" t="s">
        <v>3205</v>
      </c>
      <c r="B944" t="s">
        <v>3208</v>
      </c>
      <c r="C944" t="str">
        <f t="shared" si="82"/>
        <v>VC42ET05</v>
      </c>
      <c r="E944" t="s">
        <v>2597</v>
      </c>
      <c r="F944" t="s">
        <v>214</v>
      </c>
      <c r="G944" s="411" t="s">
        <v>212</v>
      </c>
      <c r="H944">
        <v>2016</v>
      </c>
      <c r="I944" s="412">
        <v>7.0384615384615379E-2</v>
      </c>
      <c r="J944" s="68"/>
      <c r="K944" t="s">
        <v>3209</v>
      </c>
      <c r="L944" t="s">
        <v>1944</v>
      </c>
      <c r="O944" s="68">
        <f t="shared" si="84"/>
        <v>7.0384615384615375E-4</v>
      </c>
      <c r="T944">
        <v>1</v>
      </c>
      <c r="U944" t="s">
        <v>2875</v>
      </c>
      <c r="V944" t="s">
        <v>2876</v>
      </c>
    </row>
    <row r="945" spans="1:22" x14ac:dyDescent="0.25">
      <c r="A945" t="s">
        <v>3205</v>
      </c>
      <c r="B945" t="s">
        <v>3208</v>
      </c>
      <c r="C945" t="str">
        <f t="shared" si="82"/>
        <v>VC42ET06</v>
      </c>
      <c r="E945" t="s">
        <v>2597</v>
      </c>
      <c r="F945" t="s">
        <v>214</v>
      </c>
      <c r="G945" s="411" t="s">
        <v>212</v>
      </c>
      <c r="H945">
        <v>2016</v>
      </c>
      <c r="I945" s="412">
        <v>0.20569767441860465</v>
      </c>
      <c r="J945" s="68"/>
      <c r="K945" t="s">
        <v>3209</v>
      </c>
      <c r="L945" t="s">
        <v>1944</v>
      </c>
      <c r="O945" s="68">
        <f t="shared" si="84"/>
        <v>2.0569767441860464E-3</v>
      </c>
      <c r="T945">
        <v>1</v>
      </c>
      <c r="U945" t="s">
        <v>2878</v>
      </c>
      <c r="V945" t="s">
        <v>2879</v>
      </c>
    </row>
    <row r="946" spans="1:22" x14ac:dyDescent="0.25">
      <c r="A946" t="s">
        <v>3205</v>
      </c>
      <c r="B946" t="s">
        <v>3208</v>
      </c>
      <c r="C946" t="str">
        <f t="shared" si="82"/>
        <v>VC42ET07</v>
      </c>
      <c r="E946" t="s">
        <v>2597</v>
      </c>
      <c r="F946" t="s">
        <v>214</v>
      </c>
      <c r="G946" s="411" t="s">
        <v>212</v>
      </c>
      <c r="H946">
        <v>2016</v>
      </c>
      <c r="I946" s="412">
        <v>0.16806122448979591</v>
      </c>
      <c r="J946" s="68"/>
      <c r="K946" t="s">
        <v>3209</v>
      </c>
      <c r="L946" t="s">
        <v>1944</v>
      </c>
      <c r="O946" s="68">
        <f t="shared" si="84"/>
        <v>1.6806122448979591E-3</v>
      </c>
      <c r="T946">
        <v>1</v>
      </c>
      <c r="U946" t="s">
        <v>2880</v>
      </c>
      <c r="V946" t="s">
        <v>2881</v>
      </c>
    </row>
    <row r="947" spans="1:22" x14ac:dyDescent="0.25">
      <c r="A947" t="s">
        <v>3205</v>
      </c>
      <c r="B947" t="s">
        <v>3208</v>
      </c>
      <c r="C947" t="str">
        <f t="shared" si="82"/>
        <v>VC42ET12</v>
      </c>
      <c r="E947" t="s">
        <v>2597</v>
      </c>
      <c r="F947" t="s">
        <v>214</v>
      </c>
      <c r="G947" s="411" t="s">
        <v>212</v>
      </c>
      <c r="H947">
        <v>2016</v>
      </c>
      <c r="I947" s="412">
        <v>0.2135</v>
      </c>
      <c r="J947" s="68"/>
      <c r="K947" t="s">
        <v>3209</v>
      </c>
      <c r="L947" t="s">
        <v>1944</v>
      </c>
      <c r="O947" s="68">
        <f t="shared" si="84"/>
        <v>2.1349999999999997E-3</v>
      </c>
      <c r="T947">
        <v>1</v>
      </c>
      <c r="U947" t="s">
        <v>2882</v>
      </c>
      <c r="V947" t="s">
        <v>2883</v>
      </c>
    </row>
    <row r="948" spans="1:22" x14ac:dyDescent="0.25">
      <c r="A948" t="s">
        <v>3205</v>
      </c>
      <c r="B948" t="s">
        <v>3208</v>
      </c>
      <c r="C948" t="str">
        <f t="shared" si="82"/>
        <v>VC42ET13</v>
      </c>
      <c r="E948" t="s">
        <v>2597</v>
      </c>
      <c r="F948" t="s">
        <v>214</v>
      </c>
      <c r="G948" s="411" t="s">
        <v>212</v>
      </c>
      <c r="H948">
        <v>2016</v>
      </c>
      <c r="I948" s="412">
        <v>0.13294871794871796</v>
      </c>
      <c r="J948" s="68"/>
      <c r="K948" t="s">
        <v>3209</v>
      </c>
      <c r="L948" t="s">
        <v>1944</v>
      </c>
      <c r="O948" s="68">
        <f t="shared" si="84"/>
        <v>1.3294871794871795E-3</v>
      </c>
      <c r="T948">
        <v>1</v>
      </c>
      <c r="U948" t="s">
        <v>2884</v>
      </c>
      <c r="V948" t="s">
        <v>2885</v>
      </c>
    </row>
    <row r="949" spans="1:22" x14ac:dyDescent="0.25">
      <c r="A949" t="s">
        <v>3205</v>
      </c>
      <c r="B949" t="s">
        <v>3208</v>
      </c>
      <c r="C949" t="str">
        <f t="shared" si="82"/>
        <v>VC42ET14</v>
      </c>
      <c r="E949" t="s">
        <v>2597</v>
      </c>
      <c r="F949" t="s">
        <v>214</v>
      </c>
      <c r="G949" s="411" t="s">
        <v>212</v>
      </c>
      <c r="H949">
        <v>2016</v>
      </c>
      <c r="I949" s="412">
        <v>0.21180555555555555</v>
      </c>
      <c r="J949" s="68"/>
      <c r="K949" t="s">
        <v>3209</v>
      </c>
      <c r="L949" t="s">
        <v>1944</v>
      </c>
      <c r="O949" s="68">
        <f t="shared" si="84"/>
        <v>2.1180555555555553E-3</v>
      </c>
      <c r="T949">
        <v>1</v>
      </c>
      <c r="U949" t="s">
        <v>2886</v>
      </c>
      <c r="V949" t="s">
        <v>814</v>
      </c>
    </row>
    <row r="950" spans="1:22" x14ac:dyDescent="0.25">
      <c r="A950" t="s">
        <v>3205</v>
      </c>
      <c r="B950" t="s">
        <v>3208</v>
      </c>
      <c r="C950" t="str">
        <f t="shared" si="82"/>
        <v>VC42ET15</v>
      </c>
      <c r="E950" t="s">
        <v>2597</v>
      </c>
      <c r="F950" t="s">
        <v>214</v>
      </c>
      <c r="G950" s="411" t="s">
        <v>212</v>
      </c>
      <c r="H950">
        <v>2016</v>
      </c>
      <c r="I950" s="412">
        <v>0.23060975609756101</v>
      </c>
      <c r="J950" s="68"/>
      <c r="K950" t="s">
        <v>3209</v>
      </c>
      <c r="L950" t="s">
        <v>1944</v>
      </c>
      <c r="O950" s="68">
        <f t="shared" si="84"/>
        <v>2.3060975609756102E-3</v>
      </c>
      <c r="T950">
        <v>1</v>
      </c>
      <c r="U950" t="s">
        <v>2887</v>
      </c>
      <c r="V950" t="s">
        <v>2888</v>
      </c>
    </row>
    <row r="951" spans="1:22" x14ac:dyDescent="0.25">
      <c r="A951" t="s">
        <v>3210</v>
      </c>
      <c r="B951" t="s">
        <v>3211</v>
      </c>
      <c r="C951" t="str">
        <f t="shared" si="82"/>
        <v>VC43ET</v>
      </c>
      <c r="D951" t="s">
        <v>2732</v>
      </c>
      <c r="E951" t="s">
        <v>2460</v>
      </c>
      <c r="F951" t="s">
        <v>528</v>
      </c>
      <c r="G951" s="411" t="s">
        <v>3212</v>
      </c>
      <c r="H951">
        <v>2015</v>
      </c>
      <c r="I951" s="68">
        <v>4.6529294056327089E-3</v>
      </c>
      <c r="J951" s="68"/>
      <c r="K951" t="s">
        <v>3213</v>
      </c>
      <c r="L951" t="s">
        <v>1944</v>
      </c>
      <c r="O951" s="68">
        <f>I951</f>
        <v>4.6529294056327089E-3</v>
      </c>
      <c r="T951">
        <v>0</v>
      </c>
      <c r="U951" t="s">
        <v>2851</v>
      </c>
      <c r="V951" t="s">
        <v>594</v>
      </c>
    </row>
    <row r="952" spans="1:22" x14ac:dyDescent="0.25">
      <c r="A952" t="s">
        <v>3210</v>
      </c>
      <c r="B952" t="s">
        <v>3211</v>
      </c>
      <c r="C952" t="str">
        <f t="shared" si="82"/>
        <v>VC43ET01</v>
      </c>
      <c r="E952" t="s">
        <v>2460</v>
      </c>
      <c r="F952" t="s">
        <v>528</v>
      </c>
      <c r="G952" s="411" t="s">
        <v>3212</v>
      </c>
      <c r="H952">
        <v>2015</v>
      </c>
      <c r="I952" s="68">
        <v>4.1761180807911805E-3</v>
      </c>
      <c r="K952" t="s">
        <v>3213</v>
      </c>
      <c r="L952" t="s">
        <v>1944</v>
      </c>
      <c r="O952" s="68">
        <f t="shared" ref="O952:O974" si="85">I952</f>
        <v>4.1761180807911805E-3</v>
      </c>
      <c r="T952">
        <v>1</v>
      </c>
      <c r="U952" t="s">
        <v>2870</v>
      </c>
      <c r="V952" t="s">
        <v>806</v>
      </c>
    </row>
    <row r="953" spans="1:22" x14ac:dyDescent="0.25">
      <c r="A953" t="s">
        <v>3210</v>
      </c>
      <c r="B953" t="s">
        <v>3211</v>
      </c>
      <c r="C953" t="str">
        <f t="shared" si="82"/>
        <v>VC43ET02</v>
      </c>
      <c r="E953" t="s">
        <v>2460</v>
      </c>
      <c r="F953" t="s">
        <v>528</v>
      </c>
      <c r="G953" s="411" t="s">
        <v>3212</v>
      </c>
      <c r="H953">
        <v>2015</v>
      </c>
      <c r="I953" s="68">
        <v>8.6507533626304538E-4</v>
      </c>
      <c r="K953" t="s">
        <v>3213</v>
      </c>
      <c r="L953" t="s">
        <v>1944</v>
      </c>
      <c r="O953" s="68">
        <f t="shared" si="85"/>
        <v>8.6507533626304538E-4</v>
      </c>
      <c r="T953">
        <v>1</v>
      </c>
      <c r="U953" t="s">
        <v>2871</v>
      </c>
      <c r="V953" t="s">
        <v>2948</v>
      </c>
    </row>
    <row r="954" spans="1:22" x14ac:dyDescent="0.25">
      <c r="A954" t="s">
        <v>3210</v>
      </c>
      <c r="B954" t="s">
        <v>3211</v>
      </c>
      <c r="C954" t="str">
        <f t="shared" si="82"/>
        <v>VC43ET03</v>
      </c>
      <c r="E954" t="s">
        <v>2460</v>
      </c>
      <c r="F954" t="s">
        <v>528</v>
      </c>
      <c r="G954" s="411" t="s">
        <v>3212</v>
      </c>
      <c r="H954">
        <v>2015</v>
      </c>
      <c r="I954" s="68">
        <v>5.2961877439969256E-3</v>
      </c>
      <c r="K954" t="s">
        <v>3213</v>
      </c>
      <c r="L954" t="s">
        <v>1944</v>
      </c>
      <c r="O954" s="68">
        <f t="shared" si="85"/>
        <v>5.2961877439969256E-3</v>
      </c>
      <c r="T954">
        <v>1</v>
      </c>
      <c r="U954" t="s">
        <v>2873</v>
      </c>
      <c r="V954" t="s">
        <v>805</v>
      </c>
    </row>
    <row r="955" spans="1:22" x14ac:dyDescent="0.25">
      <c r="A955" t="s">
        <v>3210</v>
      </c>
      <c r="B955" t="s">
        <v>3211</v>
      </c>
      <c r="C955" t="str">
        <f t="shared" si="82"/>
        <v>VC43ET04</v>
      </c>
      <c r="E955" t="s">
        <v>2460</v>
      </c>
      <c r="F955" t="s">
        <v>528</v>
      </c>
      <c r="G955" s="411" t="s">
        <v>3212</v>
      </c>
      <c r="H955">
        <v>2015</v>
      </c>
      <c r="I955" s="68">
        <v>4.2704089902162855E-3</v>
      </c>
      <c r="K955" t="s">
        <v>3213</v>
      </c>
      <c r="L955" t="s">
        <v>1944</v>
      </c>
      <c r="O955" s="68">
        <f t="shared" si="85"/>
        <v>4.2704089902162855E-3</v>
      </c>
      <c r="T955">
        <v>1</v>
      </c>
      <c r="U955" t="s">
        <v>2874</v>
      </c>
      <c r="V955" t="s">
        <v>809</v>
      </c>
    </row>
    <row r="956" spans="1:22" x14ac:dyDescent="0.25">
      <c r="A956" t="s">
        <v>3210</v>
      </c>
      <c r="B956" t="s">
        <v>3211</v>
      </c>
      <c r="C956" t="str">
        <f t="shared" si="82"/>
        <v>VC43ET05</v>
      </c>
      <c r="E956" t="s">
        <v>2460</v>
      </c>
      <c r="F956" t="s">
        <v>528</v>
      </c>
      <c r="G956" s="411" t="s">
        <v>3212</v>
      </c>
      <c r="H956">
        <v>2015</v>
      </c>
      <c r="I956" s="68">
        <v>0</v>
      </c>
      <c r="K956" t="s">
        <v>3213</v>
      </c>
      <c r="L956" t="s">
        <v>1944</v>
      </c>
      <c r="O956" s="68">
        <f t="shared" si="85"/>
        <v>0</v>
      </c>
      <c r="T956">
        <v>1</v>
      </c>
      <c r="U956" t="s">
        <v>2875</v>
      </c>
      <c r="V956" t="s">
        <v>2876</v>
      </c>
    </row>
    <row r="957" spans="1:22" x14ac:dyDescent="0.25">
      <c r="A957" t="s">
        <v>3210</v>
      </c>
      <c r="B957" t="s">
        <v>3211</v>
      </c>
      <c r="C957" t="str">
        <f t="shared" si="82"/>
        <v>VC43ET06</v>
      </c>
      <c r="E957" t="s">
        <v>2460</v>
      </c>
      <c r="F957" t="s">
        <v>528</v>
      </c>
      <c r="G957" s="411" t="s">
        <v>3212</v>
      </c>
      <c r="H957">
        <v>2015</v>
      </c>
      <c r="I957" s="68">
        <v>2.1634357480036243E-2</v>
      </c>
      <c r="K957" t="s">
        <v>3213</v>
      </c>
      <c r="L957" t="s">
        <v>1944</v>
      </c>
      <c r="O957" s="68">
        <f t="shared" si="85"/>
        <v>2.1634357480036243E-2</v>
      </c>
      <c r="T957">
        <v>1</v>
      </c>
      <c r="U957" t="s">
        <v>2878</v>
      </c>
      <c r="V957" t="s">
        <v>2879</v>
      </c>
    </row>
    <row r="958" spans="1:22" x14ac:dyDescent="0.25">
      <c r="A958" t="s">
        <v>3210</v>
      </c>
      <c r="B958" t="s">
        <v>3211</v>
      </c>
      <c r="C958" t="str">
        <f t="shared" si="82"/>
        <v>VC43ET07</v>
      </c>
      <c r="E958" t="s">
        <v>2460</v>
      </c>
      <c r="F958" t="s">
        <v>528</v>
      </c>
      <c r="G958" s="411" t="s">
        <v>3212</v>
      </c>
      <c r="H958">
        <v>2015</v>
      </c>
      <c r="I958" s="68">
        <v>6.2780507385861465E-3</v>
      </c>
      <c r="K958" t="s">
        <v>3213</v>
      </c>
      <c r="L958" t="s">
        <v>1944</v>
      </c>
      <c r="O958" s="68">
        <f t="shared" si="85"/>
        <v>6.2780507385861465E-3</v>
      </c>
      <c r="T958">
        <v>1</v>
      </c>
      <c r="U958" t="s">
        <v>2880</v>
      </c>
      <c r="V958" t="s">
        <v>2881</v>
      </c>
    </row>
    <row r="959" spans="1:22" x14ac:dyDescent="0.25">
      <c r="A959" t="s">
        <v>3210</v>
      </c>
      <c r="B959" t="s">
        <v>3211</v>
      </c>
      <c r="C959" t="str">
        <f t="shared" si="82"/>
        <v>VC43ET12</v>
      </c>
      <c r="E959" t="s">
        <v>2460</v>
      </c>
      <c r="F959" t="s">
        <v>528</v>
      </c>
      <c r="G959" s="411" t="s">
        <v>3212</v>
      </c>
      <c r="H959">
        <v>2015</v>
      </c>
      <c r="I959" s="68">
        <v>1.7053149037208355E-2</v>
      </c>
      <c r="K959" t="s">
        <v>3213</v>
      </c>
      <c r="L959" t="s">
        <v>1944</v>
      </c>
      <c r="O959" s="68">
        <f t="shared" si="85"/>
        <v>1.7053149037208355E-2</v>
      </c>
      <c r="T959">
        <v>1</v>
      </c>
      <c r="U959" t="s">
        <v>2882</v>
      </c>
      <c r="V959" t="s">
        <v>2883</v>
      </c>
    </row>
    <row r="960" spans="1:22" x14ac:dyDescent="0.25">
      <c r="A960" t="s">
        <v>3210</v>
      </c>
      <c r="B960" t="s">
        <v>3211</v>
      </c>
      <c r="C960" t="str">
        <f t="shared" si="82"/>
        <v>VC43ET13</v>
      </c>
      <c r="E960" t="s">
        <v>2460</v>
      </c>
      <c r="F960" t="s">
        <v>528</v>
      </c>
      <c r="G960" s="411" t="s">
        <v>3212</v>
      </c>
      <c r="H960">
        <v>2015</v>
      </c>
      <c r="I960" s="68">
        <v>2.8261833333333331E-3</v>
      </c>
      <c r="K960" t="s">
        <v>3213</v>
      </c>
      <c r="L960" t="s">
        <v>1944</v>
      </c>
      <c r="O960" s="68">
        <f t="shared" si="85"/>
        <v>2.8261833333333331E-3</v>
      </c>
      <c r="T960">
        <v>1</v>
      </c>
      <c r="U960" t="s">
        <v>2884</v>
      </c>
      <c r="V960" t="s">
        <v>2885</v>
      </c>
    </row>
    <row r="961" spans="1:22" x14ac:dyDescent="0.25">
      <c r="A961" t="s">
        <v>3210</v>
      </c>
      <c r="B961" t="s">
        <v>3211</v>
      </c>
      <c r="C961" t="str">
        <f t="shared" si="82"/>
        <v>VC43ET14</v>
      </c>
      <c r="E961" t="s">
        <v>2460</v>
      </c>
      <c r="F961" t="s">
        <v>528</v>
      </c>
      <c r="G961" s="411" t="s">
        <v>3212</v>
      </c>
      <c r="H961">
        <v>2015</v>
      </c>
      <c r="I961" s="68">
        <v>0</v>
      </c>
      <c r="K961" t="s">
        <v>3213</v>
      </c>
      <c r="L961" t="s">
        <v>1944</v>
      </c>
      <c r="O961" s="68">
        <f t="shared" si="85"/>
        <v>0</v>
      </c>
      <c r="T961">
        <v>1</v>
      </c>
      <c r="U961" t="s">
        <v>2886</v>
      </c>
      <c r="V961" t="s">
        <v>814</v>
      </c>
    </row>
    <row r="962" spans="1:22" x14ac:dyDescent="0.25">
      <c r="A962" t="s">
        <v>3210</v>
      </c>
      <c r="B962" t="s">
        <v>3211</v>
      </c>
      <c r="C962" t="str">
        <f t="shared" si="82"/>
        <v>VC43ET15</v>
      </c>
      <c r="E962" t="s">
        <v>2460</v>
      </c>
      <c r="F962" t="s">
        <v>528</v>
      </c>
      <c r="G962" s="411" t="s">
        <v>3212</v>
      </c>
      <c r="H962">
        <v>2015</v>
      </c>
      <c r="I962" s="68">
        <v>0</v>
      </c>
      <c r="K962" t="s">
        <v>3213</v>
      </c>
      <c r="L962" t="s">
        <v>1944</v>
      </c>
      <c r="O962" s="68">
        <f t="shared" si="85"/>
        <v>0</v>
      </c>
      <c r="T962">
        <v>1</v>
      </c>
      <c r="U962" t="s">
        <v>2887</v>
      </c>
      <c r="V962" t="s">
        <v>2888</v>
      </c>
    </row>
    <row r="963" spans="1:22" x14ac:dyDescent="0.25">
      <c r="A963" t="s">
        <v>3214</v>
      </c>
      <c r="B963" t="s">
        <v>3215</v>
      </c>
      <c r="C963" t="str">
        <f t="shared" si="82"/>
        <v>VC44ET</v>
      </c>
      <c r="D963" t="s">
        <v>2740</v>
      </c>
      <c r="E963" t="s">
        <v>2464</v>
      </c>
      <c r="F963" t="s">
        <v>528</v>
      </c>
      <c r="G963" s="411" t="s">
        <v>3216</v>
      </c>
      <c r="H963">
        <v>2019</v>
      </c>
      <c r="I963" s="68">
        <f>8.3%/8</f>
        <v>1.0375000000000001E-2</v>
      </c>
      <c r="J963" s="68"/>
      <c r="K963" t="s">
        <v>3217</v>
      </c>
      <c r="L963" t="s">
        <v>2974</v>
      </c>
      <c r="O963" s="68">
        <f t="shared" si="85"/>
        <v>1.0375000000000001E-2</v>
      </c>
      <c r="P963" t="s">
        <v>2196</v>
      </c>
      <c r="Q963" s="422">
        <v>1</v>
      </c>
      <c r="R963" t="s">
        <v>2975</v>
      </c>
      <c r="S963" s="54">
        <v>0.77</v>
      </c>
      <c r="T963">
        <v>0</v>
      </c>
      <c r="U963" t="s">
        <v>2851</v>
      </c>
      <c r="V963" t="s">
        <v>594</v>
      </c>
    </row>
    <row r="964" spans="1:22" x14ac:dyDescent="0.25">
      <c r="A964" t="s">
        <v>3214</v>
      </c>
      <c r="B964" t="s">
        <v>3215</v>
      </c>
      <c r="C964" t="str">
        <f t="shared" si="82"/>
        <v>VC44ET01</v>
      </c>
      <c r="E964" t="s">
        <v>2464</v>
      </c>
      <c r="F964" t="s">
        <v>528</v>
      </c>
      <c r="G964" s="411" t="s">
        <v>3216</v>
      </c>
      <c r="H964">
        <v>2019</v>
      </c>
      <c r="I964" s="68">
        <f>8.3%/8</f>
        <v>1.0375000000000001E-2</v>
      </c>
      <c r="J964" s="68"/>
      <c r="K964" t="s">
        <v>3217</v>
      </c>
      <c r="L964" t="s">
        <v>2974</v>
      </c>
      <c r="O964" s="68">
        <f t="shared" si="85"/>
        <v>1.0375000000000001E-2</v>
      </c>
      <c r="P964" t="s">
        <v>2196</v>
      </c>
      <c r="Q964" s="422">
        <v>1</v>
      </c>
      <c r="R964" t="s">
        <v>2975</v>
      </c>
      <c r="S964" s="54"/>
      <c r="T964">
        <v>1</v>
      </c>
      <c r="U964" t="s">
        <v>2870</v>
      </c>
      <c r="V964" t="s">
        <v>806</v>
      </c>
    </row>
    <row r="965" spans="1:22" x14ac:dyDescent="0.25">
      <c r="A965" t="s">
        <v>3214</v>
      </c>
      <c r="B965" t="s">
        <v>3215</v>
      </c>
      <c r="C965" t="str">
        <f t="shared" si="82"/>
        <v>VC44ET02</v>
      </c>
      <c r="E965" t="s">
        <v>2464</v>
      </c>
      <c r="F965" t="s">
        <v>528</v>
      </c>
      <c r="G965" s="411" t="s">
        <v>3216</v>
      </c>
      <c r="H965">
        <v>2019</v>
      </c>
      <c r="I965" s="68">
        <f>3.5%/8</f>
        <v>4.3750000000000004E-3</v>
      </c>
      <c r="J965" s="68"/>
      <c r="K965" t="s">
        <v>3217</v>
      </c>
      <c r="L965" t="s">
        <v>2974</v>
      </c>
      <c r="O965" s="68">
        <f t="shared" si="85"/>
        <v>4.3750000000000004E-3</v>
      </c>
      <c r="P965" t="s">
        <v>2196</v>
      </c>
      <c r="Q965" s="422">
        <v>1</v>
      </c>
      <c r="R965" t="s">
        <v>2975</v>
      </c>
      <c r="S965" s="54"/>
      <c r="T965">
        <v>1</v>
      </c>
      <c r="U965" t="s">
        <v>2871</v>
      </c>
      <c r="V965" t="s">
        <v>2948</v>
      </c>
    </row>
    <row r="966" spans="1:22" x14ac:dyDescent="0.25">
      <c r="A966" t="s">
        <v>3214</v>
      </c>
      <c r="B966" t="s">
        <v>3215</v>
      </c>
      <c r="C966" t="str">
        <f t="shared" si="82"/>
        <v>VC44ET03</v>
      </c>
      <c r="E966" t="s">
        <v>2464</v>
      </c>
      <c r="F966" t="s">
        <v>528</v>
      </c>
      <c r="G966" s="411" t="s">
        <v>3216</v>
      </c>
      <c r="H966">
        <v>2019</v>
      </c>
      <c r="I966" s="68">
        <f>8.3%/8</f>
        <v>1.0375000000000001E-2</v>
      </c>
      <c r="J966" s="68" t="s">
        <v>3218</v>
      </c>
      <c r="K966" t="s">
        <v>3217</v>
      </c>
      <c r="L966" t="s">
        <v>2196</v>
      </c>
      <c r="O966" s="68">
        <f t="shared" si="85"/>
        <v>1.0375000000000001E-2</v>
      </c>
      <c r="P966" t="s">
        <v>2196</v>
      </c>
      <c r="Q966" s="422">
        <v>1</v>
      </c>
      <c r="R966" t="s">
        <v>2975</v>
      </c>
      <c r="S966" s="54"/>
      <c r="T966">
        <v>1</v>
      </c>
      <c r="U966" t="s">
        <v>2873</v>
      </c>
      <c r="V966" t="s">
        <v>805</v>
      </c>
    </row>
    <row r="967" spans="1:22" x14ac:dyDescent="0.25">
      <c r="A967" t="s">
        <v>3214</v>
      </c>
      <c r="B967" t="s">
        <v>3215</v>
      </c>
      <c r="C967" t="str">
        <f t="shared" si="82"/>
        <v>VC44ET04</v>
      </c>
      <c r="E967" t="s">
        <v>2464</v>
      </c>
      <c r="F967" t="s">
        <v>528</v>
      </c>
      <c r="G967" s="411" t="s">
        <v>3216</v>
      </c>
      <c r="H967">
        <v>2019</v>
      </c>
      <c r="I967" s="68">
        <f>8.3%/8</f>
        <v>1.0375000000000001E-2</v>
      </c>
      <c r="J967" s="68"/>
      <c r="K967" t="s">
        <v>3217</v>
      </c>
      <c r="L967" t="s">
        <v>2974</v>
      </c>
      <c r="O967" s="68">
        <f t="shared" si="85"/>
        <v>1.0375000000000001E-2</v>
      </c>
      <c r="P967" t="s">
        <v>2196</v>
      </c>
      <c r="Q967" s="422">
        <v>1</v>
      </c>
      <c r="R967" t="s">
        <v>2975</v>
      </c>
      <c r="S967" s="54"/>
      <c r="T967">
        <v>1</v>
      </c>
      <c r="U967" t="s">
        <v>2874</v>
      </c>
      <c r="V967" t="s">
        <v>809</v>
      </c>
    </row>
    <row r="968" spans="1:22" x14ac:dyDescent="0.25">
      <c r="A968" t="s">
        <v>3214</v>
      </c>
      <c r="B968" t="s">
        <v>3215</v>
      </c>
      <c r="C968" t="str">
        <f t="shared" si="82"/>
        <v>VC44ET05</v>
      </c>
      <c r="E968" t="s">
        <v>2464</v>
      </c>
      <c r="F968" t="s">
        <v>528</v>
      </c>
      <c r="G968" s="411" t="s">
        <v>3216</v>
      </c>
      <c r="H968">
        <v>2019</v>
      </c>
      <c r="I968" s="68">
        <f>8.3%/8</f>
        <v>1.0375000000000001E-2</v>
      </c>
      <c r="J968" s="68"/>
      <c r="K968" t="s">
        <v>3217</v>
      </c>
      <c r="L968" t="s">
        <v>2974</v>
      </c>
      <c r="O968" s="68">
        <f t="shared" si="85"/>
        <v>1.0375000000000001E-2</v>
      </c>
      <c r="P968" t="s">
        <v>2196</v>
      </c>
      <c r="Q968" s="422">
        <v>1</v>
      </c>
      <c r="R968" t="s">
        <v>2975</v>
      </c>
      <c r="S968" s="54"/>
      <c r="T968">
        <v>1</v>
      </c>
      <c r="U968" t="s">
        <v>2875</v>
      </c>
      <c r="V968" t="s">
        <v>2876</v>
      </c>
    </row>
    <row r="969" spans="1:22" x14ac:dyDescent="0.25">
      <c r="A969" t="s">
        <v>3214</v>
      </c>
      <c r="B969" t="s">
        <v>3215</v>
      </c>
      <c r="C969" t="str">
        <f t="shared" si="82"/>
        <v>VC44ET06</v>
      </c>
      <c r="E969" t="s">
        <v>2464</v>
      </c>
      <c r="F969" t="s">
        <v>528</v>
      </c>
      <c r="G969" s="411" t="s">
        <v>3216</v>
      </c>
      <c r="H969">
        <v>2019</v>
      </c>
      <c r="I969" s="68">
        <f>3.5%/8</f>
        <v>4.3750000000000004E-3</v>
      </c>
      <c r="J969" s="68"/>
      <c r="K969" t="s">
        <v>3217</v>
      </c>
      <c r="L969" t="s">
        <v>2974</v>
      </c>
      <c r="O969" s="68">
        <f t="shared" si="85"/>
        <v>4.3750000000000004E-3</v>
      </c>
      <c r="P969" t="s">
        <v>2196</v>
      </c>
      <c r="Q969" s="422">
        <v>1</v>
      </c>
      <c r="R969" t="s">
        <v>2975</v>
      </c>
      <c r="S969" s="54"/>
      <c r="T969">
        <v>1</v>
      </c>
      <c r="U969" t="s">
        <v>2878</v>
      </c>
      <c r="V969" t="s">
        <v>2879</v>
      </c>
    </row>
    <row r="970" spans="1:22" x14ac:dyDescent="0.25">
      <c r="A970" t="s">
        <v>3219</v>
      </c>
      <c r="B970" t="s">
        <v>3215</v>
      </c>
      <c r="C970" t="str">
        <f t="shared" si="82"/>
        <v>VC44ET07</v>
      </c>
      <c r="E970" t="s">
        <v>2464</v>
      </c>
      <c r="F970" t="s">
        <v>528</v>
      </c>
      <c r="G970" s="411" t="s">
        <v>3216</v>
      </c>
      <c r="H970">
        <v>2019</v>
      </c>
      <c r="I970" s="68">
        <f>8.93%/8</f>
        <v>1.1162499999999999E-2</v>
      </c>
      <c r="J970" s="68"/>
      <c r="K970" t="s">
        <v>3217</v>
      </c>
      <c r="L970" t="s">
        <v>2196</v>
      </c>
      <c r="O970" s="68">
        <f t="shared" si="85"/>
        <v>1.1162499999999999E-2</v>
      </c>
      <c r="P970" t="s">
        <v>2196</v>
      </c>
      <c r="Q970" s="422">
        <v>1</v>
      </c>
      <c r="R970" t="s">
        <v>2975</v>
      </c>
      <c r="T970">
        <v>1</v>
      </c>
      <c r="U970" t="s">
        <v>2880</v>
      </c>
      <c r="V970" t="s">
        <v>2881</v>
      </c>
    </row>
    <row r="971" spans="1:22" x14ac:dyDescent="0.25">
      <c r="A971" t="s">
        <v>3214</v>
      </c>
      <c r="B971" t="s">
        <v>3215</v>
      </c>
      <c r="C971" t="str">
        <f t="shared" si="82"/>
        <v>VC44ET12</v>
      </c>
      <c r="E971" t="s">
        <v>2464</v>
      </c>
      <c r="F971" t="s">
        <v>528</v>
      </c>
      <c r="G971" s="411" t="s">
        <v>3216</v>
      </c>
      <c r="H971">
        <v>2019</v>
      </c>
      <c r="I971" s="68">
        <f>8.3%/8</f>
        <v>1.0375000000000001E-2</v>
      </c>
      <c r="J971" s="68"/>
      <c r="K971" t="s">
        <v>3217</v>
      </c>
      <c r="L971" t="s">
        <v>2974</v>
      </c>
      <c r="O971" s="68">
        <f t="shared" si="85"/>
        <v>1.0375000000000001E-2</v>
      </c>
      <c r="P971" t="s">
        <v>2196</v>
      </c>
      <c r="Q971" s="422">
        <v>1</v>
      </c>
      <c r="R971" t="s">
        <v>2975</v>
      </c>
      <c r="T971">
        <v>1</v>
      </c>
      <c r="U971" t="s">
        <v>2882</v>
      </c>
      <c r="V971" t="s">
        <v>2883</v>
      </c>
    </row>
    <row r="972" spans="1:22" x14ac:dyDescent="0.25">
      <c r="A972" t="s">
        <v>3214</v>
      </c>
      <c r="B972" t="s">
        <v>3215</v>
      </c>
      <c r="C972" t="str">
        <f t="shared" si="82"/>
        <v>VC44ET13</v>
      </c>
      <c r="E972" t="s">
        <v>2464</v>
      </c>
      <c r="F972" t="s">
        <v>528</v>
      </c>
      <c r="G972" s="411" t="s">
        <v>3216</v>
      </c>
      <c r="H972">
        <v>2019</v>
      </c>
      <c r="I972" s="68">
        <f>3.5%/8</f>
        <v>4.3750000000000004E-3</v>
      </c>
      <c r="J972" s="68"/>
      <c r="K972" t="s">
        <v>3217</v>
      </c>
      <c r="L972" t="s">
        <v>2974</v>
      </c>
      <c r="O972" s="68">
        <f t="shared" si="85"/>
        <v>4.3750000000000004E-3</v>
      </c>
      <c r="P972" t="s">
        <v>2196</v>
      </c>
      <c r="Q972" s="422">
        <v>1</v>
      </c>
      <c r="R972" t="s">
        <v>2975</v>
      </c>
      <c r="T972">
        <v>1</v>
      </c>
      <c r="U972" t="s">
        <v>2884</v>
      </c>
      <c r="V972" t="s">
        <v>2885</v>
      </c>
    </row>
    <row r="973" spans="1:22" x14ac:dyDescent="0.25">
      <c r="A973" t="s">
        <v>3220</v>
      </c>
      <c r="B973" t="s">
        <v>3215</v>
      </c>
      <c r="C973" t="str">
        <f t="shared" si="82"/>
        <v>VC44ET14</v>
      </c>
      <c r="E973" t="s">
        <v>2464</v>
      </c>
      <c r="F973" t="s">
        <v>528</v>
      </c>
      <c r="G973" s="411" t="s">
        <v>3216</v>
      </c>
      <c r="H973">
        <v>2019</v>
      </c>
      <c r="I973" s="68">
        <f>0.5%/8</f>
        <v>6.2500000000000001E-4</v>
      </c>
      <c r="J973" s="68"/>
      <c r="K973" t="s">
        <v>3217</v>
      </c>
      <c r="L973" t="s">
        <v>2196</v>
      </c>
      <c r="O973" s="68">
        <f t="shared" si="85"/>
        <v>6.2500000000000001E-4</v>
      </c>
      <c r="P973" t="s">
        <v>2196</v>
      </c>
      <c r="Q973" s="422">
        <v>1</v>
      </c>
      <c r="R973" t="s">
        <v>2975</v>
      </c>
      <c r="T973">
        <v>1</v>
      </c>
      <c r="U973" t="s">
        <v>2886</v>
      </c>
      <c r="V973" t="s">
        <v>814</v>
      </c>
    </row>
    <row r="974" spans="1:22" x14ac:dyDescent="0.25">
      <c r="A974" t="s">
        <v>3220</v>
      </c>
      <c r="B974" t="s">
        <v>3215</v>
      </c>
      <c r="C974" t="str">
        <f t="shared" si="82"/>
        <v>VC44ET15</v>
      </c>
      <c r="E974" t="s">
        <v>2464</v>
      </c>
      <c r="F974" t="s">
        <v>528</v>
      </c>
      <c r="G974" s="411" t="s">
        <v>3216</v>
      </c>
      <c r="H974">
        <v>2019</v>
      </c>
      <c r="I974" s="68">
        <f>0.5%/8</f>
        <v>6.2500000000000001E-4</v>
      </c>
      <c r="J974" s="68"/>
      <c r="K974" t="s">
        <v>3217</v>
      </c>
      <c r="L974" t="s">
        <v>2196</v>
      </c>
      <c r="O974" s="68">
        <f t="shared" si="85"/>
        <v>6.2500000000000001E-4</v>
      </c>
      <c r="P974" t="s">
        <v>2196</v>
      </c>
      <c r="Q974" s="422">
        <v>1</v>
      </c>
      <c r="R974" t="s">
        <v>2975</v>
      </c>
      <c r="T974">
        <v>1</v>
      </c>
      <c r="U974" t="s">
        <v>2887</v>
      </c>
      <c r="V974" t="s">
        <v>2888</v>
      </c>
    </row>
    <row r="975" spans="1:22" x14ac:dyDescent="0.25">
      <c r="A975" t="s">
        <v>3221</v>
      </c>
      <c r="B975" t="s">
        <v>3222</v>
      </c>
      <c r="C975" t="str">
        <f t="shared" si="82"/>
        <v>VC45ET</v>
      </c>
      <c r="D975" t="s">
        <v>2749</v>
      </c>
      <c r="E975" t="s">
        <v>2477</v>
      </c>
      <c r="F975" t="s">
        <v>528</v>
      </c>
      <c r="G975" s="411" t="s">
        <v>3216</v>
      </c>
      <c r="H975" t="s">
        <v>3223</v>
      </c>
      <c r="I975" s="413">
        <v>33.4</v>
      </c>
      <c r="J975" s="413"/>
      <c r="K975" t="s">
        <v>3224</v>
      </c>
      <c r="O975" s="68">
        <f>I975/100</f>
        <v>0.33399999999999996</v>
      </c>
      <c r="P975" t="s">
        <v>2911</v>
      </c>
      <c r="T975">
        <v>0</v>
      </c>
      <c r="U975" t="s">
        <v>2851</v>
      </c>
      <c r="V975" t="s">
        <v>594</v>
      </c>
    </row>
    <row r="976" spans="1:22" x14ac:dyDescent="0.25">
      <c r="E976" t="s">
        <v>2492</v>
      </c>
      <c r="G976"/>
      <c r="Q976"/>
    </row>
  </sheetData>
  <phoneticPr fontId="37"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67" sqref="AD67"/>
    </sheetView>
  </sheetViews>
  <sheetFormatPr defaultRowHeight="15" x14ac:dyDescent="0.25"/>
  <cols>
    <col min="12" max="20" width="12.42578125" customWidth="1"/>
    <col min="21" max="21" width="11.5703125" customWidth="1"/>
    <col min="29" max="29" width="12" bestFit="1" customWidth="1"/>
    <col min="30" max="30" width="10.140625" bestFit="1" customWidth="1"/>
    <col min="31" max="31" width="9.140625" bestFit="1" customWidth="1"/>
  </cols>
  <sheetData>
    <row r="2" spans="2:17" x14ac:dyDescent="0.25">
      <c r="Q2" t="s">
        <v>799</v>
      </c>
    </row>
    <row r="4" spans="2:17" x14ac:dyDescent="0.25">
      <c r="B4" t="s">
        <v>800</v>
      </c>
    </row>
    <row r="21" spans="12:20" x14ac:dyDescent="0.25">
      <c r="M21" t="s">
        <v>801</v>
      </c>
    </row>
    <row r="22" spans="12:20" x14ac:dyDescent="0.25">
      <c r="M22" t="s">
        <v>802</v>
      </c>
      <c r="N22" t="s">
        <v>803</v>
      </c>
      <c r="O22" t="s">
        <v>804</v>
      </c>
    </row>
    <row r="23" spans="12:20" x14ac:dyDescent="0.25">
      <c r="L23" t="s">
        <v>805</v>
      </c>
      <c r="M23">
        <v>34.5</v>
      </c>
      <c r="N23">
        <v>10</v>
      </c>
      <c r="O23" s="54">
        <f>T27</f>
        <v>9.1462182718789392E-2</v>
      </c>
    </row>
    <row r="24" spans="12:20" x14ac:dyDescent="0.25">
      <c r="L24" t="s">
        <v>806</v>
      </c>
      <c r="M24">
        <v>40.5</v>
      </c>
      <c r="N24">
        <v>10</v>
      </c>
      <c r="O24" s="54">
        <f>T28</f>
        <v>0.19550000000000001</v>
      </c>
    </row>
    <row r="25" spans="12:20" x14ac:dyDescent="0.25">
      <c r="L25" t="s">
        <v>807</v>
      </c>
      <c r="M25">
        <v>25.25</v>
      </c>
      <c r="N25">
        <v>10</v>
      </c>
      <c r="O25" s="54">
        <f>T29</f>
        <v>8.569319554422225E-2</v>
      </c>
      <c r="Q25" t="s">
        <v>808</v>
      </c>
    </row>
    <row r="26" spans="12:20" x14ac:dyDescent="0.25">
      <c r="L26" t="s">
        <v>809</v>
      </c>
      <c r="M26">
        <v>38.5</v>
      </c>
      <c r="N26">
        <v>10</v>
      </c>
      <c r="O26" s="54">
        <f>T30</f>
        <v>9.1462182718789392E-2</v>
      </c>
      <c r="R26" t="s">
        <v>810</v>
      </c>
      <c r="S26" t="s">
        <v>811</v>
      </c>
      <c r="T26" t="s">
        <v>804</v>
      </c>
    </row>
    <row r="27" spans="12:20" x14ac:dyDescent="0.25">
      <c r="L27" t="s">
        <v>812</v>
      </c>
      <c r="M27">
        <v>29.75</v>
      </c>
      <c r="N27">
        <v>4</v>
      </c>
      <c r="O27" s="54">
        <f>T31</f>
        <v>1</v>
      </c>
      <c r="Q27" t="s">
        <v>805</v>
      </c>
      <c r="R27" s="110">
        <v>12568982</v>
      </c>
      <c r="S27" s="110">
        <v>1265315</v>
      </c>
      <c r="T27" s="61">
        <f>S27/SUM(R27:S27)</f>
        <v>9.1462182718789392E-2</v>
      </c>
    </row>
    <row r="28" spans="12:20" x14ac:dyDescent="0.2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25">
      <c r="Q29" t="s">
        <v>807</v>
      </c>
      <c r="R29" s="110">
        <v>13625000</v>
      </c>
      <c r="S29" s="110">
        <v>1277000</v>
      </c>
      <c r="T29" s="61">
        <f>S29/SUM(R29:S29)</f>
        <v>8.569319554422225E-2</v>
      </c>
    </row>
    <row r="30" spans="12:20" x14ac:dyDescent="0.25">
      <c r="Q30" t="s">
        <v>809</v>
      </c>
      <c r="R30" s="110">
        <v>12568982</v>
      </c>
      <c r="S30" s="110">
        <v>1265315</v>
      </c>
      <c r="T30" s="61">
        <f>S30/SUM(R30:S30)</f>
        <v>9.1462182718789392E-2</v>
      </c>
    </row>
    <row r="31" spans="12:20" x14ac:dyDescent="0.25">
      <c r="Q31" t="s">
        <v>814</v>
      </c>
      <c r="T31" s="54">
        <v>1</v>
      </c>
    </row>
    <row r="37" spans="20:33" x14ac:dyDescent="0.25">
      <c r="Z37" t="s">
        <v>815</v>
      </c>
    </row>
    <row r="38" spans="20:33" x14ac:dyDescent="0.25">
      <c r="Y38">
        <v>32</v>
      </c>
      <c r="Z38" t="s">
        <v>816</v>
      </c>
    </row>
    <row r="40" spans="20:33" ht="15.75" thickBot="1" x14ac:dyDescent="0.3"/>
    <row r="41" spans="20:33" x14ac:dyDescent="0.25">
      <c r="T41" s="92"/>
      <c r="U41" s="435" t="s">
        <v>817</v>
      </c>
      <c r="V41" s="436"/>
      <c r="W41" s="437"/>
      <c r="X41" s="97"/>
      <c r="Y41" s="435" t="s">
        <v>815</v>
      </c>
      <c r="Z41" s="436"/>
      <c r="AA41" s="437"/>
      <c r="AC41" s="92"/>
      <c r="AD41" s="436" t="s">
        <v>815</v>
      </c>
      <c r="AE41" s="436"/>
      <c r="AF41" s="437"/>
    </row>
    <row r="42" spans="20:33" ht="15.75" thickBot="1" x14ac:dyDescent="0.3">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2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2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2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5.75" thickBot="1" x14ac:dyDescent="0.3">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5.75" thickBot="1" x14ac:dyDescent="0.3">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5.75" thickBot="1" x14ac:dyDescent="0.3">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2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5.75" thickBot="1" x14ac:dyDescent="0.3">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2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2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1944</v>
      </c>
    </row>
    <row r="53" spans="20:33" ht="15.75" thickBot="1" x14ac:dyDescent="0.3">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1950</v>
      </c>
    </row>
    <row r="54" spans="20:33" x14ac:dyDescent="0.25">
      <c r="T54" t="s">
        <v>1951</v>
      </c>
      <c r="AC54" t="s">
        <v>1942</v>
      </c>
      <c r="AD54" s="3">
        <f>Y47+Y48+Y49</f>
        <v>1.952</v>
      </c>
      <c r="AE54" s="3">
        <f>AA47+AA48+AA49</f>
        <v>1.8559999999999999</v>
      </c>
      <c r="AF54" t="s">
        <v>1948</v>
      </c>
    </row>
    <row r="55" spans="20:33" ht="15.75" thickBot="1" x14ac:dyDescent="0.3">
      <c r="T55" t="s">
        <v>1952</v>
      </c>
      <c r="AC55" t="s">
        <v>1943</v>
      </c>
      <c r="AD55" s="3">
        <f>(Y46*48*AD58)/AC58</f>
        <v>7.6407411984354356E-2</v>
      </c>
      <c r="AE55" s="3">
        <f>(AA46*48*AD58)/AC58</f>
        <v>7.5249723923985351E-2</v>
      </c>
      <c r="AF55" t="s">
        <v>1950</v>
      </c>
    </row>
    <row r="56" spans="20:33" x14ac:dyDescent="0.25">
      <c r="Y56" s="435" t="s">
        <v>815</v>
      </c>
      <c r="Z56" s="436"/>
      <c r="AA56" s="437"/>
    </row>
    <row r="57" spans="20:33" ht="15.75" thickBot="1" x14ac:dyDescent="0.3">
      <c r="X57" t="s">
        <v>2799</v>
      </c>
      <c r="Y57" s="93" t="s">
        <v>212</v>
      </c>
      <c r="Z57" s="95" t="s">
        <v>338</v>
      </c>
      <c r="AA57" s="96" t="s">
        <v>339</v>
      </c>
      <c r="AC57" t="s">
        <v>1945</v>
      </c>
      <c r="AD57" t="s">
        <v>1946</v>
      </c>
    </row>
    <row r="58" spans="20:33" x14ac:dyDescent="0.25">
      <c r="X58" s="92" t="s">
        <v>822</v>
      </c>
      <c r="Y58" s="394">
        <f>Y44</f>
        <v>2.976</v>
      </c>
      <c r="Z58" s="394">
        <f t="shared" ref="Z58:AA58" si="4">Z44</f>
        <v>3.2320000000000002</v>
      </c>
      <c r="AA58" s="395">
        <f t="shared" si="4"/>
        <v>2.88</v>
      </c>
      <c r="AC58" s="6">
        <f>SUM('Pop M'!I481:AC481)*1000+SUM('Pop F'!I481:AC481)*1000</f>
        <v>100835453</v>
      </c>
      <c r="AD58" s="6">
        <v>38000</v>
      </c>
      <c r="AE58" t="s">
        <v>1947</v>
      </c>
    </row>
    <row r="59" spans="20:33" x14ac:dyDescent="0.25">
      <c r="X59" s="64" t="s">
        <v>831</v>
      </c>
      <c r="Y59" s="396">
        <f>Y48</f>
        <v>1.024</v>
      </c>
      <c r="Z59" s="396">
        <f t="shared" ref="Z59:AA59" si="5">Z48</f>
        <v>1.1839999999999999</v>
      </c>
      <c r="AA59" s="397">
        <f t="shared" si="5"/>
        <v>0.96</v>
      </c>
    </row>
    <row r="60" spans="20:33" ht="15.75" thickBot="1" x14ac:dyDescent="0.3">
      <c r="X60" s="93" t="s">
        <v>832</v>
      </c>
      <c r="Y60" s="398">
        <f>Y49</f>
        <v>0.51200000000000001</v>
      </c>
      <c r="Z60" s="398">
        <f t="shared" ref="Z60:AA60" si="6">Z49</f>
        <v>0.83199999999999996</v>
      </c>
      <c r="AA60" s="399">
        <f t="shared" si="6"/>
        <v>0.38400000000000001</v>
      </c>
      <c r="AE60" t="s">
        <v>2807</v>
      </c>
      <c r="AF60" t="s">
        <v>2808</v>
      </c>
    </row>
    <row r="61" spans="20:33" ht="15.75" thickBot="1" x14ac:dyDescent="0.3">
      <c r="X61" s="321" t="s">
        <v>2800</v>
      </c>
      <c r="Y61" s="393">
        <f>SUM(Y58:Y60)</f>
        <v>4.5120000000000005</v>
      </c>
      <c r="Z61" s="393">
        <f>SUM(Z58:Z60)</f>
        <v>5.2480000000000002</v>
      </c>
      <c r="AA61" s="393">
        <f>SUM(AA58:AA60)</f>
        <v>4.2240000000000002</v>
      </c>
      <c r="AD61" t="s">
        <v>2809</v>
      </c>
      <c r="AE61" s="3">
        <f>Y61</f>
        <v>4.5120000000000005</v>
      </c>
      <c r="AF61" s="3">
        <f>AA61</f>
        <v>4.2240000000000002</v>
      </c>
      <c r="AG61" t="s">
        <v>1948</v>
      </c>
    </row>
    <row r="62" spans="20:33" x14ac:dyDescent="0.25">
      <c r="Y62" s="435" t="s">
        <v>815</v>
      </c>
      <c r="Z62" s="436"/>
      <c r="AA62" s="437"/>
    </row>
    <row r="63" spans="20:33" ht="15.75" thickBot="1" x14ac:dyDescent="0.3">
      <c r="X63" t="s">
        <v>2801</v>
      </c>
      <c r="Y63" s="93" t="s">
        <v>212</v>
      </c>
      <c r="Z63" s="95" t="s">
        <v>338</v>
      </c>
      <c r="AA63" s="96" t="s">
        <v>339</v>
      </c>
      <c r="AD63" t="s">
        <v>2804</v>
      </c>
      <c r="AE63" s="195">
        <f>(Y66*48*AD58)/AC58</f>
        <v>7.6986256014538859E-2</v>
      </c>
      <c r="AF63" s="195">
        <f>(AA66*48*AD58)/AC58</f>
        <v>4.7465210475129221E-2</v>
      </c>
      <c r="AG63" t="s">
        <v>2806</v>
      </c>
    </row>
    <row r="64" spans="20:33" x14ac:dyDescent="0.25">
      <c r="X64" s="92" t="s">
        <v>829</v>
      </c>
      <c r="Y64" s="394">
        <f>Y50</f>
        <v>4.96</v>
      </c>
      <c r="Z64" s="97">
        <f t="shared" ref="Z64:AA64" si="7">Z50</f>
        <v>4.6079999999999997</v>
      </c>
      <c r="AA64" s="318">
        <f t="shared" si="7"/>
        <v>5.12</v>
      </c>
      <c r="AB64" t="s">
        <v>2811</v>
      </c>
      <c r="AE64" s="195"/>
      <c r="AF64" s="195"/>
    </row>
    <row r="65" spans="24:33" x14ac:dyDescent="0.25">
      <c r="X65" s="64" t="str">
        <f>T45</f>
        <v>mapping &amp; mobilization</v>
      </c>
      <c r="Y65" s="396">
        <f>Y45</f>
        <v>0.25600000000000001</v>
      </c>
      <c r="Z65" s="319">
        <f t="shared" ref="Z65:AA65" si="8">Z45</f>
        <v>0.35199999999999998</v>
      </c>
      <c r="AA65" s="320">
        <f t="shared" si="8"/>
        <v>0.224</v>
      </c>
      <c r="AB65" t="s">
        <v>2810</v>
      </c>
      <c r="AD65" t="s">
        <v>2805</v>
      </c>
      <c r="AE65" s="195">
        <f>(Y72*48*AD58)/AC58</f>
        <v>8.3932384376752905E-2</v>
      </c>
      <c r="AF65" s="195">
        <f>(AA72*48*AD58)/AC58</f>
        <v>8.4511228406937408E-2</v>
      </c>
      <c r="AG65" t="s">
        <v>2806</v>
      </c>
    </row>
    <row r="66" spans="24:33" ht="15.75" thickBot="1" x14ac:dyDescent="0.3">
      <c r="X66" s="93" t="s">
        <v>836</v>
      </c>
      <c r="Y66" s="398">
        <f>Y52</f>
        <v>4.2560000000000002</v>
      </c>
      <c r="Z66" s="95">
        <f t="shared" ref="Z66:AA66" si="9">Z52</f>
        <v>8.7040000000000006</v>
      </c>
      <c r="AA66" s="96">
        <f t="shared" si="9"/>
        <v>2.6240000000000001</v>
      </c>
      <c r="AB66" t="s">
        <v>2810</v>
      </c>
    </row>
    <row r="67" spans="24:33" ht="15.75" thickBot="1" x14ac:dyDescent="0.3">
      <c r="X67" s="321" t="s">
        <v>2803</v>
      </c>
      <c r="Y67" s="393">
        <f>SUM(Y64:Y66)</f>
        <v>9.4720000000000013</v>
      </c>
      <c r="Z67" s="393">
        <f>SUM(Z64:Z66)</f>
        <v>13.664000000000001</v>
      </c>
      <c r="AA67" s="393">
        <f>SUM(AA64:AA66)</f>
        <v>7.968</v>
      </c>
    </row>
    <row r="68" spans="24:33" x14ac:dyDescent="0.25">
      <c r="Y68" s="435" t="s">
        <v>815</v>
      </c>
      <c r="Z68" s="436"/>
      <c r="AA68" s="437"/>
    </row>
    <row r="69" spans="24:33" ht="15.75" thickBot="1" x14ac:dyDescent="0.3">
      <c r="X69" t="s">
        <v>2802</v>
      </c>
      <c r="Y69" s="64" t="s">
        <v>212</v>
      </c>
      <c r="Z69" s="319" t="s">
        <v>338</v>
      </c>
      <c r="AA69" s="320" t="s">
        <v>339</v>
      </c>
    </row>
    <row r="70" spans="24:33" x14ac:dyDescent="0.25">
      <c r="X70" s="92" t="s">
        <v>828</v>
      </c>
      <c r="Y70" s="394">
        <f>Y46</f>
        <v>4.2240000000000002</v>
      </c>
      <c r="Z70" s="394">
        <f>Z46</f>
        <v>4.3520000000000003</v>
      </c>
      <c r="AA70" s="395">
        <f>AA46</f>
        <v>4.16</v>
      </c>
    </row>
    <row r="71" spans="24:33" ht="15.75" thickBot="1" x14ac:dyDescent="0.3">
      <c r="X71" s="400" t="str">
        <f>T47</f>
        <v>commodities + supplies</v>
      </c>
      <c r="Y71" s="398">
        <f>Y47</f>
        <v>0.41599999999999998</v>
      </c>
      <c r="Z71" s="398">
        <f t="shared" ref="Z71:AA71" si="10">Z47</f>
        <v>0.128</v>
      </c>
      <c r="AA71" s="399">
        <f t="shared" si="10"/>
        <v>0.51200000000000001</v>
      </c>
    </row>
    <row r="72" spans="24:33" x14ac:dyDescent="0.2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109375" defaultRowHeight="15.75" x14ac:dyDescent="0.25"/>
  <cols>
    <col min="1" max="1" width="11.5703125" style="202" customWidth="1"/>
    <col min="2" max="2" width="12.5703125" style="202" customWidth="1"/>
    <col min="3" max="108" width="17.140625" style="202" customWidth="1"/>
    <col min="109" max="16384" width="8.7109375" style="202"/>
  </cols>
  <sheetData>
    <row r="1" spans="1:14" s="280" customFormat="1" ht="47.25" x14ac:dyDescent="0.25">
      <c r="B1" s="280" t="s">
        <v>928</v>
      </c>
      <c r="C1" s="280" t="s">
        <v>928</v>
      </c>
      <c r="D1" s="280" t="s">
        <v>1779</v>
      </c>
      <c r="E1" s="280" t="s">
        <v>1777</v>
      </c>
      <c r="F1" s="280" t="s">
        <v>1775</v>
      </c>
      <c r="G1" s="280" t="s">
        <v>1773</v>
      </c>
      <c r="H1" s="280" t="s">
        <v>1771</v>
      </c>
      <c r="I1" s="280" t="s">
        <v>1769</v>
      </c>
      <c r="J1" s="280" t="s">
        <v>1767</v>
      </c>
    </row>
    <row r="2" spans="1:14" x14ac:dyDescent="0.25">
      <c r="A2" s="438" t="s">
        <v>82</v>
      </c>
      <c r="B2" s="202" t="s">
        <v>923</v>
      </c>
      <c r="C2" s="202" t="s">
        <v>1787</v>
      </c>
      <c r="D2" s="202" t="s">
        <v>118</v>
      </c>
      <c r="E2" s="202" t="s">
        <v>118</v>
      </c>
      <c r="F2" s="202" t="s">
        <v>118</v>
      </c>
      <c r="G2" s="202" t="s">
        <v>118</v>
      </c>
      <c r="H2" s="202" t="s">
        <v>118</v>
      </c>
      <c r="I2" s="202" t="s">
        <v>118</v>
      </c>
      <c r="J2" s="202" t="s">
        <v>118</v>
      </c>
    </row>
    <row r="3" spans="1:14" x14ac:dyDescent="0.25">
      <c r="A3" s="438"/>
      <c r="B3" s="202" t="s">
        <v>594</v>
      </c>
      <c r="C3" s="202" t="s">
        <v>1786</v>
      </c>
      <c r="D3" s="203">
        <v>72</v>
      </c>
      <c r="E3" s="203">
        <v>195</v>
      </c>
      <c r="F3" s="203">
        <v>202</v>
      </c>
      <c r="G3" s="203">
        <v>162</v>
      </c>
      <c r="H3" s="203">
        <v>119</v>
      </c>
      <c r="I3" s="203">
        <v>49</v>
      </c>
      <c r="J3" s="203">
        <v>14</v>
      </c>
    </row>
    <row r="4" spans="1:14" x14ac:dyDescent="0.25">
      <c r="A4" s="438"/>
      <c r="B4" s="202" t="s">
        <v>594</v>
      </c>
      <c r="C4" s="202" t="s">
        <v>1785</v>
      </c>
      <c r="D4" s="202">
        <v>80</v>
      </c>
      <c r="E4" s="202">
        <v>200</v>
      </c>
      <c r="F4" s="202">
        <v>214</v>
      </c>
      <c r="G4" s="202">
        <v>190</v>
      </c>
      <c r="H4" s="202">
        <v>138</v>
      </c>
      <c r="I4" s="202">
        <v>69</v>
      </c>
      <c r="J4" s="202">
        <v>22</v>
      </c>
      <c r="M4" s="202" t="s">
        <v>1781</v>
      </c>
      <c r="N4" s="202" t="s">
        <v>1780</v>
      </c>
    </row>
    <row r="5" spans="1:14" x14ac:dyDescent="0.25">
      <c r="A5" s="438"/>
      <c r="B5" s="202" t="s">
        <v>594</v>
      </c>
      <c r="C5" s="202" t="s">
        <v>1784</v>
      </c>
      <c r="D5" s="202">
        <v>79</v>
      </c>
      <c r="E5" s="202">
        <v>206</v>
      </c>
      <c r="F5" s="202">
        <v>237</v>
      </c>
      <c r="G5" s="202">
        <v>194</v>
      </c>
      <c r="H5" s="202">
        <v>147</v>
      </c>
      <c r="I5" s="202">
        <v>69</v>
      </c>
      <c r="J5" s="202">
        <v>28</v>
      </c>
      <c r="M5" s="202" t="s">
        <v>1779</v>
      </c>
      <c r="N5" s="202" t="s">
        <v>1778</v>
      </c>
    </row>
    <row r="6" spans="1:14" x14ac:dyDescent="0.25">
      <c r="A6" s="438"/>
      <c r="B6" s="202" t="s">
        <v>594</v>
      </c>
      <c r="C6" s="202" t="s">
        <v>1783</v>
      </c>
      <c r="D6" s="202">
        <v>104</v>
      </c>
      <c r="E6" s="202">
        <v>228</v>
      </c>
      <c r="F6" s="202">
        <v>241</v>
      </c>
      <c r="G6" s="202">
        <v>231</v>
      </c>
      <c r="H6" s="202">
        <v>160</v>
      </c>
      <c r="I6" s="202">
        <v>84</v>
      </c>
      <c r="J6" s="202">
        <v>34</v>
      </c>
      <c r="M6" s="202" t="s">
        <v>1777</v>
      </c>
      <c r="N6" s="202" t="s">
        <v>1776</v>
      </c>
    </row>
    <row r="7" spans="1:14" x14ac:dyDescent="0.25">
      <c r="A7" s="438"/>
      <c r="B7" s="202" t="s">
        <v>594</v>
      </c>
      <c r="C7" s="202" t="s">
        <v>1782</v>
      </c>
      <c r="D7" s="202">
        <v>100</v>
      </c>
      <c r="E7" s="202">
        <v>235</v>
      </c>
      <c r="F7" s="202">
        <v>251</v>
      </c>
      <c r="G7" s="202">
        <v>243</v>
      </c>
      <c r="H7" s="202">
        <v>168</v>
      </c>
      <c r="I7" s="202">
        <v>89</v>
      </c>
      <c r="J7" s="202">
        <v>19</v>
      </c>
      <c r="M7" s="202" t="s">
        <v>1775</v>
      </c>
      <c r="N7" s="202" t="s">
        <v>1774</v>
      </c>
    </row>
    <row r="8" spans="1:14" x14ac:dyDescent="0.25">
      <c r="A8" s="438"/>
      <c r="M8" s="202" t="s">
        <v>1773</v>
      </c>
      <c r="N8" s="202" t="s">
        <v>1772</v>
      </c>
    </row>
    <row r="9" spans="1:14" x14ac:dyDescent="0.25">
      <c r="A9" s="438"/>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25">
      <c r="A10" s="438"/>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2085</v>
      </c>
      <c r="M10" s="202" t="s">
        <v>1769</v>
      </c>
      <c r="N10" s="202" t="s">
        <v>1768</v>
      </c>
    </row>
    <row r="11" spans="1:14" x14ac:dyDescent="0.25">
      <c r="A11" s="438"/>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2086</v>
      </c>
      <c r="M11" s="202" t="s">
        <v>1767</v>
      </c>
      <c r="N11" s="202" t="s">
        <v>1766</v>
      </c>
    </row>
    <row r="12" spans="1:14" x14ac:dyDescent="0.25">
      <c r="A12" s="438"/>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25">
      <c r="A13" s="438"/>
      <c r="C13" s="202" t="s">
        <v>2076</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25">
      <c r="A14" s="438"/>
      <c r="C14" s="202" t="s">
        <v>2077</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25">
      <c r="A15" s="438"/>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5" x14ac:dyDescent="0.25">
      <c r="B16" t="s">
        <v>928</v>
      </c>
      <c r="C16" t="s">
        <v>928</v>
      </c>
    </row>
    <row r="17" spans="1:19" customFormat="1" x14ac:dyDescent="0.25">
      <c r="A17" s="439"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25">
      <c r="A18" s="439"/>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25">
      <c r="A19" s="439"/>
      <c r="B19" t="s">
        <v>594</v>
      </c>
      <c r="C19" t="s">
        <v>1785</v>
      </c>
      <c r="D19">
        <v>20</v>
      </c>
      <c r="E19">
        <v>113</v>
      </c>
      <c r="F19">
        <v>120</v>
      </c>
      <c r="G19">
        <v>112</v>
      </c>
      <c r="H19">
        <v>77</v>
      </c>
      <c r="I19">
        <v>14</v>
      </c>
      <c r="J19">
        <v>0</v>
      </c>
      <c r="K19" s="202"/>
      <c r="L19" s="202"/>
      <c r="M19" s="202"/>
      <c r="O19" s="202"/>
      <c r="P19" s="202"/>
      <c r="R19" s="202"/>
      <c r="S19" s="202"/>
    </row>
    <row r="20" spans="1:19" customFormat="1" x14ac:dyDescent="0.25">
      <c r="A20" s="439"/>
      <c r="B20" t="s">
        <v>594</v>
      </c>
      <c r="C20" t="s">
        <v>1784</v>
      </c>
      <c r="D20">
        <v>27</v>
      </c>
      <c r="E20">
        <v>124</v>
      </c>
      <c r="F20">
        <v>158</v>
      </c>
      <c r="G20">
        <v>100</v>
      </c>
      <c r="H20">
        <v>75</v>
      </c>
      <c r="I20">
        <v>21</v>
      </c>
      <c r="J20">
        <v>22</v>
      </c>
      <c r="K20" s="202"/>
      <c r="L20" s="202"/>
      <c r="M20" s="202"/>
      <c r="O20" s="202"/>
      <c r="P20" s="202"/>
      <c r="R20" s="202"/>
      <c r="S20" s="202"/>
    </row>
    <row r="21" spans="1:19" customFormat="1" x14ac:dyDescent="0.25">
      <c r="A21" s="439"/>
      <c r="B21" t="s">
        <v>594</v>
      </c>
      <c r="C21" t="s">
        <v>1783</v>
      </c>
      <c r="D21">
        <v>35</v>
      </c>
      <c r="E21">
        <v>105</v>
      </c>
      <c r="F21">
        <v>133</v>
      </c>
      <c r="G21">
        <v>101</v>
      </c>
      <c r="H21">
        <v>58</v>
      </c>
      <c r="I21">
        <v>28</v>
      </c>
      <c r="J21">
        <v>14</v>
      </c>
      <c r="K21" s="202"/>
      <c r="L21" s="202"/>
      <c r="M21" s="202"/>
      <c r="O21" s="202"/>
      <c r="P21" s="202"/>
      <c r="R21" s="202"/>
      <c r="S21" s="202"/>
    </row>
    <row r="22" spans="1:19" customFormat="1" x14ac:dyDescent="0.25">
      <c r="A22" s="439"/>
      <c r="B22" t="s">
        <v>594</v>
      </c>
      <c r="C22" t="s">
        <v>1782</v>
      </c>
      <c r="D22">
        <v>50</v>
      </c>
      <c r="E22">
        <v>139</v>
      </c>
      <c r="F22">
        <v>142</v>
      </c>
      <c r="G22">
        <v>155</v>
      </c>
      <c r="H22">
        <v>92</v>
      </c>
      <c r="I22">
        <v>17</v>
      </c>
      <c r="J22">
        <v>5</v>
      </c>
      <c r="K22" s="202"/>
      <c r="L22" s="202"/>
      <c r="M22" s="202"/>
      <c r="O22" s="202"/>
      <c r="P22" s="202"/>
      <c r="R22" s="202"/>
      <c r="S22" s="202"/>
    </row>
    <row r="23" spans="1:19" x14ac:dyDescent="0.25">
      <c r="A23" s="439"/>
      <c r="M23" s="202" t="s">
        <v>1773</v>
      </c>
      <c r="N23" s="202" t="s">
        <v>1772</v>
      </c>
    </row>
    <row r="24" spans="1:19" x14ac:dyDescent="0.25">
      <c r="A24" s="439"/>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25">
      <c r="A25" s="439"/>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25">
      <c r="A26" s="439"/>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25">
      <c r="A27" s="439"/>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25">
      <c r="A28" s="439"/>
      <c r="C28" s="202" t="s">
        <v>2076</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25">
      <c r="A29" s="279"/>
      <c r="C29" s="202" t="s">
        <v>2077</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25">
      <c r="A30" s="279"/>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25">
      <c r="A32" s="439" t="s">
        <v>84</v>
      </c>
      <c r="B32" t="s">
        <v>923</v>
      </c>
      <c r="C32" t="s">
        <v>1787</v>
      </c>
      <c r="D32" t="s">
        <v>84</v>
      </c>
      <c r="E32" t="s">
        <v>84</v>
      </c>
      <c r="F32" t="s">
        <v>84</v>
      </c>
      <c r="G32" t="s">
        <v>84</v>
      </c>
      <c r="H32" t="s">
        <v>84</v>
      </c>
      <c r="I32" t="s">
        <v>84</v>
      </c>
      <c r="J32" t="s">
        <v>84</v>
      </c>
    </row>
    <row r="33" spans="1:14" x14ac:dyDescent="0.25">
      <c r="A33" s="439"/>
      <c r="B33" t="s">
        <v>594</v>
      </c>
      <c r="C33" t="s">
        <v>1786</v>
      </c>
      <c r="D33" s="59">
        <v>83</v>
      </c>
      <c r="E33" s="59">
        <v>219</v>
      </c>
      <c r="F33" s="59">
        <v>225</v>
      </c>
      <c r="G33" s="59">
        <v>175</v>
      </c>
      <c r="H33" s="59">
        <v>123</v>
      </c>
      <c r="I33" s="59">
        <v>54</v>
      </c>
      <c r="J33" s="59">
        <v>19</v>
      </c>
    </row>
    <row r="34" spans="1:14" x14ac:dyDescent="0.25">
      <c r="A34" s="439"/>
      <c r="B34" t="s">
        <v>594</v>
      </c>
      <c r="C34" t="s">
        <v>1785</v>
      </c>
      <c r="D34">
        <v>98</v>
      </c>
      <c r="E34">
        <v>230</v>
      </c>
      <c r="F34">
        <v>243</v>
      </c>
      <c r="G34">
        <v>210</v>
      </c>
      <c r="H34">
        <v>153</v>
      </c>
      <c r="I34">
        <v>80</v>
      </c>
      <c r="J34">
        <v>27</v>
      </c>
    </row>
    <row r="35" spans="1:14" x14ac:dyDescent="0.25">
      <c r="A35" s="439"/>
      <c r="B35" t="s">
        <v>594</v>
      </c>
      <c r="C35" t="s">
        <v>1784</v>
      </c>
      <c r="D35">
        <v>100</v>
      </c>
      <c r="E35">
        <v>235</v>
      </c>
      <c r="F35">
        <v>263</v>
      </c>
      <c r="G35">
        <v>221</v>
      </c>
      <c r="H35">
        <v>167</v>
      </c>
      <c r="I35">
        <v>78</v>
      </c>
      <c r="J35">
        <v>29</v>
      </c>
    </row>
    <row r="36" spans="1:14" x14ac:dyDescent="0.25">
      <c r="A36" s="439"/>
      <c r="B36" t="s">
        <v>594</v>
      </c>
      <c r="C36" t="s">
        <v>1783</v>
      </c>
      <c r="D36">
        <v>122</v>
      </c>
      <c r="E36">
        <v>260</v>
      </c>
      <c r="F36">
        <v>261</v>
      </c>
      <c r="G36">
        <v>253</v>
      </c>
      <c r="H36">
        <v>178</v>
      </c>
      <c r="I36">
        <v>94</v>
      </c>
      <c r="J36">
        <v>38</v>
      </c>
    </row>
    <row r="37" spans="1:14" x14ac:dyDescent="0.25">
      <c r="A37" s="439"/>
      <c r="B37" t="s">
        <v>594</v>
      </c>
      <c r="C37" t="s">
        <v>1782</v>
      </c>
      <c r="D37">
        <v>114</v>
      </c>
      <c r="E37">
        <v>256</v>
      </c>
      <c r="F37">
        <v>278</v>
      </c>
      <c r="G37">
        <v>259</v>
      </c>
      <c r="H37">
        <v>183</v>
      </c>
      <c r="I37">
        <v>99</v>
      </c>
      <c r="J37">
        <v>21</v>
      </c>
    </row>
    <row r="38" spans="1:14" x14ac:dyDescent="0.25">
      <c r="A38" s="439"/>
      <c r="M38" s="202" t="s">
        <v>1773</v>
      </c>
      <c r="N38" s="202" t="s">
        <v>1772</v>
      </c>
    </row>
    <row r="39" spans="1:14" x14ac:dyDescent="0.25">
      <c r="A39" s="439"/>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25">
      <c r="A40" s="439"/>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25">
      <c r="A41" s="439"/>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25">
      <c r="A42" s="439"/>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25">
      <c r="A43" s="439"/>
      <c r="C43" s="202" t="s">
        <v>2076</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25">
      <c r="A44" s="439"/>
      <c r="C44" s="202" t="s">
        <v>2077</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25">
      <c r="A45" s="439"/>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25">
      <c r="C47" s="202" t="s">
        <v>1988</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25">
      <c r="C48" s="202" t="s">
        <v>1990</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25">
      <c r="C49" s="202" t="s">
        <v>1991</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25">
      <c r="C50" s="202" t="s">
        <v>1989</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25">
      <c r="D51" s="260"/>
      <c r="E51" s="260"/>
      <c r="F51" s="260"/>
      <c r="G51" s="260"/>
      <c r="H51" s="260"/>
      <c r="I51" s="260"/>
      <c r="J51" s="260"/>
    </row>
    <row r="52" spans="1:10" x14ac:dyDescent="0.25">
      <c r="B52" s="202" t="s">
        <v>1788</v>
      </c>
      <c r="C52" t="s">
        <v>1977</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25">
      <c r="C53" t="s">
        <v>1978</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25">
      <c r="C54" t="s">
        <v>1979</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25">
      <c r="C55" t="s">
        <v>1980</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25">
      <c r="C56" t="s">
        <v>1981</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25">
      <c r="C57" t="s">
        <v>1982</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25">
      <c r="C58" t="s">
        <v>1983</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25">
      <c r="C59" t="s">
        <v>1984</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25">
      <c r="C60" t="s">
        <v>1985</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25">
      <c r="C61" t="s">
        <v>1986</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25">
      <c r="C62" t="s">
        <v>1987</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25">
      <c r="C63"/>
    </row>
    <row r="64" spans="1:10" x14ac:dyDescent="0.25">
      <c r="A64" t="s">
        <v>923</v>
      </c>
      <c r="B64" t="s">
        <v>1787</v>
      </c>
      <c r="C64" t="s">
        <v>1976</v>
      </c>
      <c r="D64" t="s">
        <v>1779</v>
      </c>
      <c r="E64" t="s">
        <v>1777</v>
      </c>
      <c r="F64" t="s">
        <v>1775</v>
      </c>
      <c r="G64" t="s">
        <v>1773</v>
      </c>
      <c r="H64" t="s">
        <v>1771</v>
      </c>
      <c r="I64" t="s">
        <v>1769</v>
      </c>
      <c r="J64" t="s">
        <v>1767</v>
      </c>
    </row>
    <row r="65" spans="1:10" x14ac:dyDescent="0.25">
      <c r="A65" t="s">
        <v>594</v>
      </c>
      <c r="B65" t="s">
        <v>1786</v>
      </c>
      <c r="C65" t="s">
        <v>118</v>
      </c>
      <c r="D65">
        <v>72</v>
      </c>
      <c r="E65">
        <v>195</v>
      </c>
      <c r="F65">
        <v>202</v>
      </c>
      <c r="G65">
        <v>162</v>
      </c>
      <c r="H65">
        <v>119</v>
      </c>
      <c r="I65">
        <v>49</v>
      </c>
      <c r="J65">
        <v>14</v>
      </c>
    </row>
    <row r="66" spans="1:10" x14ac:dyDescent="0.25">
      <c r="A66" t="s">
        <v>594</v>
      </c>
      <c r="B66" t="s">
        <v>1786</v>
      </c>
      <c r="C66" t="s">
        <v>1977</v>
      </c>
      <c r="D66">
        <v>71</v>
      </c>
      <c r="E66">
        <v>166</v>
      </c>
      <c r="F66">
        <v>168</v>
      </c>
      <c r="G66">
        <v>184</v>
      </c>
      <c r="H66">
        <v>128</v>
      </c>
      <c r="I66">
        <v>70</v>
      </c>
      <c r="J66" t="s">
        <v>928</v>
      </c>
    </row>
    <row r="67" spans="1:10" x14ac:dyDescent="0.25">
      <c r="A67" t="s">
        <v>594</v>
      </c>
      <c r="B67" t="s">
        <v>1786</v>
      </c>
      <c r="C67" t="s">
        <v>1978</v>
      </c>
      <c r="D67">
        <v>204</v>
      </c>
      <c r="E67">
        <v>299</v>
      </c>
      <c r="F67">
        <v>278</v>
      </c>
      <c r="G67">
        <v>149</v>
      </c>
      <c r="H67">
        <v>112</v>
      </c>
      <c r="I67" t="s">
        <v>928</v>
      </c>
      <c r="J67" t="s">
        <v>928</v>
      </c>
    </row>
    <row r="68" spans="1:10" x14ac:dyDescent="0.25">
      <c r="A68" t="s">
        <v>594</v>
      </c>
      <c r="B68" t="s">
        <v>1786</v>
      </c>
      <c r="C68" t="s">
        <v>1979</v>
      </c>
      <c r="D68">
        <v>42</v>
      </c>
      <c r="E68">
        <v>157</v>
      </c>
      <c r="F68">
        <v>195</v>
      </c>
      <c r="G68">
        <v>144</v>
      </c>
      <c r="H68">
        <v>118</v>
      </c>
      <c r="I68">
        <v>46</v>
      </c>
      <c r="J68" t="s">
        <v>928</v>
      </c>
    </row>
    <row r="69" spans="1:10" x14ac:dyDescent="0.25">
      <c r="A69" t="s">
        <v>594</v>
      </c>
      <c r="B69" t="s">
        <v>1786</v>
      </c>
      <c r="C69" t="s">
        <v>1980</v>
      </c>
      <c r="D69">
        <v>89</v>
      </c>
      <c r="E69">
        <v>235</v>
      </c>
      <c r="F69">
        <v>205</v>
      </c>
      <c r="G69">
        <v>163</v>
      </c>
      <c r="H69">
        <v>113</v>
      </c>
      <c r="I69">
        <v>54</v>
      </c>
      <c r="J69" t="s">
        <v>928</v>
      </c>
    </row>
    <row r="70" spans="1:10" x14ac:dyDescent="0.25">
      <c r="A70" t="s">
        <v>594</v>
      </c>
      <c r="B70" t="s">
        <v>1786</v>
      </c>
      <c r="C70" t="s">
        <v>1981</v>
      </c>
      <c r="D70">
        <v>95</v>
      </c>
      <c r="E70">
        <v>264</v>
      </c>
      <c r="F70">
        <v>274</v>
      </c>
      <c r="G70">
        <v>243</v>
      </c>
      <c r="H70">
        <v>194</v>
      </c>
      <c r="I70" t="s">
        <v>928</v>
      </c>
      <c r="J70" t="s">
        <v>928</v>
      </c>
    </row>
    <row r="71" spans="1:10" x14ac:dyDescent="0.25">
      <c r="A71" t="s">
        <v>594</v>
      </c>
      <c r="B71" t="s">
        <v>1786</v>
      </c>
      <c r="C71" t="s">
        <v>1982</v>
      </c>
      <c r="D71">
        <v>73</v>
      </c>
      <c r="E71">
        <v>248</v>
      </c>
      <c r="F71">
        <v>214</v>
      </c>
      <c r="G71">
        <v>169</v>
      </c>
      <c r="H71">
        <v>127</v>
      </c>
      <c r="I71">
        <v>66</v>
      </c>
      <c r="J71" t="s">
        <v>928</v>
      </c>
    </row>
    <row r="72" spans="1:10" x14ac:dyDescent="0.25">
      <c r="A72" t="s">
        <v>594</v>
      </c>
      <c r="B72" t="s">
        <v>1786</v>
      </c>
      <c r="C72" t="s">
        <v>1983</v>
      </c>
      <c r="D72">
        <v>73</v>
      </c>
      <c r="E72">
        <v>181</v>
      </c>
      <c r="F72">
        <v>214</v>
      </c>
      <c r="G72">
        <v>161</v>
      </c>
      <c r="H72">
        <v>130</v>
      </c>
      <c r="I72">
        <v>38</v>
      </c>
      <c r="J72" t="s">
        <v>928</v>
      </c>
    </row>
    <row r="73" spans="1:10" x14ac:dyDescent="0.25">
      <c r="A73" t="s">
        <v>594</v>
      </c>
      <c r="B73" t="s">
        <v>1786</v>
      </c>
      <c r="C73" t="s">
        <v>1984</v>
      </c>
      <c r="D73">
        <v>124</v>
      </c>
      <c r="E73">
        <v>161</v>
      </c>
      <c r="F73">
        <v>175</v>
      </c>
      <c r="G73">
        <v>135</v>
      </c>
      <c r="H73">
        <v>64</v>
      </c>
      <c r="I73" t="s">
        <v>928</v>
      </c>
      <c r="J73" t="s">
        <v>928</v>
      </c>
    </row>
    <row r="74" spans="1:10" x14ac:dyDescent="0.25">
      <c r="A74" t="s">
        <v>594</v>
      </c>
      <c r="B74" t="s">
        <v>1786</v>
      </c>
      <c r="C74" t="s">
        <v>1985</v>
      </c>
      <c r="D74">
        <v>78</v>
      </c>
      <c r="E74">
        <v>164</v>
      </c>
      <c r="F74">
        <v>208</v>
      </c>
      <c r="G74">
        <v>164</v>
      </c>
      <c r="H74">
        <v>72</v>
      </c>
      <c r="I74" t="s">
        <v>928</v>
      </c>
      <c r="J74" t="s">
        <v>928</v>
      </c>
    </row>
    <row r="75" spans="1:10" x14ac:dyDescent="0.25">
      <c r="A75" t="s">
        <v>594</v>
      </c>
      <c r="B75" t="s">
        <v>1786</v>
      </c>
      <c r="C75" t="s">
        <v>1986</v>
      </c>
      <c r="D75">
        <v>14</v>
      </c>
      <c r="E75">
        <v>100</v>
      </c>
      <c r="F75">
        <v>129</v>
      </c>
      <c r="G75">
        <v>113</v>
      </c>
      <c r="H75">
        <v>76</v>
      </c>
      <c r="I75" t="s">
        <v>928</v>
      </c>
      <c r="J75" t="s">
        <v>928</v>
      </c>
    </row>
    <row r="76" spans="1:10" x14ac:dyDescent="0.25">
      <c r="A76" t="s">
        <v>594</v>
      </c>
      <c r="B76" t="s">
        <v>1786</v>
      </c>
      <c r="C76" t="s">
        <v>1987</v>
      </c>
      <c r="D76">
        <v>69</v>
      </c>
      <c r="E76">
        <v>142</v>
      </c>
      <c r="F76">
        <v>170</v>
      </c>
      <c r="G76">
        <v>151</v>
      </c>
      <c r="H76">
        <v>64</v>
      </c>
      <c r="I76">
        <v>23</v>
      </c>
      <c r="J76" t="s">
        <v>928</v>
      </c>
    </row>
    <row r="77" spans="1:10" x14ac:dyDescent="0.25">
      <c r="A77" t="s">
        <v>594</v>
      </c>
      <c r="B77" t="s">
        <v>1785</v>
      </c>
      <c r="C77" t="s">
        <v>118</v>
      </c>
      <c r="D77">
        <v>80</v>
      </c>
      <c r="E77">
        <v>200</v>
      </c>
      <c r="F77">
        <v>214</v>
      </c>
      <c r="G77">
        <v>190</v>
      </c>
      <c r="H77">
        <v>138</v>
      </c>
      <c r="I77">
        <v>69</v>
      </c>
      <c r="J77">
        <v>22</v>
      </c>
    </row>
    <row r="78" spans="1:10" x14ac:dyDescent="0.25">
      <c r="A78" t="s">
        <v>594</v>
      </c>
      <c r="B78" t="s">
        <v>1785</v>
      </c>
      <c r="C78" t="s">
        <v>1977</v>
      </c>
      <c r="D78">
        <v>81</v>
      </c>
      <c r="E78">
        <v>182</v>
      </c>
      <c r="F78">
        <v>219</v>
      </c>
      <c r="G78">
        <v>207</v>
      </c>
      <c r="H78">
        <v>162</v>
      </c>
      <c r="I78">
        <v>82</v>
      </c>
      <c r="J78">
        <v>4</v>
      </c>
    </row>
    <row r="79" spans="1:10" x14ac:dyDescent="0.25">
      <c r="A79" t="s">
        <v>594</v>
      </c>
      <c r="B79" t="s">
        <v>1785</v>
      </c>
      <c r="C79" t="s">
        <v>1978</v>
      </c>
      <c r="D79">
        <v>150</v>
      </c>
      <c r="E79">
        <v>278</v>
      </c>
      <c r="F79">
        <v>245</v>
      </c>
      <c r="G79">
        <v>189</v>
      </c>
      <c r="H79">
        <v>136</v>
      </c>
      <c r="I79">
        <v>82</v>
      </c>
      <c r="J79">
        <v>20</v>
      </c>
    </row>
    <row r="80" spans="1:10" x14ac:dyDescent="0.25">
      <c r="A80" t="s">
        <v>594</v>
      </c>
      <c r="B80" t="s">
        <v>1785</v>
      </c>
      <c r="C80" t="s">
        <v>1979</v>
      </c>
      <c r="D80">
        <v>51</v>
      </c>
      <c r="E80">
        <v>155</v>
      </c>
      <c r="F80">
        <v>142</v>
      </c>
      <c r="G80">
        <v>160</v>
      </c>
      <c r="H80">
        <v>121</v>
      </c>
      <c r="I80">
        <v>89</v>
      </c>
      <c r="J80">
        <v>27</v>
      </c>
    </row>
    <row r="81" spans="1:10" x14ac:dyDescent="0.25">
      <c r="A81" t="s">
        <v>594</v>
      </c>
      <c r="B81" t="s">
        <v>1785</v>
      </c>
      <c r="C81" t="s">
        <v>1980</v>
      </c>
      <c r="D81">
        <v>112</v>
      </c>
      <c r="E81">
        <v>254</v>
      </c>
      <c r="F81">
        <v>260</v>
      </c>
      <c r="G81">
        <v>213</v>
      </c>
      <c r="H81">
        <v>154</v>
      </c>
      <c r="I81">
        <v>57</v>
      </c>
      <c r="J81">
        <v>25</v>
      </c>
    </row>
    <row r="82" spans="1:10" x14ac:dyDescent="0.25">
      <c r="A82" t="s">
        <v>594</v>
      </c>
      <c r="B82" t="s">
        <v>1785</v>
      </c>
      <c r="C82" t="s">
        <v>1981</v>
      </c>
      <c r="D82">
        <v>130</v>
      </c>
      <c r="E82">
        <v>320</v>
      </c>
      <c r="F82">
        <v>373</v>
      </c>
      <c r="G82">
        <v>320</v>
      </c>
      <c r="H82">
        <v>189</v>
      </c>
      <c r="I82">
        <v>85</v>
      </c>
      <c r="J82" t="s">
        <v>928</v>
      </c>
    </row>
    <row r="83" spans="1:10" x14ac:dyDescent="0.25">
      <c r="A83" t="s">
        <v>594</v>
      </c>
      <c r="B83" t="s">
        <v>1785</v>
      </c>
      <c r="C83" t="s">
        <v>1982</v>
      </c>
      <c r="D83">
        <v>93</v>
      </c>
      <c r="E83">
        <v>214</v>
      </c>
      <c r="F83">
        <v>215</v>
      </c>
      <c r="G83">
        <v>182</v>
      </c>
      <c r="H83">
        <v>118</v>
      </c>
      <c r="I83">
        <v>53</v>
      </c>
      <c r="J83" t="s">
        <v>928</v>
      </c>
    </row>
    <row r="84" spans="1:10" x14ac:dyDescent="0.25">
      <c r="A84" t="s">
        <v>594</v>
      </c>
      <c r="B84" t="s">
        <v>1785</v>
      </c>
      <c r="C84" t="s">
        <v>1983</v>
      </c>
      <c r="D84">
        <v>58</v>
      </c>
      <c r="E84">
        <v>185</v>
      </c>
      <c r="F84">
        <v>220</v>
      </c>
      <c r="G84">
        <v>189</v>
      </c>
      <c r="H84">
        <v>138</v>
      </c>
      <c r="I84">
        <v>68</v>
      </c>
      <c r="J84">
        <v>27</v>
      </c>
    </row>
    <row r="85" spans="1:10" x14ac:dyDescent="0.25">
      <c r="A85" t="s">
        <v>594</v>
      </c>
      <c r="B85" t="s">
        <v>1785</v>
      </c>
      <c r="C85" t="s">
        <v>1984</v>
      </c>
      <c r="D85">
        <v>98</v>
      </c>
      <c r="E85">
        <v>159</v>
      </c>
      <c r="F85">
        <v>196</v>
      </c>
      <c r="G85">
        <v>130</v>
      </c>
      <c r="H85">
        <v>96</v>
      </c>
      <c r="I85">
        <v>13</v>
      </c>
      <c r="J85" t="s">
        <v>928</v>
      </c>
    </row>
    <row r="86" spans="1:10" x14ac:dyDescent="0.25">
      <c r="A86" t="s">
        <v>594</v>
      </c>
      <c r="B86" t="s">
        <v>1785</v>
      </c>
      <c r="C86" t="s">
        <v>1985</v>
      </c>
      <c r="D86">
        <v>102</v>
      </c>
      <c r="E86">
        <v>220</v>
      </c>
      <c r="F86">
        <v>194</v>
      </c>
      <c r="G86">
        <v>185</v>
      </c>
      <c r="H86">
        <v>69</v>
      </c>
      <c r="I86">
        <v>41</v>
      </c>
      <c r="J86" t="s">
        <v>928</v>
      </c>
    </row>
    <row r="87" spans="1:10" x14ac:dyDescent="0.25">
      <c r="A87" t="s">
        <v>594</v>
      </c>
      <c r="B87" t="s">
        <v>1785</v>
      </c>
      <c r="C87" t="s">
        <v>1986</v>
      </c>
      <c r="D87">
        <v>16</v>
      </c>
      <c r="E87">
        <v>66</v>
      </c>
      <c r="F87">
        <v>114</v>
      </c>
      <c r="G87">
        <v>98</v>
      </c>
      <c r="H87">
        <v>57</v>
      </c>
      <c r="I87">
        <v>13</v>
      </c>
      <c r="J87">
        <v>0</v>
      </c>
    </row>
    <row r="88" spans="1:10" x14ac:dyDescent="0.25">
      <c r="A88" t="s">
        <v>594</v>
      </c>
      <c r="B88" t="s">
        <v>1785</v>
      </c>
      <c r="C88" t="s">
        <v>1987</v>
      </c>
      <c r="D88">
        <v>62</v>
      </c>
      <c r="E88">
        <v>184</v>
      </c>
      <c r="F88">
        <v>166</v>
      </c>
      <c r="G88">
        <v>108</v>
      </c>
      <c r="H88">
        <v>90</v>
      </c>
      <c r="I88">
        <v>9</v>
      </c>
      <c r="J88" t="s">
        <v>928</v>
      </c>
    </row>
    <row r="89" spans="1:10" x14ac:dyDescent="0.25">
      <c r="A89" t="s">
        <v>594</v>
      </c>
      <c r="B89" t="s">
        <v>1784</v>
      </c>
      <c r="C89" t="s">
        <v>118</v>
      </c>
      <c r="D89">
        <v>79</v>
      </c>
      <c r="E89">
        <v>206</v>
      </c>
      <c r="F89">
        <v>237</v>
      </c>
      <c r="G89">
        <v>194</v>
      </c>
      <c r="H89">
        <v>147</v>
      </c>
      <c r="I89">
        <v>69</v>
      </c>
      <c r="J89">
        <v>28</v>
      </c>
    </row>
    <row r="90" spans="1:10" x14ac:dyDescent="0.25">
      <c r="A90" t="s">
        <v>594</v>
      </c>
      <c r="B90" t="s">
        <v>1784</v>
      </c>
      <c r="C90" t="s">
        <v>1977</v>
      </c>
      <c r="D90">
        <v>80</v>
      </c>
      <c r="E90">
        <v>172</v>
      </c>
      <c r="F90">
        <v>231</v>
      </c>
      <c r="G90">
        <v>226</v>
      </c>
      <c r="H90">
        <v>153</v>
      </c>
      <c r="I90">
        <v>43</v>
      </c>
      <c r="J90">
        <v>8</v>
      </c>
    </row>
    <row r="91" spans="1:10" x14ac:dyDescent="0.25">
      <c r="A91" t="s">
        <v>594</v>
      </c>
      <c r="B91" t="s">
        <v>1784</v>
      </c>
      <c r="C91" t="s">
        <v>1978</v>
      </c>
      <c r="D91">
        <v>107</v>
      </c>
      <c r="E91">
        <v>238</v>
      </c>
      <c r="F91">
        <v>241</v>
      </c>
      <c r="G91">
        <v>182</v>
      </c>
      <c r="H91">
        <v>144</v>
      </c>
      <c r="I91">
        <v>44</v>
      </c>
      <c r="J91" t="s">
        <v>928</v>
      </c>
    </row>
    <row r="92" spans="1:10" x14ac:dyDescent="0.25">
      <c r="A92" t="s">
        <v>594</v>
      </c>
      <c r="B92" t="s">
        <v>1784</v>
      </c>
      <c r="C92" t="s">
        <v>1979</v>
      </c>
      <c r="D92">
        <v>61</v>
      </c>
      <c r="E92">
        <v>204</v>
      </c>
      <c r="F92">
        <v>186</v>
      </c>
      <c r="G92">
        <v>154</v>
      </c>
      <c r="H92">
        <v>137</v>
      </c>
      <c r="I92">
        <v>68</v>
      </c>
      <c r="J92">
        <v>20</v>
      </c>
    </row>
    <row r="93" spans="1:10" x14ac:dyDescent="0.25">
      <c r="A93" t="s">
        <v>594</v>
      </c>
      <c r="B93" t="s">
        <v>1784</v>
      </c>
      <c r="C93" t="s">
        <v>1980</v>
      </c>
      <c r="D93">
        <v>107</v>
      </c>
      <c r="E93">
        <v>241</v>
      </c>
      <c r="F93">
        <v>286</v>
      </c>
      <c r="G93">
        <v>221</v>
      </c>
      <c r="H93">
        <v>160</v>
      </c>
      <c r="I93">
        <v>75</v>
      </c>
      <c r="J93">
        <v>37</v>
      </c>
    </row>
    <row r="94" spans="1:10" x14ac:dyDescent="0.25">
      <c r="A94" t="s">
        <v>594</v>
      </c>
      <c r="B94" t="s">
        <v>1784</v>
      </c>
      <c r="C94" t="s">
        <v>1981</v>
      </c>
      <c r="D94">
        <v>117</v>
      </c>
      <c r="E94">
        <v>301</v>
      </c>
      <c r="F94">
        <v>320</v>
      </c>
      <c r="G94">
        <v>302</v>
      </c>
      <c r="H94">
        <v>192</v>
      </c>
      <c r="I94">
        <v>146</v>
      </c>
      <c r="J94" t="s">
        <v>928</v>
      </c>
    </row>
    <row r="95" spans="1:10" x14ac:dyDescent="0.25">
      <c r="A95" t="s">
        <v>594</v>
      </c>
      <c r="B95" t="s">
        <v>1784</v>
      </c>
      <c r="C95" t="s">
        <v>1982</v>
      </c>
      <c r="D95">
        <v>141</v>
      </c>
      <c r="E95">
        <v>225</v>
      </c>
      <c r="F95">
        <v>230</v>
      </c>
      <c r="G95">
        <v>219</v>
      </c>
      <c r="H95">
        <v>128</v>
      </c>
      <c r="I95">
        <v>73</v>
      </c>
      <c r="J95">
        <v>22</v>
      </c>
    </row>
    <row r="96" spans="1:10" x14ac:dyDescent="0.25">
      <c r="A96" t="s">
        <v>594</v>
      </c>
      <c r="B96" t="s">
        <v>1784</v>
      </c>
      <c r="C96" t="s">
        <v>1983</v>
      </c>
      <c r="D96">
        <v>65</v>
      </c>
      <c r="E96">
        <v>178</v>
      </c>
      <c r="F96">
        <v>249</v>
      </c>
      <c r="G96">
        <v>210</v>
      </c>
      <c r="H96">
        <v>160</v>
      </c>
      <c r="I96">
        <v>75</v>
      </c>
      <c r="J96">
        <v>39</v>
      </c>
    </row>
    <row r="97" spans="1:10" x14ac:dyDescent="0.25">
      <c r="A97" t="s">
        <v>594</v>
      </c>
      <c r="B97" t="s">
        <v>1784</v>
      </c>
      <c r="C97" t="s">
        <v>1984</v>
      </c>
      <c r="D97">
        <v>77</v>
      </c>
      <c r="E97">
        <v>139</v>
      </c>
      <c r="F97">
        <v>177</v>
      </c>
      <c r="G97">
        <v>165</v>
      </c>
      <c r="H97">
        <v>144</v>
      </c>
      <c r="I97">
        <v>46</v>
      </c>
      <c r="J97">
        <v>42</v>
      </c>
    </row>
    <row r="98" spans="1:10" x14ac:dyDescent="0.25">
      <c r="A98" t="s">
        <v>594</v>
      </c>
      <c r="B98" t="s">
        <v>1784</v>
      </c>
      <c r="C98" t="s">
        <v>1985</v>
      </c>
      <c r="D98">
        <v>112</v>
      </c>
      <c r="E98">
        <v>172</v>
      </c>
      <c r="F98">
        <v>197</v>
      </c>
      <c r="G98">
        <v>154</v>
      </c>
      <c r="H98">
        <v>71</v>
      </c>
      <c r="I98">
        <v>57</v>
      </c>
      <c r="J98" t="s">
        <v>928</v>
      </c>
    </row>
    <row r="99" spans="1:10" x14ac:dyDescent="0.25">
      <c r="A99" t="s">
        <v>594</v>
      </c>
      <c r="B99" t="s">
        <v>1784</v>
      </c>
      <c r="C99" t="s">
        <v>1986</v>
      </c>
      <c r="D99">
        <v>15</v>
      </c>
      <c r="E99">
        <v>88</v>
      </c>
      <c r="F99">
        <v>92</v>
      </c>
      <c r="G99">
        <v>68</v>
      </c>
      <c r="H99">
        <v>34</v>
      </c>
      <c r="I99">
        <v>4</v>
      </c>
      <c r="J99">
        <v>0</v>
      </c>
    </row>
    <row r="100" spans="1:10" x14ac:dyDescent="0.25">
      <c r="A100" t="s">
        <v>594</v>
      </c>
      <c r="B100" t="s">
        <v>1784</v>
      </c>
      <c r="C100" t="s">
        <v>1987</v>
      </c>
      <c r="D100">
        <v>51</v>
      </c>
      <c r="E100">
        <v>165</v>
      </c>
      <c r="F100">
        <v>159</v>
      </c>
      <c r="G100">
        <v>183</v>
      </c>
      <c r="H100">
        <v>101</v>
      </c>
      <c r="I100">
        <v>12</v>
      </c>
      <c r="J100" t="s">
        <v>928</v>
      </c>
    </row>
    <row r="101" spans="1:10" x14ac:dyDescent="0.25">
      <c r="A101" t="s">
        <v>594</v>
      </c>
      <c r="B101" t="s">
        <v>1783</v>
      </c>
      <c r="C101" t="s">
        <v>118</v>
      </c>
      <c r="D101">
        <v>104</v>
      </c>
      <c r="E101">
        <v>228</v>
      </c>
      <c r="F101">
        <v>241</v>
      </c>
      <c r="G101">
        <v>231</v>
      </c>
      <c r="H101">
        <v>160</v>
      </c>
      <c r="I101">
        <v>84</v>
      </c>
      <c r="J101">
        <v>34</v>
      </c>
    </row>
    <row r="102" spans="1:10" x14ac:dyDescent="0.25">
      <c r="A102" t="s">
        <v>594</v>
      </c>
      <c r="B102" t="s">
        <v>1783</v>
      </c>
      <c r="C102" t="s">
        <v>1977</v>
      </c>
      <c r="D102">
        <v>104</v>
      </c>
      <c r="E102">
        <v>236</v>
      </c>
      <c r="F102">
        <v>219</v>
      </c>
      <c r="G102">
        <v>184</v>
      </c>
      <c r="H102">
        <v>150</v>
      </c>
      <c r="I102">
        <v>106</v>
      </c>
      <c r="J102">
        <v>26</v>
      </c>
    </row>
    <row r="103" spans="1:10" x14ac:dyDescent="0.25">
      <c r="A103" t="s">
        <v>594</v>
      </c>
      <c r="B103" t="s">
        <v>1783</v>
      </c>
      <c r="C103" t="s">
        <v>1978</v>
      </c>
      <c r="D103">
        <v>113</v>
      </c>
      <c r="E103">
        <v>238</v>
      </c>
      <c r="F103">
        <v>198</v>
      </c>
      <c r="G103">
        <v>194</v>
      </c>
      <c r="H103">
        <v>128</v>
      </c>
      <c r="I103">
        <v>67</v>
      </c>
      <c r="J103" t="s">
        <v>928</v>
      </c>
    </row>
    <row r="104" spans="1:10" x14ac:dyDescent="0.25">
      <c r="A104" t="s">
        <v>594</v>
      </c>
      <c r="B104" t="s">
        <v>1783</v>
      </c>
      <c r="C104" t="s">
        <v>1979</v>
      </c>
      <c r="D104">
        <v>102</v>
      </c>
      <c r="E104">
        <v>229</v>
      </c>
      <c r="F104">
        <v>229</v>
      </c>
      <c r="G104">
        <v>207</v>
      </c>
      <c r="H104">
        <v>142</v>
      </c>
      <c r="I104">
        <v>63</v>
      </c>
      <c r="J104">
        <v>45</v>
      </c>
    </row>
    <row r="105" spans="1:10" x14ac:dyDescent="0.25">
      <c r="A105" t="s">
        <v>594</v>
      </c>
      <c r="B105" t="s">
        <v>1783</v>
      </c>
      <c r="C105" t="s">
        <v>1980</v>
      </c>
      <c r="D105">
        <v>132</v>
      </c>
      <c r="E105">
        <v>251</v>
      </c>
      <c r="F105">
        <v>270</v>
      </c>
      <c r="G105">
        <v>260</v>
      </c>
      <c r="H105">
        <v>193</v>
      </c>
      <c r="I105">
        <v>108</v>
      </c>
      <c r="J105">
        <v>22</v>
      </c>
    </row>
    <row r="106" spans="1:10" x14ac:dyDescent="0.25">
      <c r="A106" t="s">
        <v>594</v>
      </c>
      <c r="B106" t="s">
        <v>1783</v>
      </c>
      <c r="C106" t="s">
        <v>1981</v>
      </c>
      <c r="D106">
        <v>135</v>
      </c>
      <c r="E106">
        <v>308</v>
      </c>
      <c r="F106">
        <v>247</v>
      </c>
      <c r="G106">
        <v>209</v>
      </c>
      <c r="H106">
        <v>177</v>
      </c>
      <c r="I106" t="s">
        <v>928</v>
      </c>
      <c r="J106" t="s">
        <v>928</v>
      </c>
    </row>
    <row r="107" spans="1:10" x14ac:dyDescent="0.25">
      <c r="A107" t="s">
        <v>594</v>
      </c>
      <c r="B107" t="s">
        <v>1783</v>
      </c>
      <c r="C107" t="s">
        <v>1982</v>
      </c>
      <c r="D107">
        <v>123</v>
      </c>
      <c r="E107">
        <v>271</v>
      </c>
      <c r="F107">
        <v>275</v>
      </c>
      <c r="G107">
        <v>178</v>
      </c>
      <c r="H107">
        <v>111</v>
      </c>
      <c r="I107">
        <v>44</v>
      </c>
      <c r="J107" t="s">
        <v>928</v>
      </c>
    </row>
    <row r="108" spans="1:10" x14ac:dyDescent="0.25">
      <c r="A108" t="s">
        <v>594</v>
      </c>
      <c r="B108" t="s">
        <v>1783</v>
      </c>
      <c r="C108" t="s">
        <v>1983</v>
      </c>
      <c r="D108">
        <v>78</v>
      </c>
      <c r="E108">
        <v>226</v>
      </c>
      <c r="F108">
        <v>253</v>
      </c>
      <c r="G108">
        <v>267</v>
      </c>
      <c r="H108">
        <v>163</v>
      </c>
      <c r="I108">
        <v>93</v>
      </c>
      <c r="J108">
        <v>48</v>
      </c>
    </row>
    <row r="109" spans="1:10" x14ac:dyDescent="0.25">
      <c r="A109" t="s">
        <v>594</v>
      </c>
      <c r="B109" t="s">
        <v>1783</v>
      </c>
      <c r="C109" t="s">
        <v>1984</v>
      </c>
      <c r="D109">
        <v>130</v>
      </c>
      <c r="E109">
        <v>203</v>
      </c>
      <c r="F109">
        <v>153</v>
      </c>
      <c r="G109">
        <v>135</v>
      </c>
      <c r="H109">
        <v>96</v>
      </c>
      <c r="I109">
        <v>19</v>
      </c>
      <c r="J109" t="s">
        <v>928</v>
      </c>
    </row>
    <row r="110" spans="1:10" x14ac:dyDescent="0.25">
      <c r="A110" t="s">
        <v>594</v>
      </c>
      <c r="B110" t="s">
        <v>1783</v>
      </c>
      <c r="C110" t="s">
        <v>1985</v>
      </c>
      <c r="D110">
        <v>89</v>
      </c>
      <c r="E110">
        <v>189</v>
      </c>
      <c r="F110">
        <v>190</v>
      </c>
      <c r="G110">
        <v>147</v>
      </c>
      <c r="H110">
        <v>110</v>
      </c>
      <c r="I110">
        <v>30</v>
      </c>
      <c r="J110" t="s">
        <v>928</v>
      </c>
    </row>
    <row r="111" spans="1:10" x14ac:dyDescent="0.25">
      <c r="A111" t="s">
        <v>594</v>
      </c>
      <c r="B111" t="s">
        <v>1783</v>
      </c>
      <c r="C111" t="s">
        <v>1986</v>
      </c>
      <c r="D111">
        <v>17</v>
      </c>
      <c r="E111">
        <v>59</v>
      </c>
      <c r="F111">
        <v>81</v>
      </c>
      <c r="G111">
        <v>75</v>
      </c>
      <c r="H111">
        <v>26</v>
      </c>
      <c r="I111">
        <v>17</v>
      </c>
      <c r="J111">
        <v>0</v>
      </c>
    </row>
    <row r="112" spans="1:10" x14ac:dyDescent="0.25">
      <c r="A112" t="s">
        <v>594</v>
      </c>
      <c r="B112" t="s">
        <v>1783</v>
      </c>
      <c r="C112" t="s">
        <v>1987</v>
      </c>
      <c r="D112">
        <v>57</v>
      </c>
      <c r="E112">
        <v>211</v>
      </c>
      <c r="F112">
        <v>150</v>
      </c>
      <c r="G112">
        <v>172</v>
      </c>
      <c r="H112">
        <v>104</v>
      </c>
      <c r="I112">
        <v>20</v>
      </c>
      <c r="J112" t="s">
        <v>928</v>
      </c>
    </row>
    <row r="113" spans="1:10" x14ac:dyDescent="0.25">
      <c r="A113" t="s">
        <v>594</v>
      </c>
      <c r="B113" t="s">
        <v>1782</v>
      </c>
      <c r="C113" t="s">
        <v>118</v>
      </c>
      <c r="D113">
        <v>100</v>
      </c>
      <c r="E113">
        <v>235</v>
      </c>
      <c r="F113">
        <v>251</v>
      </c>
      <c r="G113">
        <v>243</v>
      </c>
      <c r="H113">
        <v>168</v>
      </c>
      <c r="I113">
        <v>89</v>
      </c>
      <c r="J113">
        <v>19</v>
      </c>
    </row>
    <row r="114" spans="1:10" x14ac:dyDescent="0.25">
      <c r="A114" t="s">
        <v>594</v>
      </c>
      <c r="B114" t="s">
        <v>1782</v>
      </c>
      <c r="C114" t="s">
        <v>1977</v>
      </c>
      <c r="D114">
        <v>99</v>
      </c>
      <c r="E114">
        <v>213</v>
      </c>
      <c r="F114">
        <v>234</v>
      </c>
      <c r="G114">
        <v>238</v>
      </c>
      <c r="H114">
        <v>183</v>
      </c>
      <c r="I114">
        <v>84</v>
      </c>
      <c r="J114">
        <v>19</v>
      </c>
    </row>
    <row r="115" spans="1:10" x14ac:dyDescent="0.25">
      <c r="A115" t="s">
        <v>594</v>
      </c>
      <c r="B115" t="s">
        <v>1782</v>
      </c>
      <c r="C115" t="s">
        <v>1978</v>
      </c>
      <c r="D115">
        <v>133</v>
      </c>
      <c r="E115">
        <v>229</v>
      </c>
      <c r="F115">
        <v>198</v>
      </c>
      <c r="G115">
        <v>171</v>
      </c>
      <c r="H115">
        <v>96</v>
      </c>
      <c r="I115">
        <v>51</v>
      </c>
      <c r="J115">
        <v>5</v>
      </c>
    </row>
    <row r="116" spans="1:10" x14ac:dyDescent="0.25">
      <c r="A116" t="s">
        <v>594</v>
      </c>
      <c r="B116" t="s">
        <v>1782</v>
      </c>
      <c r="C116" t="s">
        <v>1979</v>
      </c>
      <c r="D116">
        <v>143</v>
      </c>
      <c r="E116">
        <v>235</v>
      </c>
      <c r="F116">
        <v>230</v>
      </c>
      <c r="G116">
        <v>226</v>
      </c>
      <c r="H116">
        <v>153</v>
      </c>
      <c r="I116">
        <v>105</v>
      </c>
      <c r="J116">
        <v>12</v>
      </c>
    </row>
    <row r="117" spans="1:10" x14ac:dyDescent="0.25">
      <c r="A117" t="s">
        <v>594</v>
      </c>
      <c r="B117" t="s">
        <v>1782</v>
      </c>
      <c r="C117" t="s">
        <v>1980</v>
      </c>
      <c r="D117">
        <v>104</v>
      </c>
      <c r="E117">
        <v>263</v>
      </c>
      <c r="F117">
        <v>280</v>
      </c>
      <c r="G117">
        <v>275</v>
      </c>
      <c r="H117">
        <v>191</v>
      </c>
      <c r="I117">
        <v>83</v>
      </c>
      <c r="J117">
        <v>16</v>
      </c>
    </row>
    <row r="118" spans="1:10" x14ac:dyDescent="0.25">
      <c r="A118" t="s">
        <v>594</v>
      </c>
      <c r="B118" t="s">
        <v>1782</v>
      </c>
      <c r="C118" t="s">
        <v>1981</v>
      </c>
      <c r="D118">
        <v>128</v>
      </c>
      <c r="E118">
        <v>242</v>
      </c>
      <c r="F118">
        <v>239</v>
      </c>
      <c r="G118">
        <v>184</v>
      </c>
      <c r="H118">
        <v>124</v>
      </c>
      <c r="I118">
        <v>97</v>
      </c>
      <c r="J118" t="s">
        <v>928</v>
      </c>
    </row>
    <row r="119" spans="1:10" x14ac:dyDescent="0.25">
      <c r="A119" t="s">
        <v>594</v>
      </c>
      <c r="B119" t="s">
        <v>1782</v>
      </c>
      <c r="C119" t="s">
        <v>1982</v>
      </c>
      <c r="D119">
        <v>110</v>
      </c>
      <c r="E119">
        <v>248</v>
      </c>
      <c r="F119">
        <v>222</v>
      </c>
      <c r="G119">
        <v>188</v>
      </c>
      <c r="H119">
        <v>163</v>
      </c>
      <c r="I119">
        <v>74</v>
      </c>
      <c r="J119" t="s">
        <v>928</v>
      </c>
    </row>
    <row r="120" spans="1:10" x14ac:dyDescent="0.25">
      <c r="A120" t="s">
        <v>594</v>
      </c>
      <c r="B120" t="s">
        <v>1782</v>
      </c>
      <c r="C120" t="s">
        <v>1983</v>
      </c>
      <c r="D120">
        <v>60</v>
      </c>
      <c r="E120">
        <v>226</v>
      </c>
      <c r="F120">
        <v>265</v>
      </c>
      <c r="G120">
        <v>250</v>
      </c>
      <c r="H120">
        <v>178</v>
      </c>
      <c r="I120">
        <v>95</v>
      </c>
      <c r="J120">
        <v>38</v>
      </c>
    </row>
    <row r="121" spans="1:10" x14ac:dyDescent="0.25">
      <c r="A121" t="s">
        <v>594</v>
      </c>
      <c r="B121" t="s">
        <v>1782</v>
      </c>
      <c r="C121" t="s">
        <v>1984</v>
      </c>
      <c r="D121">
        <v>96</v>
      </c>
      <c r="E121">
        <v>212</v>
      </c>
      <c r="F121">
        <v>213</v>
      </c>
      <c r="G121">
        <v>175</v>
      </c>
      <c r="H121">
        <v>130</v>
      </c>
      <c r="I121">
        <v>35</v>
      </c>
      <c r="J121" t="s">
        <v>928</v>
      </c>
    </row>
    <row r="122" spans="1:10" x14ac:dyDescent="0.25">
      <c r="A122" t="s">
        <v>594</v>
      </c>
      <c r="B122" t="s">
        <v>1782</v>
      </c>
      <c r="C122" t="s">
        <v>1985</v>
      </c>
      <c r="D122">
        <v>86</v>
      </c>
      <c r="E122">
        <v>178</v>
      </c>
      <c r="F122">
        <v>189</v>
      </c>
      <c r="G122">
        <v>185</v>
      </c>
      <c r="H122">
        <v>152</v>
      </c>
      <c r="I122">
        <v>37</v>
      </c>
      <c r="J122">
        <v>14</v>
      </c>
    </row>
    <row r="123" spans="1:10" x14ac:dyDescent="0.25">
      <c r="A123" t="s">
        <v>594</v>
      </c>
      <c r="B123" t="s">
        <v>1782</v>
      </c>
      <c r="C123" t="s">
        <v>1986</v>
      </c>
      <c r="D123">
        <v>22</v>
      </c>
      <c r="E123">
        <v>78</v>
      </c>
      <c r="F123">
        <v>124</v>
      </c>
      <c r="G123">
        <v>93</v>
      </c>
      <c r="H123">
        <v>45</v>
      </c>
      <c r="I123">
        <v>3</v>
      </c>
      <c r="J123">
        <v>4</v>
      </c>
    </row>
    <row r="124" spans="1:10" x14ac:dyDescent="0.25">
      <c r="A124" t="s">
        <v>594</v>
      </c>
      <c r="B124" t="s">
        <v>1782</v>
      </c>
      <c r="C124" t="s">
        <v>1987</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109375" defaultRowHeight="15" x14ac:dyDescent="0.25"/>
  <cols>
    <col min="1" max="1" width="13.5703125" style="265" customWidth="1"/>
    <col min="2" max="5" width="13.5703125" style="266" customWidth="1"/>
    <col min="6" max="9" width="8.7109375" style="266"/>
    <col min="10" max="10" width="8.7109375" style="267"/>
    <col min="11" max="11" width="8.7109375" style="265"/>
    <col min="12" max="15" width="11.42578125" style="266" customWidth="1"/>
    <col min="16" max="16" width="11.42578125" style="267" customWidth="1"/>
    <col min="17" max="17" width="11.42578125" style="265" customWidth="1"/>
    <col min="18" max="19" width="11.42578125" style="266" customWidth="1"/>
    <col min="20" max="25" width="8.7109375" style="266"/>
    <col min="26" max="26" width="8.7109375" style="267"/>
    <col min="27" max="27" width="11.42578125" style="265" customWidth="1"/>
    <col min="28" max="28" width="11.42578125" style="266" customWidth="1"/>
    <col min="29" max="35" width="10.7109375" style="105" customWidth="1"/>
    <col min="36" max="36" width="8.7109375" style="267"/>
    <col min="37" max="16384" width="8.7109375" style="261"/>
  </cols>
  <sheetData>
    <row r="1" spans="1:36" x14ac:dyDescent="0.2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25">
      <c r="A2" s="440" t="s">
        <v>2054</v>
      </c>
      <c r="B2" s="441"/>
      <c r="C2" s="441"/>
      <c r="D2" s="441"/>
      <c r="E2" s="441"/>
      <c r="F2" s="441"/>
      <c r="G2" s="441"/>
      <c r="H2" s="441"/>
      <c r="I2" s="441"/>
      <c r="J2" s="442"/>
      <c r="K2" s="440" t="s">
        <v>2055</v>
      </c>
      <c r="L2" s="441"/>
      <c r="M2" s="441"/>
      <c r="N2" s="441"/>
      <c r="O2" s="441"/>
      <c r="P2" s="442"/>
      <c r="Q2" s="440" t="s">
        <v>2056</v>
      </c>
      <c r="R2" s="441"/>
      <c r="S2" s="441"/>
      <c r="T2" s="441"/>
      <c r="U2" s="441"/>
      <c r="V2" s="441"/>
      <c r="W2" s="441"/>
      <c r="X2" s="441"/>
      <c r="Y2" s="441"/>
      <c r="Z2" s="442"/>
      <c r="AA2" s="440" t="s">
        <v>2057</v>
      </c>
      <c r="AB2" s="441"/>
      <c r="AC2" s="441"/>
      <c r="AD2" s="441"/>
      <c r="AE2" s="441"/>
      <c r="AF2" s="441"/>
      <c r="AG2" s="441"/>
      <c r="AH2" s="441"/>
      <c r="AI2" s="441"/>
      <c r="AJ2" s="442"/>
    </row>
    <row r="4" spans="1:36" x14ac:dyDescent="0.25">
      <c r="A4" s="265" t="s">
        <v>928</v>
      </c>
      <c r="B4" s="266" t="s">
        <v>928</v>
      </c>
      <c r="C4" s="266" t="s">
        <v>2022</v>
      </c>
      <c r="D4" s="266" t="s">
        <v>928</v>
      </c>
      <c r="E4" s="266" t="s">
        <v>928</v>
      </c>
      <c r="F4" s="266" t="s">
        <v>928</v>
      </c>
      <c r="G4" s="266" t="s">
        <v>928</v>
      </c>
      <c r="H4" s="266" t="s">
        <v>928</v>
      </c>
      <c r="I4" s="266" t="s">
        <v>928</v>
      </c>
    </row>
    <row r="5" spans="1:36" x14ac:dyDescent="0.25">
      <c r="A5" s="265" t="s">
        <v>928</v>
      </c>
      <c r="B5" s="266" t="s">
        <v>928</v>
      </c>
      <c r="C5" s="266" t="s">
        <v>928</v>
      </c>
      <c r="D5" s="266" t="s">
        <v>928</v>
      </c>
      <c r="E5" s="266" t="s">
        <v>928</v>
      </c>
      <c r="F5" s="266" t="s">
        <v>928</v>
      </c>
      <c r="G5" s="266" t="s">
        <v>928</v>
      </c>
      <c r="H5" s="266" t="s">
        <v>928</v>
      </c>
      <c r="I5" s="266" t="s">
        <v>928</v>
      </c>
    </row>
    <row r="6" spans="1:36" x14ac:dyDescent="0.25">
      <c r="A6" s="265" t="s">
        <v>928</v>
      </c>
      <c r="B6" s="266" t="s">
        <v>928</v>
      </c>
      <c r="C6" s="266" t="s">
        <v>2023</v>
      </c>
      <c r="D6" s="266" t="s">
        <v>928</v>
      </c>
      <c r="E6" s="266" t="s">
        <v>928</v>
      </c>
      <c r="F6" s="266" t="s">
        <v>928</v>
      </c>
      <c r="G6" s="266" t="s">
        <v>928</v>
      </c>
      <c r="H6" s="266" t="s">
        <v>928</v>
      </c>
      <c r="I6" s="266" t="s">
        <v>928</v>
      </c>
    </row>
    <row r="7" spans="1:36" x14ac:dyDescent="0.25">
      <c r="A7" s="265" t="s">
        <v>923</v>
      </c>
      <c r="B7" s="266" t="s">
        <v>1787</v>
      </c>
      <c r="C7" s="266" t="s">
        <v>664</v>
      </c>
      <c r="D7" s="266" t="s">
        <v>665</v>
      </c>
      <c r="E7" s="266" t="s">
        <v>667</v>
      </c>
      <c r="F7" s="266" t="s">
        <v>670</v>
      </c>
      <c r="G7" s="266" t="s">
        <v>672</v>
      </c>
      <c r="H7" s="266" t="s">
        <v>674</v>
      </c>
      <c r="I7" s="266" t="s">
        <v>676</v>
      </c>
      <c r="R7" s="266" t="s">
        <v>1787</v>
      </c>
      <c r="S7" s="266" t="s">
        <v>664</v>
      </c>
      <c r="T7" s="266" t="s">
        <v>665</v>
      </c>
      <c r="U7" s="266" t="s">
        <v>667</v>
      </c>
      <c r="V7" s="266" t="s">
        <v>670</v>
      </c>
      <c r="W7" s="266" t="s">
        <v>672</v>
      </c>
      <c r="X7" s="266" t="s">
        <v>674</v>
      </c>
      <c r="Y7" s="266" t="s">
        <v>676</v>
      </c>
      <c r="AB7" s="266" t="s">
        <v>1787</v>
      </c>
      <c r="AC7" s="105" t="s">
        <v>664</v>
      </c>
      <c r="AD7" s="105" t="s">
        <v>665</v>
      </c>
      <c r="AE7" s="105" t="s">
        <v>667</v>
      </c>
      <c r="AF7" s="105" t="s">
        <v>670</v>
      </c>
      <c r="AG7" s="105" t="s">
        <v>672</v>
      </c>
      <c r="AH7" s="105" t="s">
        <v>674</v>
      </c>
      <c r="AI7" s="105" t="s">
        <v>676</v>
      </c>
    </row>
    <row r="8" spans="1:36" x14ac:dyDescent="0.25">
      <c r="A8" s="265" t="s">
        <v>594</v>
      </c>
      <c r="B8" s="266" t="s">
        <v>1785</v>
      </c>
      <c r="C8" s="266">
        <v>2.2200000000000002</v>
      </c>
      <c r="D8" s="266">
        <v>2.23</v>
      </c>
      <c r="E8" s="266">
        <v>2.3199999999999998</v>
      </c>
      <c r="F8" s="266">
        <v>3.68</v>
      </c>
      <c r="G8" s="266">
        <v>2.2000000000000002</v>
      </c>
      <c r="H8" s="266">
        <v>3.85</v>
      </c>
      <c r="I8" s="266">
        <v>4.57</v>
      </c>
      <c r="R8" s="266" t="s">
        <v>1785</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2058</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25">
      <c r="A9" s="265" t="s">
        <v>594</v>
      </c>
      <c r="B9" s="266" t="s">
        <v>1784</v>
      </c>
      <c r="C9" s="266">
        <v>2.35</v>
      </c>
      <c r="D9" s="266">
        <v>2.63</v>
      </c>
      <c r="E9" s="266">
        <v>3.53</v>
      </c>
      <c r="F9" s="266">
        <v>6.85</v>
      </c>
      <c r="G9" s="266">
        <v>4.1399999999999997</v>
      </c>
      <c r="H9" s="266">
        <v>7.37</v>
      </c>
      <c r="I9" s="266">
        <v>7.34</v>
      </c>
      <c r="R9" s="266" t="s">
        <v>1784</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2059</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25">
      <c r="A10" s="265" t="s">
        <v>594</v>
      </c>
      <c r="B10" s="266" t="s">
        <v>1783</v>
      </c>
      <c r="C10" s="266">
        <v>3.89</v>
      </c>
      <c r="D10" s="266">
        <v>5.33</v>
      </c>
      <c r="E10" s="266">
        <v>6.46</v>
      </c>
      <c r="F10" s="266">
        <v>8.0299999999999994</v>
      </c>
      <c r="G10" s="266">
        <v>8.15</v>
      </c>
      <c r="H10" s="266">
        <v>7.54</v>
      </c>
      <c r="I10" s="266">
        <v>9.52</v>
      </c>
      <c r="R10" s="266" t="s">
        <v>1783</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2060</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25">
      <c r="A11" s="265" t="s">
        <v>594</v>
      </c>
      <c r="B11" s="266" t="s">
        <v>1782</v>
      </c>
      <c r="C11" s="266">
        <v>4.8899999999999997</v>
      </c>
      <c r="D11" s="266">
        <v>6.03</v>
      </c>
      <c r="E11" s="266">
        <v>6.15</v>
      </c>
      <c r="F11" s="266">
        <v>8.18</v>
      </c>
      <c r="G11" s="266">
        <v>8.4600000000000009</v>
      </c>
      <c r="H11" s="266">
        <v>8.26</v>
      </c>
      <c r="I11" s="266">
        <v>8.0500000000000007</v>
      </c>
      <c r="R11" s="266" t="s">
        <v>1782</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2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25">
      <c r="A13" s="265" t="s">
        <v>2022</v>
      </c>
      <c r="B13" s="266" t="s">
        <v>2021</v>
      </c>
    </row>
    <row r="14" spans="1:36" x14ac:dyDescent="0.25">
      <c r="A14" s="265" t="s">
        <v>2020</v>
      </c>
    </row>
    <row r="16" spans="1:36" x14ac:dyDescent="0.25">
      <c r="A16" s="265" t="s">
        <v>928</v>
      </c>
      <c r="B16" s="266" t="s">
        <v>928</v>
      </c>
      <c r="C16" s="266" t="s">
        <v>2025</v>
      </c>
      <c r="D16" s="266" t="s">
        <v>928</v>
      </c>
      <c r="E16" s="266" t="s">
        <v>928</v>
      </c>
      <c r="F16" s="266" t="s">
        <v>928</v>
      </c>
      <c r="G16" s="266" t="s">
        <v>928</v>
      </c>
      <c r="H16" s="266" t="s">
        <v>928</v>
      </c>
      <c r="I16" s="266" t="s">
        <v>928</v>
      </c>
    </row>
    <row r="17" spans="1:35" x14ac:dyDescent="0.25">
      <c r="A17" s="265" t="s">
        <v>928</v>
      </c>
      <c r="B17" s="266" t="s">
        <v>928</v>
      </c>
      <c r="C17" s="266" t="s">
        <v>928</v>
      </c>
      <c r="D17" s="266" t="s">
        <v>928</v>
      </c>
      <c r="E17" s="266" t="s">
        <v>928</v>
      </c>
      <c r="F17" s="266" t="s">
        <v>928</v>
      </c>
      <c r="G17" s="266" t="s">
        <v>928</v>
      </c>
      <c r="H17" s="266" t="s">
        <v>928</v>
      </c>
      <c r="I17" s="266" t="s">
        <v>928</v>
      </c>
    </row>
    <row r="18" spans="1:35" x14ac:dyDescent="0.25">
      <c r="A18" s="265" t="s">
        <v>928</v>
      </c>
      <c r="B18" s="266" t="s">
        <v>928</v>
      </c>
      <c r="C18" s="266" t="s">
        <v>2023</v>
      </c>
      <c r="D18" s="266" t="s">
        <v>928</v>
      </c>
      <c r="E18" s="266" t="s">
        <v>928</v>
      </c>
      <c r="F18" s="266" t="s">
        <v>928</v>
      </c>
      <c r="G18" s="266" t="s">
        <v>928</v>
      </c>
      <c r="H18" s="266" t="s">
        <v>928</v>
      </c>
      <c r="I18" s="266" t="s">
        <v>928</v>
      </c>
    </row>
    <row r="19" spans="1:35" x14ac:dyDescent="0.25">
      <c r="A19" s="265" t="s">
        <v>923</v>
      </c>
      <c r="B19" s="266" t="s">
        <v>1787</v>
      </c>
      <c r="C19" s="266" t="s">
        <v>664</v>
      </c>
      <c r="D19" s="266" t="s">
        <v>665</v>
      </c>
      <c r="E19" s="266" t="s">
        <v>667</v>
      </c>
      <c r="F19" s="266" t="s">
        <v>670</v>
      </c>
      <c r="G19" s="266" t="s">
        <v>672</v>
      </c>
      <c r="H19" s="266" t="s">
        <v>674</v>
      </c>
      <c r="I19" s="266" t="s">
        <v>676</v>
      </c>
      <c r="R19" s="266" t="s">
        <v>1787</v>
      </c>
      <c r="S19" s="266" t="s">
        <v>664</v>
      </c>
      <c r="T19" s="266" t="s">
        <v>665</v>
      </c>
      <c r="U19" s="266" t="s">
        <v>667</v>
      </c>
      <c r="V19" s="266" t="s">
        <v>670</v>
      </c>
      <c r="W19" s="266" t="s">
        <v>672</v>
      </c>
      <c r="X19" s="266" t="s">
        <v>674</v>
      </c>
      <c r="Y19" s="266" t="s">
        <v>676</v>
      </c>
      <c r="AB19" s="266" t="s">
        <v>1787</v>
      </c>
      <c r="AC19" s="105" t="s">
        <v>664</v>
      </c>
      <c r="AD19" s="105" t="s">
        <v>665</v>
      </c>
      <c r="AE19" s="105" t="s">
        <v>667</v>
      </c>
      <c r="AF19" s="105" t="s">
        <v>670</v>
      </c>
      <c r="AG19" s="105" t="s">
        <v>672</v>
      </c>
      <c r="AH19" s="105" t="s">
        <v>674</v>
      </c>
      <c r="AI19" s="105" t="s">
        <v>676</v>
      </c>
    </row>
    <row r="20" spans="1:35" x14ac:dyDescent="0.25">
      <c r="A20" s="265" t="s">
        <v>594</v>
      </c>
      <c r="B20" s="266" t="s">
        <v>1785</v>
      </c>
      <c r="C20" s="266">
        <v>2.86</v>
      </c>
      <c r="D20" s="266">
        <v>3.19</v>
      </c>
      <c r="E20" s="266">
        <v>2.93</v>
      </c>
      <c r="F20" s="266">
        <v>3.97</v>
      </c>
      <c r="G20" s="266">
        <v>4.1100000000000003</v>
      </c>
      <c r="H20" s="266">
        <v>5.84</v>
      </c>
      <c r="I20" s="266">
        <v>3.6</v>
      </c>
      <c r="R20" s="266" t="s">
        <v>1785</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2058</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25">
      <c r="A21" s="265" t="s">
        <v>594</v>
      </c>
      <c r="B21" s="266" t="s">
        <v>1784</v>
      </c>
      <c r="C21" s="266">
        <v>3.38</v>
      </c>
      <c r="D21" s="266">
        <v>3.25</v>
      </c>
      <c r="E21" s="266">
        <v>5.1100000000000003</v>
      </c>
      <c r="F21" s="266">
        <v>5.74</v>
      </c>
      <c r="G21" s="266">
        <v>6.22</v>
      </c>
      <c r="H21" s="266">
        <v>7.11</v>
      </c>
      <c r="I21" s="266">
        <v>9.19</v>
      </c>
      <c r="R21" s="266" t="s">
        <v>1784</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2059</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25">
      <c r="A22" s="265" t="s">
        <v>594</v>
      </c>
      <c r="B22" s="266" t="s">
        <v>1783</v>
      </c>
      <c r="C22" s="266">
        <v>3.96</v>
      </c>
      <c r="D22" s="266">
        <v>4.6100000000000003</v>
      </c>
      <c r="E22" s="266">
        <v>5.58</v>
      </c>
      <c r="F22" s="266">
        <v>7.1</v>
      </c>
      <c r="G22" s="266">
        <v>6.9</v>
      </c>
      <c r="H22" s="266">
        <v>8.01</v>
      </c>
      <c r="I22" s="266">
        <v>10.07</v>
      </c>
      <c r="R22" s="266" t="s">
        <v>1783</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2060</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25">
      <c r="A23" s="265" t="s">
        <v>594</v>
      </c>
      <c r="B23" s="266" t="s">
        <v>1782</v>
      </c>
      <c r="C23" s="266">
        <v>4.2699999999999996</v>
      </c>
      <c r="D23" s="266">
        <v>5.45</v>
      </c>
      <c r="E23" s="266">
        <v>7.41</v>
      </c>
      <c r="F23" s="266">
        <v>12.1</v>
      </c>
      <c r="G23" s="266">
        <v>9.8699999999999992</v>
      </c>
      <c r="H23" s="266">
        <v>9.57</v>
      </c>
      <c r="I23" s="266">
        <v>15.63</v>
      </c>
      <c r="R23" s="266" t="s">
        <v>1782</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2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25">
      <c r="A25" s="265" t="s">
        <v>2025</v>
      </c>
      <c r="B25" s="266" t="s">
        <v>2024</v>
      </c>
    </row>
    <row r="26" spans="1:35" x14ac:dyDescent="0.25">
      <c r="A26" s="265" t="s">
        <v>2020</v>
      </c>
    </row>
    <row r="28" spans="1:35" x14ac:dyDescent="0.25">
      <c r="A28" s="265" t="s">
        <v>928</v>
      </c>
      <c r="B28" s="266" t="s">
        <v>928</v>
      </c>
      <c r="C28" s="266" t="s">
        <v>2002</v>
      </c>
      <c r="D28" s="266" t="s">
        <v>928</v>
      </c>
      <c r="E28" s="266" t="s">
        <v>928</v>
      </c>
      <c r="L28" s="266" t="s">
        <v>928</v>
      </c>
      <c r="M28" s="266" t="s">
        <v>2052</v>
      </c>
    </row>
    <row r="29" spans="1:35" x14ac:dyDescent="0.25">
      <c r="A29" s="265" t="s">
        <v>928</v>
      </c>
      <c r="B29" s="266" t="s">
        <v>928</v>
      </c>
      <c r="C29" s="266" t="s">
        <v>2003</v>
      </c>
      <c r="D29" s="266" t="s">
        <v>928</v>
      </c>
      <c r="E29" s="266" t="s">
        <v>928</v>
      </c>
      <c r="L29" s="266" t="s">
        <v>928</v>
      </c>
      <c r="M29" s="266" t="s">
        <v>2003</v>
      </c>
    </row>
    <row r="30" spans="1:35" x14ac:dyDescent="0.25">
      <c r="A30" s="265" t="s">
        <v>928</v>
      </c>
      <c r="B30" s="266" t="s">
        <v>928</v>
      </c>
      <c r="C30" s="266" t="s">
        <v>928</v>
      </c>
      <c r="D30" s="266" t="s">
        <v>2004</v>
      </c>
      <c r="E30" s="266" t="s">
        <v>928</v>
      </c>
      <c r="L30" s="266" t="s">
        <v>928</v>
      </c>
      <c r="M30" s="266" t="s">
        <v>928</v>
      </c>
      <c r="N30" s="266" t="s">
        <v>2004</v>
      </c>
      <c r="O30" s="266" t="s">
        <v>928</v>
      </c>
    </row>
    <row r="31" spans="1:35" x14ac:dyDescent="0.25">
      <c r="A31" s="265" t="s">
        <v>923</v>
      </c>
      <c r="B31" s="266" t="s">
        <v>1787</v>
      </c>
      <c r="C31" s="266" t="s">
        <v>118</v>
      </c>
      <c r="D31" s="266" t="s">
        <v>336</v>
      </c>
      <c r="E31" s="266" t="s">
        <v>84</v>
      </c>
      <c r="L31" s="266" t="s">
        <v>1787</v>
      </c>
      <c r="M31" s="266" t="s">
        <v>118</v>
      </c>
      <c r="N31" s="266" t="s">
        <v>336</v>
      </c>
      <c r="O31" s="266" t="s">
        <v>84</v>
      </c>
    </row>
    <row r="32" spans="1:35" x14ac:dyDescent="0.25">
      <c r="A32" s="265" t="s">
        <v>594</v>
      </c>
      <c r="B32" s="266" t="s">
        <v>1786</v>
      </c>
      <c r="C32" s="266" t="s">
        <v>2005</v>
      </c>
      <c r="D32" s="266" t="s">
        <v>2006</v>
      </c>
      <c r="E32" s="266" t="s">
        <v>2007</v>
      </c>
      <c r="L32" s="266" t="s">
        <v>1786</v>
      </c>
      <c r="M32" s="266">
        <v>59</v>
      </c>
      <c r="N32" s="266">
        <v>46</v>
      </c>
      <c r="O32" s="266">
        <v>64</v>
      </c>
    </row>
    <row r="33" spans="1:31" x14ac:dyDescent="0.25">
      <c r="A33" s="265" t="s">
        <v>594</v>
      </c>
      <c r="B33" s="266" t="s">
        <v>1785</v>
      </c>
      <c r="C33" s="266" t="s">
        <v>2008</v>
      </c>
      <c r="D33" s="266" t="s">
        <v>2009</v>
      </c>
      <c r="E33" s="266" t="s">
        <v>2010</v>
      </c>
      <c r="L33" s="266" t="s">
        <v>1785</v>
      </c>
      <c r="M33" s="266">
        <v>67</v>
      </c>
      <c r="N33" s="266">
        <v>49</v>
      </c>
      <c r="O33" s="266">
        <v>69</v>
      </c>
    </row>
    <row r="34" spans="1:31" x14ac:dyDescent="0.25">
      <c r="A34" s="265" t="s">
        <v>594</v>
      </c>
      <c r="B34" s="266" t="s">
        <v>1784</v>
      </c>
      <c r="C34" s="266" t="s">
        <v>2011</v>
      </c>
      <c r="D34" s="266" t="s">
        <v>2012</v>
      </c>
      <c r="E34" s="266" t="s">
        <v>2013</v>
      </c>
      <c r="L34" s="266" t="s">
        <v>1784</v>
      </c>
      <c r="M34" s="266">
        <v>88</v>
      </c>
      <c r="N34" s="266">
        <v>69</v>
      </c>
      <c r="O34" s="266">
        <v>91</v>
      </c>
    </row>
    <row r="35" spans="1:31" x14ac:dyDescent="0.25">
      <c r="A35" s="265" t="s">
        <v>594</v>
      </c>
      <c r="B35" s="266" t="s">
        <v>1783</v>
      </c>
      <c r="C35" s="266" t="s">
        <v>2014</v>
      </c>
      <c r="D35" s="266" t="s">
        <v>2015</v>
      </c>
      <c r="E35" s="266" t="s">
        <v>2016</v>
      </c>
      <c r="L35" s="266" t="s">
        <v>1783</v>
      </c>
      <c r="M35" s="266">
        <v>123</v>
      </c>
      <c r="N35" s="266">
        <v>94</v>
      </c>
      <c r="O35" s="266">
        <v>126</v>
      </c>
    </row>
    <row r="36" spans="1:31" x14ac:dyDescent="0.25">
      <c r="A36" s="265" t="s">
        <v>594</v>
      </c>
      <c r="B36" s="266" t="s">
        <v>1782</v>
      </c>
      <c r="C36" s="266" t="s">
        <v>2017</v>
      </c>
      <c r="D36" s="266" t="s">
        <v>2018</v>
      </c>
      <c r="E36" s="266" t="s">
        <v>2019</v>
      </c>
      <c r="L36" s="266" t="s">
        <v>1782</v>
      </c>
      <c r="M36" s="266">
        <v>166</v>
      </c>
      <c r="N36" s="266">
        <v>135</v>
      </c>
      <c r="O36" s="266">
        <v>170</v>
      </c>
    </row>
    <row r="38" spans="1:31" x14ac:dyDescent="0.25">
      <c r="A38" s="265" t="s">
        <v>2002</v>
      </c>
      <c r="B38" s="266" t="s">
        <v>2026</v>
      </c>
      <c r="L38" s="266" t="s">
        <v>2026</v>
      </c>
    </row>
    <row r="39" spans="1:31" x14ac:dyDescent="0.25">
      <c r="A39" s="265" t="s">
        <v>2020</v>
      </c>
    </row>
    <row r="41" spans="1:31" x14ac:dyDescent="0.25">
      <c r="A41" s="265" t="s">
        <v>928</v>
      </c>
      <c r="B41" s="266" t="s">
        <v>928</v>
      </c>
      <c r="C41" s="266" t="s">
        <v>2028</v>
      </c>
      <c r="D41" s="266" t="s">
        <v>928</v>
      </c>
      <c r="E41" s="266" t="s">
        <v>928</v>
      </c>
      <c r="L41" s="266" t="s">
        <v>928</v>
      </c>
      <c r="M41" s="266" t="s">
        <v>2051</v>
      </c>
    </row>
    <row r="42" spans="1:31" x14ac:dyDescent="0.25">
      <c r="A42" s="265" t="s">
        <v>928</v>
      </c>
      <c r="B42" s="266" t="s">
        <v>928</v>
      </c>
      <c r="C42" s="266" t="s">
        <v>2003</v>
      </c>
      <c r="D42" s="266" t="s">
        <v>928</v>
      </c>
      <c r="E42" s="266" t="s">
        <v>928</v>
      </c>
      <c r="L42" s="266" t="s">
        <v>928</v>
      </c>
      <c r="M42" s="266" t="s">
        <v>2003</v>
      </c>
    </row>
    <row r="43" spans="1:31" x14ac:dyDescent="0.25">
      <c r="A43" s="265" t="s">
        <v>928</v>
      </c>
      <c r="B43" s="266" t="s">
        <v>928</v>
      </c>
      <c r="C43" s="266" t="s">
        <v>928</v>
      </c>
      <c r="D43" s="266" t="s">
        <v>2004</v>
      </c>
      <c r="E43" s="266" t="s">
        <v>928</v>
      </c>
      <c r="L43" s="266" t="s">
        <v>928</v>
      </c>
      <c r="M43" s="266" t="s">
        <v>928</v>
      </c>
      <c r="N43" s="266" t="s">
        <v>2004</v>
      </c>
      <c r="O43" s="266" t="s">
        <v>928</v>
      </c>
    </row>
    <row r="44" spans="1:31" x14ac:dyDescent="0.25">
      <c r="A44" s="265" t="s">
        <v>923</v>
      </c>
      <c r="B44" s="266" t="s">
        <v>1787</v>
      </c>
      <c r="C44" s="266" t="s">
        <v>118</v>
      </c>
      <c r="D44" s="266" t="s">
        <v>336</v>
      </c>
      <c r="E44" s="266" t="s">
        <v>84</v>
      </c>
      <c r="L44" s="266" t="s">
        <v>1787</v>
      </c>
      <c r="M44" s="266" t="s">
        <v>118</v>
      </c>
      <c r="N44" s="266" t="s">
        <v>336</v>
      </c>
      <c r="O44" s="266" t="s">
        <v>84</v>
      </c>
      <c r="R44" s="266" t="s">
        <v>1787</v>
      </c>
      <c r="S44" s="266" t="s">
        <v>118</v>
      </c>
      <c r="T44" s="266" t="s">
        <v>336</v>
      </c>
      <c r="U44" s="266" t="s">
        <v>84</v>
      </c>
      <c r="AB44" s="266" t="s">
        <v>1787</v>
      </c>
      <c r="AC44" s="105" t="s">
        <v>118</v>
      </c>
      <c r="AD44" s="105" t="s">
        <v>336</v>
      </c>
      <c r="AE44" s="105" t="s">
        <v>84</v>
      </c>
    </row>
    <row r="45" spans="1:31" x14ac:dyDescent="0.25">
      <c r="A45" s="265" t="s">
        <v>594</v>
      </c>
      <c r="B45" s="266" t="s">
        <v>1786</v>
      </c>
      <c r="C45" s="266" t="s">
        <v>2040</v>
      </c>
      <c r="D45" s="266" t="s">
        <v>2041</v>
      </c>
      <c r="E45" s="266" t="s">
        <v>2040</v>
      </c>
      <c r="L45" s="266" t="s">
        <v>1786</v>
      </c>
      <c r="M45" s="266">
        <v>13</v>
      </c>
      <c r="N45" s="266">
        <v>14</v>
      </c>
      <c r="O45" s="266">
        <v>13</v>
      </c>
      <c r="R45" s="266" t="s">
        <v>1786</v>
      </c>
      <c r="S45" s="272">
        <f>M45/4</f>
        <v>3.25</v>
      </c>
      <c r="T45" s="272">
        <f t="shared" ref="T45:T49" si="32">N45/4</f>
        <v>3.5</v>
      </c>
      <c r="U45" s="272">
        <f t="shared" ref="U45:U49" si="33">O45/4</f>
        <v>3.25</v>
      </c>
      <c r="AB45" s="266" t="s">
        <v>2061</v>
      </c>
      <c r="AC45" s="105">
        <f t="shared" ref="AC45:AE45" si="34">1-(1-(S45/S46))/5</f>
        <v>0.93</v>
      </c>
      <c r="AD45" s="105">
        <f t="shared" si="34"/>
        <v>1.2</v>
      </c>
      <c r="AE45" s="105">
        <f t="shared" si="34"/>
        <v>0.92380952380952386</v>
      </c>
    </row>
    <row r="46" spans="1:31" x14ac:dyDescent="0.25">
      <c r="A46" s="265" t="s">
        <v>594</v>
      </c>
      <c r="B46" s="266" t="s">
        <v>1785</v>
      </c>
      <c r="C46" s="266" t="s">
        <v>2039</v>
      </c>
      <c r="D46" s="266" t="s">
        <v>2038</v>
      </c>
      <c r="E46" s="266" t="s">
        <v>2037</v>
      </c>
      <c r="L46" s="266" t="s">
        <v>1785</v>
      </c>
      <c r="M46" s="266">
        <v>20</v>
      </c>
      <c r="N46" s="266">
        <v>7</v>
      </c>
      <c r="O46" s="266">
        <v>21</v>
      </c>
      <c r="R46" s="266" t="s">
        <v>1785</v>
      </c>
      <c r="S46" s="266">
        <f t="shared" ref="S46:S49" si="35">M46/4</f>
        <v>5</v>
      </c>
      <c r="T46" s="266">
        <f t="shared" si="32"/>
        <v>1.75</v>
      </c>
      <c r="U46" s="266">
        <f t="shared" si="33"/>
        <v>5.25</v>
      </c>
      <c r="AB46" s="266" t="s">
        <v>2058</v>
      </c>
      <c r="AC46" s="105">
        <f>1-(1-(S46/S47))/4</f>
        <v>0.91129032258064513</v>
      </c>
      <c r="AD46" s="105">
        <f t="shared" ref="AD46" si="36">1-(1-(T46/T47))/4</f>
        <v>0.83750000000000002</v>
      </c>
      <c r="AE46" s="105">
        <f t="shared" ref="AE46" si="37">1-(1-(U46/U47))/4</f>
        <v>0.9140625</v>
      </c>
    </row>
    <row r="47" spans="1:31" x14ac:dyDescent="0.25">
      <c r="A47" s="265" t="s">
        <v>594</v>
      </c>
      <c r="B47" s="266" t="s">
        <v>1784</v>
      </c>
      <c r="C47" s="266" t="s">
        <v>2036</v>
      </c>
      <c r="D47" s="266" t="s">
        <v>2035</v>
      </c>
      <c r="E47" s="266" t="s">
        <v>2034</v>
      </c>
      <c r="L47" s="266" t="s">
        <v>1784</v>
      </c>
      <c r="M47" s="266">
        <v>31</v>
      </c>
      <c r="N47" s="266">
        <v>20</v>
      </c>
      <c r="O47" s="266">
        <v>32</v>
      </c>
      <c r="R47" s="266" t="s">
        <v>1784</v>
      </c>
      <c r="S47" s="266">
        <f t="shared" si="35"/>
        <v>7.75</v>
      </c>
      <c r="T47" s="266">
        <f t="shared" si="32"/>
        <v>5</v>
      </c>
      <c r="U47" s="266">
        <f t="shared" si="33"/>
        <v>8</v>
      </c>
      <c r="AB47" s="269" t="s">
        <v>2059</v>
      </c>
      <c r="AC47" s="105">
        <f>1-(1-(S47/S48))/6</f>
        <v>0.93666666666666665</v>
      </c>
      <c r="AD47" s="105">
        <f t="shared" ref="AD47" si="38">1-(1-(T47/T48))/6</f>
        <v>0.97826086956521741</v>
      </c>
      <c r="AE47" s="105">
        <f t="shared" ref="AE47" si="39">1-(1-(U47/U48))/6</f>
        <v>0.93396226415094341</v>
      </c>
    </row>
    <row r="48" spans="1:31" x14ac:dyDescent="0.25">
      <c r="A48" s="265" t="s">
        <v>594</v>
      </c>
      <c r="B48" s="266" t="s">
        <v>1783</v>
      </c>
      <c r="C48" s="266" t="s">
        <v>2033</v>
      </c>
      <c r="D48" s="266" t="s">
        <v>2032</v>
      </c>
      <c r="E48" s="266" t="s">
        <v>2031</v>
      </c>
      <c r="L48" s="266" t="s">
        <v>1783</v>
      </c>
      <c r="M48" s="266">
        <v>50</v>
      </c>
      <c r="N48" s="266">
        <v>23</v>
      </c>
      <c r="O48" s="266">
        <v>53</v>
      </c>
      <c r="R48" s="266" t="s">
        <v>1783</v>
      </c>
      <c r="S48" s="266">
        <f t="shared" si="35"/>
        <v>12.5</v>
      </c>
      <c r="T48" s="266">
        <f t="shared" si="32"/>
        <v>5.75</v>
      </c>
      <c r="U48" s="266">
        <f t="shared" si="33"/>
        <v>13.25</v>
      </c>
      <c r="AB48" s="269" t="s">
        <v>2060</v>
      </c>
      <c r="AC48" s="105">
        <f>1-(1-(S48/S49))/5</f>
        <v>0.92987012987012985</v>
      </c>
      <c r="AD48" s="105">
        <f t="shared" ref="AD48" si="40">1-(1-(T48/T49))/5</f>
        <v>0.89387755102040822</v>
      </c>
      <c r="AE48" s="105">
        <f t="shared" ref="AE48" si="41">1-(1-(U48/U49))/5</f>
        <v>0.9325</v>
      </c>
    </row>
    <row r="49" spans="1:31" x14ac:dyDescent="0.25">
      <c r="A49" s="265" t="s">
        <v>594</v>
      </c>
      <c r="B49" s="266" t="s">
        <v>1782</v>
      </c>
      <c r="C49" s="266" t="s">
        <v>2030</v>
      </c>
      <c r="D49" s="266" t="s">
        <v>2009</v>
      </c>
      <c r="E49" s="266" t="s">
        <v>2029</v>
      </c>
      <c r="L49" s="266" t="s">
        <v>1782</v>
      </c>
      <c r="M49" s="266">
        <v>77</v>
      </c>
      <c r="N49" s="266">
        <v>49</v>
      </c>
      <c r="O49" s="266">
        <v>80</v>
      </c>
      <c r="R49" s="266" t="s">
        <v>1782</v>
      </c>
      <c r="S49" s="266">
        <f t="shared" si="35"/>
        <v>19.25</v>
      </c>
      <c r="T49" s="266">
        <f t="shared" si="32"/>
        <v>12.25</v>
      </c>
      <c r="U49" s="266">
        <f t="shared" si="33"/>
        <v>20</v>
      </c>
    </row>
    <row r="50" spans="1:31" x14ac:dyDescent="0.25">
      <c r="AC50" s="271">
        <f>AVERAGE(AC45:AC48)</f>
        <v>0.92695677977936042</v>
      </c>
      <c r="AD50" s="271">
        <f t="shared" ref="AD50:AE50" si="42">AVERAGE(AD45:AD48)</f>
        <v>0.9774096051464064</v>
      </c>
      <c r="AE50" s="271">
        <f t="shared" si="42"/>
        <v>0.92608357199011682</v>
      </c>
    </row>
    <row r="51" spans="1:31" x14ac:dyDescent="0.25">
      <c r="A51" s="265" t="s">
        <v>2028</v>
      </c>
      <c r="B51" s="266" t="s">
        <v>2027</v>
      </c>
      <c r="L51" s="266" t="s">
        <v>2027</v>
      </c>
    </row>
    <row r="52" spans="1:31" x14ac:dyDescent="0.25">
      <c r="A52" s="265" t="s">
        <v>2020</v>
      </c>
    </row>
    <row r="53" spans="1:31" x14ac:dyDescent="0.25">
      <c r="M53" s="266" t="s">
        <v>2053</v>
      </c>
      <c r="S53" s="266" t="s">
        <v>2053</v>
      </c>
      <c r="AC53" s="105" t="s">
        <v>2053</v>
      </c>
    </row>
    <row r="54" spans="1:31" hidden="1" x14ac:dyDescent="0.25">
      <c r="A54" s="265" t="s">
        <v>928</v>
      </c>
      <c r="B54" s="266" t="s">
        <v>928</v>
      </c>
      <c r="C54" s="266" t="s">
        <v>2043</v>
      </c>
    </row>
    <row r="55" spans="1:31" hidden="1" x14ac:dyDescent="0.25">
      <c r="A55" s="265" t="s">
        <v>928</v>
      </c>
      <c r="B55" s="266" t="s">
        <v>928</v>
      </c>
      <c r="C55" s="266" t="s">
        <v>928</v>
      </c>
    </row>
    <row r="56" spans="1:31" hidden="1" x14ac:dyDescent="0.25">
      <c r="A56" s="265" t="s">
        <v>928</v>
      </c>
      <c r="B56" s="266" t="s">
        <v>928</v>
      </c>
      <c r="C56" s="266" t="s">
        <v>2049</v>
      </c>
    </row>
    <row r="57" spans="1:31" hidden="1" x14ac:dyDescent="0.25">
      <c r="A57" s="265" t="s">
        <v>923</v>
      </c>
      <c r="B57" s="266" t="s">
        <v>1787</v>
      </c>
      <c r="C57" s="266" t="s">
        <v>981</v>
      </c>
    </row>
    <row r="58" spans="1:31" hidden="1" x14ac:dyDescent="0.25">
      <c r="A58" s="265" t="s">
        <v>594</v>
      </c>
      <c r="B58" s="266" t="s">
        <v>1786</v>
      </c>
      <c r="C58" s="266" t="s">
        <v>2048</v>
      </c>
      <c r="D58" s="268" t="s">
        <v>2050</v>
      </c>
      <c r="N58" s="268"/>
      <c r="T58" s="268"/>
      <c r="AD58" s="270"/>
    </row>
    <row r="59" spans="1:31" hidden="1" x14ac:dyDescent="0.25">
      <c r="A59" s="265" t="s">
        <v>594</v>
      </c>
      <c r="B59" s="266" t="s">
        <v>1785</v>
      </c>
      <c r="C59" s="266" t="s">
        <v>2047</v>
      </c>
    </row>
    <row r="60" spans="1:31" hidden="1" x14ac:dyDescent="0.25">
      <c r="A60" s="265" t="s">
        <v>594</v>
      </c>
      <c r="B60" s="266" t="s">
        <v>1784</v>
      </c>
      <c r="C60" s="266" t="s">
        <v>2046</v>
      </c>
    </row>
    <row r="61" spans="1:31" hidden="1" x14ac:dyDescent="0.25">
      <c r="A61" s="265" t="s">
        <v>594</v>
      </c>
      <c r="B61" s="266" t="s">
        <v>1783</v>
      </c>
      <c r="C61" s="266" t="s">
        <v>2045</v>
      </c>
    </row>
    <row r="62" spans="1:31" hidden="1" x14ac:dyDescent="0.25">
      <c r="A62" s="265" t="s">
        <v>594</v>
      </c>
      <c r="B62" s="266" t="s">
        <v>1782</v>
      </c>
      <c r="C62" s="266" t="s">
        <v>2044</v>
      </c>
    </row>
    <row r="63" spans="1:31" hidden="1" x14ac:dyDescent="0.25"/>
    <row r="64" spans="1:31" hidden="1" x14ac:dyDescent="0.25">
      <c r="A64" s="265" t="s">
        <v>2043</v>
      </c>
      <c r="B64" s="266" t="s">
        <v>2042</v>
      </c>
    </row>
    <row r="65" spans="1:31" hidden="1" x14ac:dyDescent="0.25">
      <c r="A65" s="265" t="s">
        <v>2020</v>
      </c>
    </row>
    <row r="66" spans="1:31" hidden="1" x14ac:dyDescent="0.25"/>
    <row r="67" spans="1:31" x14ac:dyDescent="0.25">
      <c r="L67" s="266" t="s">
        <v>1787</v>
      </c>
      <c r="M67" s="266" t="s">
        <v>118</v>
      </c>
      <c r="N67" s="266" t="s">
        <v>336</v>
      </c>
      <c r="O67" s="266" t="s">
        <v>84</v>
      </c>
      <c r="R67" s="266" t="s">
        <v>1787</v>
      </c>
      <c r="S67" s="266" t="s">
        <v>118</v>
      </c>
      <c r="T67" s="266" t="s">
        <v>336</v>
      </c>
      <c r="U67" s="266" t="s">
        <v>84</v>
      </c>
      <c r="AB67" s="266" t="s">
        <v>1787</v>
      </c>
      <c r="AC67" s="105" t="s">
        <v>118</v>
      </c>
      <c r="AD67" s="105" t="s">
        <v>336</v>
      </c>
      <c r="AE67" s="105" t="s">
        <v>84</v>
      </c>
    </row>
    <row r="68" spans="1:31" x14ac:dyDescent="0.25">
      <c r="L68" s="266" t="s">
        <v>1786</v>
      </c>
      <c r="M68" s="266">
        <f>M32-M45</f>
        <v>46</v>
      </c>
      <c r="N68" s="266">
        <f t="shared" ref="N68:O68" si="43">N32-N45</f>
        <v>32</v>
      </c>
      <c r="O68" s="266">
        <f t="shared" si="43"/>
        <v>51</v>
      </c>
      <c r="R68" s="266" t="s">
        <v>1786</v>
      </c>
      <c r="S68" s="272">
        <f>M68</f>
        <v>46</v>
      </c>
      <c r="T68" s="272">
        <f t="shared" ref="T68:T72" si="44">N68</f>
        <v>32</v>
      </c>
      <c r="U68" s="272">
        <f t="shared" ref="U68:U72" si="45">O68</f>
        <v>51</v>
      </c>
      <c r="AB68" s="266" t="s">
        <v>2061</v>
      </c>
      <c r="AC68" s="105">
        <f>1-(1-(S68/S69))/5</f>
        <v>0.99574468085106382</v>
      </c>
      <c r="AD68" s="105">
        <f t="shared" ref="AD68" si="46">1-(1-(T68/T69))/5</f>
        <v>0.95238095238095233</v>
      </c>
      <c r="AE68" s="105">
        <f t="shared" ref="AE68" si="47">1-(1-(U68/U69))/5</f>
        <v>1.0125</v>
      </c>
    </row>
    <row r="69" spans="1:31" x14ac:dyDescent="0.25">
      <c r="L69" s="266" t="s">
        <v>1785</v>
      </c>
      <c r="M69" s="266">
        <f t="shared" ref="M69:O69" si="48">M33-M46</f>
        <v>47</v>
      </c>
      <c r="N69" s="266">
        <f t="shared" si="48"/>
        <v>42</v>
      </c>
      <c r="O69" s="266">
        <f t="shared" si="48"/>
        <v>48</v>
      </c>
      <c r="R69" s="266" t="s">
        <v>1785</v>
      </c>
      <c r="S69" s="266">
        <f t="shared" ref="S69:S72" si="49">M69</f>
        <v>47</v>
      </c>
      <c r="T69" s="266">
        <f t="shared" si="44"/>
        <v>42</v>
      </c>
      <c r="U69" s="266">
        <f t="shared" si="45"/>
        <v>48</v>
      </c>
      <c r="AB69" s="266" t="s">
        <v>2058</v>
      </c>
      <c r="AC69" s="105">
        <f>1-(1-(S69/S70))/4</f>
        <v>0.95614035087719296</v>
      </c>
      <c r="AD69" s="105">
        <f t="shared" ref="AD69" si="50">1-(1-(T69/T70))/4</f>
        <v>0.9642857142857143</v>
      </c>
      <c r="AE69" s="105">
        <f t="shared" ref="AE69" si="51">1-(1-(U69/U70))/4</f>
        <v>0.95338983050847459</v>
      </c>
    </row>
    <row r="70" spans="1:31" x14ac:dyDescent="0.25">
      <c r="L70" s="266" t="s">
        <v>1784</v>
      </c>
      <c r="M70" s="266">
        <f t="shared" ref="M70:O70" si="52">M34-M47</f>
        <v>57</v>
      </c>
      <c r="N70" s="266">
        <f t="shared" si="52"/>
        <v>49</v>
      </c>
      <c r="O70" s="266">
        <f t="shared" si="52"/>
        <v>59</v>
      </c>
      <c r="R70" s="266" t="s">
        <v>1784</v>
      </c>
      <c r="S70" s="266">
        <f t="shared" si="49"/>
        <v>57</v>
      </c>
      <c r="T70" s="266">
        <f t="shared" si="44"/>
        <v>49</v>
      </c>
      <c r="U70" s="266">
        <f t="shared" si="45"/>
        <v>59</v>
      </c>
      <c r="AB70" s="269" t="s">
        <v>2059</v>
      </c>
      <c r="AC70" s="105">
        <f>1-(1-(S70/S71))/6</f>
        <v>0.9634703196347032</v>
      </c>
      <c r="AD70" s="105">
        <f t="shared" ref="AD70" si="53">1-(1-(T70/T71))/6</f>
        <v>0.94835680751173712</v>
      </c>
      <c r="AE70" s="105">
        <f t="shared" ref="AE70" si="54">1-(1-(U70/U71))/6</f>
        <v>0.96803652968036524</v>
      </c>
    </row>
    <row r="71" spans="1:31" x14ac:dyDescent="0.25">
      <c r="L71" s="266" t="s">
        <v>1783</v>
      </c>
      <c r="M71" s="266">
        <f t="shared" ref="M71:O71" si="55">M35-M48</f>
        <v>73</v>
      </c>
      <c r="N71" s="266">
        <f t="shared" si="55"/>
        <v>71</v>
      </c>
      <c r="O71" s="266">
        <f t="shared" si="55"/>
        <v>73</v>
      </c>
      <c r="R71" s="266" t="s">
        <v>1783</v>
      </c>
      <c r="S71" s="266">
        <f t="shared" si="49"/>
        <v>73</v>
      </c>
      <c r="T71" s="266">
        <f t="shared" si="44"/>
        <v>71</v>
      </c>
      <c r="U71" s="266">
        <f t="shared" si="45"/>
        <v>73</v>
      </c>
      <c r="AB71" s="269" t="s">
        <v>2060</v>
      </c>
      <c r="AC71" s="105">
        <f>1-(1-(S71/S72))/5</f>
        <v>0.96404494382022476</v>
      </c>
      <c r="AD71" s="105">
        <f t="shared" ref="AD71" si="56">1-(1-(T71/T72))/5</f>
        <v>0.96511627906976749</v>
      </c>
      <c r="AE71" s="105">
        <f t="shared" ref="AE71" si="57">1-(1-(U71/U72))/5</f>
        <v>0.9622222222222222</v>
      </c>
    </row>
    <row r="72" spans="1:31" x14ac:dyDescent="0.25">
      <c r="L72" s="266" t="s">
        <v>1782</v>
      </c>
      <c r="M72" s="266">
        <f t="shared" ref="M72:O72" si="58">M36-M49</f>
        <v>89</v>
      </c>
      <c r="N72" s="266">
        <f t="shared" si="58"/>
        <v>86</v>
      </c>
      <c r="O72" s="266">
        <f t="shared" si="58"/>
        <v>90</v>
      </c>
      <c r="R72" s="266" t="s">
        <v>1782</v>
      </c>
      <c r="S72" s="266">
        <f t="shared" si="49"/>
        <v>89</v>
      </c>
      <c r="T72" s="266">
        <f t="shared" si="44"/>
        <v>86</v>
      </c>
      <c r="U72" s="266">
        <f t="shared" si="45"/>
        <v>90</v>
      </c>
    </row>
    <row r="73" spans="1:31" x14ac:dyDescent="0.2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5" x14ac:dyDescent="0.25"/>
  <cols>
    <col min="1" max="1" width="25.5703125" bestFit="1" customWidth="1"/>
    <col min="2" max="2" width="14.5703125" customWidth="1"/>
    <col min="6" max="6" width="9.42578125" customWidth="1"/>
  </cols>
  <sheetData>
    <row r="1" spans="1:6" x14ac:dyDescent="0.25">
      <c r="B1" t="s">
        <v>2095</v>
      </c>
    </row>
    <row r="2" spans="1:6" x14ac:dyDescent="0.25">
      <c r="A2" t="s">
        <v>127</v>
      </c>
      <c r="B2" s="125">
        <f>'mort infant'!I275*'mort infant'!BM272</f>
        <v>33.853234800648842</v>
      </c>
    </row>
    <row r="3" spans="1:6" x14ac:dyDescent="0.25">
      <c r="A3" t="s">
        <v>128</v>
      </c>
      <c r="B3" s="125">
        <f>('mort 1-5'!I275-B2)/4</f>
        <v>3.6388099439055885</v>
      </c>
    </row>
    <row r="4" spans="1:6" x14ac:dyDescent="0.25">
      <c r="A4" t="s">
        <v>129</v>
      </c>
      <c r="B4" s="125">
        <f>'mort 5-9'!I275/5</f>
        <v>1.1229032258064517</v>
      </c>
    </row>
    <row r="5" spans="1:6" x14ac:dyDescent="0.25">
      <c r="A5" t="s">
        <v>130</v>
      </c>
      <c r="B5" s="125">
        <f>'mort 10-14'!I275/5</f>
        <v>0.9230404558404558</v>
      </c>
    </row>
    <row r="6" spans="1:6" x14ac:dyDescent="0.25">
      <c r="A6" t="s">
        <v>131</v>
      </c>
      <c r="B6" s="125">
        <f>'mort 15-19'!I275/5</f>
        <v>1.5441407123135868</v>
      </c>
    </row>
    <row r="7" spans="1:6" x14ac:dyDescent="0.25">
      <c r="A7" s="234" t="s">
        <v>132</v>
      </c>
      <c r="B7" s="294">
        <f>'mort 20-24'!I275/5</f>
        <v>1.7002298850574711</v>
      </c>
    </row>
    <row r="8" spans="1:6" x14ac:dyDescent="0.25">
      <c r="A8" t="s">
        <v>2096</v>
      </c>
      <c r="B8" s="125">
        <f>B7</f>
        <v>1.7002298850574711</v>
      </c>
      <c r="C8" t="s">
        <v>2098</v>
      </c>
    </row>
    <row r="9" spans="1:6" x14ac:dyDescent="0.25">
      <c r="A9" t="s">
        <v>2097</v>
      </c>
      <c r="B9" s="125">
        <f>B7</f>
        <v>1.7002298850574711</v>
      </c>
      <c r="C9" t="s">
        <v>2098</v>
      </c>
    </row>
    <row r="11" spans="1:6" x14ac:dyDescent="0.25">
      <c r="A11" t="s">
        <v>2094</v>
      </c>
      <c r="B11" s="273">
        <f>('mort adult f'!I275-'mort 15-19'!I275-'mort 20-24'!I275*3)/(60-34)</f>
        <v>5.5488316166847662</v>
      </c>
    </row>
    <row r="12" spans="1:6" x14ac:dyDescent="0.25">
      <c r="A12" t="s">
        <v>2110</v>
      </c>
      <c r="B12" s="273">
        <f>('mort adult m'!I275-'mort 15-19'!I275-'mort 20-24'!I275*3)/(60-34)</f>
        <v>7.5538925782127171</v>
      </c>
    </row>
    <row r="13" spans="1:6" x14ac:dyDescent="0.25">
      <c r="B13" s="273"/>
    </row>
    <row r="14" spans="1:6" x14ac:dyDescent="0.25">
      <c r="B14" s="273"/>
      <c r="C14" t="s">
        <v>2100</v>
      </c>
      <c r="D14" t="s">
        <v>2101</v>
      </c>
      <c r="E14" t="s">
        <v>2102</v>
      </c>
    </row>
    <row r="15" spans="1:6" x14ac:dyDescent="0.25">
      <c r="A15" s="293" t="s">
        <v>2093</v>
      </c>
      <c r="B15" s="301">
        <f>B11/(E16*D16+(1-D16))</f>
        <v>4.6410387643786963</v>
      </c>
      <c r="C15" s="124">
        <f>SUM(TotalPop!C37:C51)/1000</f>
        <v>7728.7793200000006</v>
      </c>
      <c r="F15" s="3"/>
    </row>
    <row r="16" spans="1:6" x14ac:dyDescent="0.25">
      <c r="A16" s="293" t="s">
        <v>2105</v>
      </c>
      <c r="B16" s="301">
        <f>B15*E16</f>
        <v>7.8897658994437831</v>
      </c>
      <c r="C16" s="299">
        <f>SUM(TotalPop!C52:C61)/1000</f>
        <v>2997.1497600000007</v>
      </c>
      <c r="D16">
        <f>1-C15/SUM(C15:C16)</f>
        <v>0.27943031672553265</v>
      </c>
      <c r="E16" s="3">
        <f>AA66</f>
        <v>1.7</v>
      </c>
    </row>
    <row r="17" spans="1:63" x14ac:dyDescent="0.25">
      <c r="A17" s="293" t="s">
        <v>2089</v>
      </c>
      <c r="B17" s="301">
        <f>E17*B16</f>
        <v>22.091344518442593</v>
      </c>
      <c r="C17" s="124"/>
      <c r="E17" s="3">
        <f>AE66</f>
        <v>2.8</v>
      </c>
    </row>
    <row r="18" spans="1:63" x14ac:dyDescent="0.25">
      <c r="A18" s="293" t="s">
        <v>2090</v>
      </c>
      <c r="B18" s="301">
        <f>B16*E18</f>
        <v>86.787424893881621</v>
      </c>
      <c r="E18">
        <f>AH66</f>
        <v>11</v>
      </c>
    </row>
    <row r="19" spans="1:63" x14ac:dyDescent="0.25">
      <c r="B19" s="273"/>
    </row>
    <row r="20" spans="1:63" x14ac:dyDescent="0.25">
      <c r="B20" s="273"/>
      <c r="C20" t="s">
        <v>2100</v>
      </c>
      <c r="D20" t="s">
        <v>2101</v>
      </c>
      <c r="E20" t="s">
        <v>2102</v>
      </c>
    </row>
    <row r="21" spans="1:63" x14ac:dyDescent="0.25">
      <c r="A21" s="293" t="s">
        <v>2111</v>
      </c>
      <c r="B21" s="301">
        <f>B12/(E22*D22+(1-D22))</f>
        <v>6.3527026636382198</v>
      </c>
      <c r="C21" s="124">
        <f>SUM(TotalPop!B37:B51)/1000</f>
        <v>7628.1322</v>
      </c>
    </row>
    <row r="22" spans="1:63" x14ac:dyDescent="0.25">
      <c r="A22" s="293" t="s">
        <v>2112</v>
      </c>
      <c r="B22" s="301">
        <f>B21*E22</f>
        <v>12.070135060912618</v>
      </c>
      <c r="C22" s="299">
        <f>SUM(TotalPop!B58:B67)/1000</f>
        <v>2028.8625999999999</v>
      </c>
      <c r="D22">
        <f>1-C21/SUM(C21:C22)</f>
        <v>0.21009254348982365</v>
      </c>
      <c r="E22" s="3">
        <f>AV66</f>
        <v>1.9</v>
      </c>
    </row>
    <row r="23" spans="1:63" x14ac:dyDescent="0.25">
      <c r="A23" s="293" t="s">
        <v>2087</v>
      </c>
      <c r="B23" s="301">
        <f>E23*B22</f>
        <v>31.382351158372806</v>
      </c>
      <c r="C23" s="124"/>
      <c r="E23" s="3">
        <f>AZ66</f>
        <v>2.6</v>
      </c>
    </row>
    <row r="24" spans="1:63" x14ac:dyDescent="0.25">
      <c r="A24" s="293" t="s">
        <v>2088</v>
      </c>
      <c r="B24" s="301">
        <f>B22*E24</f>
        <v>105.01017502993976</v>
      </c>
      <c r="E24" s="3">
        <f>BC66</f>
        <v>8.6999999999999993</v>
      </c>
    </row>
    <row r="28" spans="1:63" x14ac:dyDescent="0.25">
      <c r="B28" s="295" t="s">
        <v>2113</v>
      </c>
      <c r="C28" s="295"/>
      <c r="D28" s="295"/>
      <c r="E28" s="295"/>
      <c r="F28" s="295"/>
      <c r="G28" s="295"/>
      <c r="H28" s="295"/>
      <c r="I28" s="295"/>
      <c r="J28" s="295"/>
      <c r="K28" s="295"/>
      <c r="L28" s="295"/>
      <c r="M28" s="295"/>
      <c r="N28" s="295"/>
      <c r="O28" s="295"/>
      <c r="P28" s="295"/>
      <c r="Q28" s="295"/>
      <c r="R28" s="295"/>
      <c r="S28" s="295"/>
      <c r="T28" s="295"/>
      <c r="U28" s="295"/>
      <c r="W28" s="295" t="s">
        <v>2114</v>
      </c>
      <c r="X28" s="295"/>
      <c r="Y28" s="295"/>
      <c r="Z28" s="295"/>
      <c r="AA28" s="295"/>
      <c r="AB28" s="295"/>
      <c r="AC28" s="295"/>
      <c r="AD28" s="295"/>
      <c r="AE28" s="295"/>
      <c r="AF28" s="295"/>
      <c r="AG28" s="295"/>
      <c r="AH28" s="295"/>
      <c r="AI28" s="295"/>
      <c r="AJ28" s="295"/>
      <c r="AK28" s="295"/>
      <c r="AL28" s="295"/>
      <c r="AM28" s="295"/>
      <c r="AN28" s="295"/>
      <c r="AO28" s="295"/>
      <c r="AP28" s="295"/>
      <c r="AR28" s="295" t="s">
        <v>2115</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25">
      <c r="B29" s="296" t="s">
        <v>982</v>
      </c>
      <c r="C29" s="296" t="s">
        <v>983</v>
      </c>
      <c r="D29" s="296" t="s">
        <v>664</v>
      </c>
      <c r="E29" s="296" t="s">
        <v>665</v>
      </c>
      <c r="F29" s="296" t="s">
        <v>667</v>
      </c>
      <c r="G29" s="296" t="s">
        <v>670</v>
      </c>
      <c r="H29" s="296" t="s">
        <v>672</v>
      </c>
      <c r="I29" s="296" t="s">
        <v>674</v>
      </c>
      <c r="J29" s="296" t="s">
        <v>676</v>
      </c>
      <c r="K29" s="296" t="s">
        <v>984</v>
      </c>
      <c r="L29" s="296" t="s">
        <v>985</v>
      </c>
      <c r="M29" s="296" t="s">
        <v>986</v>
      </c>
      <c r="N29" s="296" t="s">
        <v>987</v>
      </c>
      <c r="O29" s="296" t="s">
        <v>988</v>
      </c>
      <c r="P29" s="296" t="s">
        <v>989</v>
      </c>
      <c r="Q29" s="296" t="s">
        <v>990</v>
      </c>
      <c r="R29" s="296" t="s">
        <v>991</v>
      </c>
      <c r="S29" s="296" t="s">
        <v>992</v>
      </c>
      <c r="T29" s="296" t="s">
        <v>993</v>
      </c>
      <c r="U29" s="296" t="s">
        <v>994</v>
      </c>
      <c r="W29" s="296" t="s">
        <v>982</v>
      </c>
      <c r="X29" s="296" t="s">
        <v>983</v>
      </c>
      <c r="Y29" s="296" t="s">
        <v>664</v>
      </c>
      <c r="Z29" s="296" t="s">
        <v>665</v>
      </c>
      <c r="AA29" s="296" t="s">
        <v>667</v>
      </c>
      <c r="AB29" s="296" t="s">
        <v>670</v>
      </c>
      <c r="AC29" s="296" t="s">
        <v>672</v>
      </c>
      <c r="AD29" s="296" t="s">
        <v>674</v>
      </c>
      <c r="AE29" s="296" t="s">
        <v>676</v>
      </c>
      <c r="AF29" s="296" t="s">
        <v>984</v>
      </c>
      <c r="AG29" s="296" t="s">
        <v>985</v>
      </c>
      <c r="AH29" s="296" t="s">
        <v>986</v>
      </c>
      <c r="AI29" s="296" t="s">
        <v>987</v>
      </c>
      <c r="AJ29" s="296" t="s">
        <v>988</v>
      </c>
      <c r="AK29" s="296" t="s">
        <v>989</v>
      </c>
      <c r="AL29" s="296" t="s">
        <v>990</v>
      </c>
      <c r="AM29" s="296" t="s">
        <v>991</v>
      </c>
      <c r="AN29" s="296" t="s">
        <v>992</v>
      </c>
      <c r="AO29" s="296" t="s">
        <v>993</v>
      </c>
      <c r="AP29" s="296" t="s">
        <v>994</v>
      </c>
      <c r="AR29" s="296" t="s">
        <v>982</v>
      </c>
      <c r="AS29" s="296" t="s">
        <v>983</v>
      </c>
      <c r="AT29" s="296" t="s">
        <v>664</v>
      </c>
      <c r="AU29" s="296" t="s">
        <v>665</v>
      </c>
      <c r="AV29" s="296" t="s">
        <v>667</v>
      </c>
      <c r="AW29" s="296" t="s">
        <v>670</v>
      </c>
      <c r="AX29" s="296" t="s">
        <v>672</v>
      </c>
      <c r="AY29" s="296" t="s">
        <v>674</v>
      </c>
      <c r="AZ29" s="296" t="s">
        <v>676</v>
      </c>
      <c r="BA29" s="296" t="s">
        <v>984</v>
      </c>
      <c r="BB29" s="296" t="s">
        <v>985</v>
      </c>
      <c r="BC29" s="296" t="s">
        <v>986</v>
      </c>
      <c r="BD29" s="296" t="s">
        <v>987</v>
      </c>
      <c r="BE29" s="296" t="s">
        <v>988</v>
      </c>
      <c r="BF29" s="296" t="s">
        <v>989</v>
      </c>
      <c r="BG29" s="296" t="s">
        <v>990</v>
      </c>
      <c r="BH29" s="296" t="s">
        <v>991</v>
      </c>
      <c r="BI29" s="296" t="s">
        <v>992</v>
      </c>
      <c r="BJ29" s="296" t="s">
        <v>993</v>
      </c>
      <c r="BK29" s="296" t="s">
        <v>994</v>
      </c>
    </row>
    <row r="30" spans="1:63" x14ac:dyDescent="0.2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2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2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2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2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2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2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2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2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2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2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2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2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2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2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2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25">
      <c r="D48" t="s">
        <v>2104</v>
      </c>
      <c r="E48" t="s">
        <v>2103</v>
      </c>
      <c r="F48" t="s">
        <v>414</v>
      </c>
      <c r="H48" t="s">
        <v>2106</v>
      </c>
      <c r="I48" t="s">
        <v>2107</v>
      </c>
      <c r="J48" t="s">
        <v>2108</v>
      </c>
      <c r="L48" t="s">
        <v>2109</v>
      </c>
      <c r="M48" t="s">
        <v>2108</v>
      </c>
      <c r="Y48" t="s">
        <v>2104</v>
      </c>
      <c r="Z48" t="s">
        <v>2103</v>
      </c>
      <c r="AA48" t="s">
        <v>414</v>
      </c>
      <c r="AC48" t="s">
        <v>2106</v>
      </c>
      <c r="AD48" t="s">
        <v>2107</v>
      </c>
      <c r="AE48" t="s">
        <v>2108</v>
      </c>
      <c r="AG48" t="s">
        <v>2109</v>
      </c>
      <c r="AH48" t="s">
        <v>2108</v>
      </c>
      <c r="AT48" t="s">
        <v>2104</v>
      </c>
      <c r="AU48" t="s">
        <v>2103</v>
      </c>
      <c r="AV48" t="s">
        <v>414</v>
      </c>
      <c r="AX48" t="s">
        <v>2106</v>
      </c>
      <c r="AY48" t="s">
        <v>2107</v>
      </c>
      <c r="AZ48" t="s">
        <v>2108</v>
      </c>
      <c r="BB48" t="s">
        <v>2109</v>
      </c>
      <c r="BC48" t="s">
        <v>2108</v>
      </c>
    </row>
    <row r="49" spans="4:55" x14ac:dyDescent="0.2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2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2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2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2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2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2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2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2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2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2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2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2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2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2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2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25">
      <c r="C66" t="s">
        <v>2099</v>
      </c>
      <c r="F66" s="89">
        <v>1.8</v>
      </c>
      <c r="H66" s="89"/>
      <c r="I66" s="89">
        <v>4.8</v>
      </c>
      <c r="J66" s="89">
        <f>2.7</f>
        <v>2.7</v>
      </c>
      <c r="L66" s="89"/>
      <c r="M66">
        <v>10</v>
      </c>
      <c r="AA66">
        <v>1.7</v>
      </c>
      <c r="AE66">
        <v>2.8</v>
      </c>
      <c r="AH66">
        <v>11</v>
      </c>
      <c r="AV66">
        <v>1.9</v>
      </c>
      <c r="AZ66">
        <v>2.6</v>
      </c>
      <c r="BC66">
        <v>8.6999999999999993</v>
      </c>
    </row>
    <row r="67" spans="2:63" x14ac:dyDescent="0.2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25">
      <c r="B70" s="295" t="s">
        <v>2118</v>
      </c>
      <c r="C70" s="295"/>
      <c r="D70" s="295"/>
      <c r="E70" s="295"/>
      <c r="F70" s="295"/>
      <c r="G70" s="295"/>
      <c r="H70" s="295"/>
      <c r="I70" s="295"/>
      <c r="J70" s="295"/>
      <c r="K70" s="295"/>
      <c r="L70" s="295"/>
      <c r="M70" s="295"/>
      <c r="N70" s="295"/>
      <c r="O70" s="295"/>
      <c r="P70" s="295"/>
      <c r="Q70" s="295"/>
      <c r="R70" s="295"/>
      <c r="S70" s="295"/>
      <c r="T70" s="295"/>
      <c r="U70" s="295"/>
      <c r="W70" s="295" t="s">
        <v>2118</v>
      </c>
      <c r="X70" s="295"/>
      <c r="Y70" s="295"/>
      <c r="Z70" s="295"/>
      <c r="AA70" s="295"/>
      <c r="AB70" s="295"/>
      <c r="AC70" s="295"/>
      <c r="AD70" s="295"/>
      <c r="AE70" s="295"/>
      <c r="AF70" s="295"/>
      <c r="AG70" s="295"/>
      <c r="AH70" s="295"/>
      <c r="AI70" s="295"/>
      <c r="AJ70" s="295"/>
      <c r="AK70" s="295"/>
      <c r="AL70" s="295"/>
      <c r="AM70" s="295"/>
      <c r="AN70" s="295"/>
      <c r="AO70" s="295"/>
      <c r="AP70" s="295"/>
      <c r="AR70" s="295" t="s">
        <v>2118</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25">
      <c r="B71" s="296" t="s">
        <v>982</v>
      </c>
      <c r="C71" s="296" t="s">
        <v>983</v>
      </c>
      <c r="D71" s="296" t="s">
        <v>664</v>
      </c>
      <c r="E71" s="296" t="s">
        <v>665</v>
      </c>
      <c r="F71" s="296" t="s">
        <v>667</v>
      </c>
      <c r="G71" s="296" t="s">
        <v>670</v>
      </c>
      <c r="H71" s="296" t="s">
        <v>672</v>
      </c>
      <c r="I71" s="296" t="s">
        <v>674</v>
      </c>
      <c r="J71" s="296" t="s">
        <v>676</v>
      </c>
      <c r="K71" s="296" t="s">
        <v>984</v>
      </c>
      <c r="L71" s="296" t="s">
        <v>985</v>
      </c>
      <c r="M71" s="296" t="s">
        <v>986</v>
      </c>
      <c r="N71" s="296" t="s">
        <v>987</v>
      </c>
      <c r="O71" s="296" t="s">
        <v>988</v>
      </c>
      <c r="P71" s="296" t="s">
        <v>989</v>
      </c>
      <c r="Q71" s="296" t="s">
        <v>990</v>
      </c>
      <c r="R71" s="296" t="s">
        <v>991</v>
      </c>
      <c r="S71" s="296" t="s">
        <v>992</v>
      </c>
      <c r="T71" s="296" t="s">
        <v>993</v>
      </c>
      <c r="U71" s="296" t="s">
        <v>994</v>
      </c>
      <c r="W71" s="296" t="s">
        <v>982</v>
      </c>
      <c r="X71" s="296" t="s">
        <v>983</v>
      </c>
      <c r="Y71" s="296" t="s">
        <v>664</v>
      </c>
      <c r="Z71" s="296" t="s">
        <v>665</v>
      </c>
      <c r="AA71" s="296" t="s">
        <v>667</v>
      </c>
      <c r="AB71" s="296" t="s">
        <v>670</v>
      </c>
      <c r="AC71" s="296" t="s">
        <v>672</v>
      </c>
      <c r="AD71" s="296" t="s">
        <v>674</v>
      </c>
      <c r="AE71" s="296" t="s">
        <v>676</v>
      </c>
      <c r="AF71" s="296" t="s">
        <v>984</v>
      </c>
      <c r="AG71" s="296" t="s">
        <v>985</v>
      </c>
      <c r="AH71" s="296" t="s">
        <v>986</v>
      </c>
      <c r="AI71" s="296" t="s">
        <v>987</v>
      </c>
      <c r="AJ71" s="296" t="s">
        <v>988</v>
      </c>
      <c r="AK71" s="296" t="s">
        <v>989</v>
      </c>
      <c r="AL71" s="296" t="s">
        <v>990</v>
      </c>
      <c r="AM71" s="296" t="s">
        <v>991</v>
      </c>
      <c r="AN71" s="296" t="s">
        <v>992</v>
      </c>
      <c r="AO71" s="296" t="s">
        <v>993</v>
      </c>
      <c r="AP71" s="296" t="s">
        <v>994</v>
      </c>
      <c r="AR71" s="296" t="s">
        <v>982</v>
      </c>
      <c r="AS71" s="296" t="s">
        <v>983</v>
      </c>
      <c r="AT71" s="296" t="s">
        <v>664</v>
      </c>
      <c r="AU71" s="296" t="s">
        <v>665</v>
      </c>
      <c r="AV71" s="296" t="s">
        <v>667</v>
      </c>
      <c r="AW71" s="296" t="s">
        <v>670</v>
      </c>
      <c r="AX71" s="296" t="s">
        <v>672</v>
      </c>
      <c r="AY71" s="296" t="s">
        <v>674</v>
      </c>
      <c r="AZ71" s="296" t="s">
        <v>676</v>
      </c>
      <c r="BA71" s="296" t="s">
        <v>984</v>
      </c>
      <c r="BB71" s="296" t="s">
        <v>985</v>
      </c>
      <c r="BC71" s="296" t="s">
        <v>986</v>
      </c>
      <c r="BD71" s="296" t="s">
        <v>987</v>
      </c>
      <c r="BE71" s="296" t="s">
        <v>988</v>
      </c>
      <c r="BF71" s="296" t="s">
        <v>989</v>
      </c>
      <c r="BG71" s="296" t="s">
        <v>990</v>
      </c>
      <c r="BH71" s="296" t="s">
        <v>991</v>
      </c>
      <c r="BI71" s="296" t="s">
        <v>992</v>
      </c>
      <c r="BJ71" s="296" t="s">
        <v>993</v>
      </c>
      <c r="BK71" s="296" t="s">
        <v>994</v>
      </c>
    </row>
    <row r="72" spans="2:63" x14ac:dyDescent="0.2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2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2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2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2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2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2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2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2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2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2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2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2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2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2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2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109375" defaultRowHeight="15" x14ac:dyDescent="0.25"/>
  <cols>
    <col min="1" max="1" width="16.140625" customWidth="1"/>
    <col min="2" max="2" width="77.85546875" customWidth="1"/>
    <col min="3" max="3" width="10.140625" bestFit="1" customWidth="1"/>
  </cols>
  <sheetData>
    <row r="1" spans="1:3" x14ac:dyDescent="0.25">
      <c r="A1" s="198" t="s">
        <v>100</v>
      </c>
      <c r="B1" s="198" t="s">
        <v>101</v>
      </c>
      <c r="C1" s="198" t="s">
        <v>102</v>
      </c>
    </row>
    <row r="2" spans="1:3" x14ac:dyDescent="0.25">
      <c r="A2" t="s">
        <v>72</v>
      </c>
      <c r="B2" t="s">
        <v>103</v>
      </c>
      <c r="C2" t="s">
        <v>104</v>
      </c>
    </row>
    <row r="3" spans="1:3" x14ac:dyDescent="0.25">
      <c r="A3" t="s">
        <v>73</v>
      </c>
      <c r="B3" t="s">
        <v>105</v>
      </c>
      <c r="C3" t="s">
        <v>104</v>
      </c>
    </row>
    <row r="4" spans="1:3" x14ac:dyDescent="0.25">
      <c r="A4" t="s">
        <v>74</v>
      </c>
      <c r="B4" t="s">
        <v>106</v>
      </c>
      <c r="C4" t="s">
        <v>104</v>
      </c>
    </row>
    <row r="5" spans="1:3" x14ac:dyDescent="0.25">
      <c r="A5" t="s">
        <v>75</v>
      </c>
      <c r="B5" t="s">
        <v>107</v>
      </c>
      <c r="C5" t="s">
        <v>108</v>
      </c>
    </row>
    <row r="6" spans="1:3" x14ac:dyDescent="0.25">
      <c r="A6" t="s">
        <v>76</v>
      </c>
      <c r="B6" t="s">
        <v>109</v>
      </c>
      <c r="C6" t="s">
        <v>110</v>
      </c>
    </row>
    <row r="7" spans="1:3" x14ac:dyDescent="0.25">
      <c r="A7" t="s">
        <v>77</v>
      </c>
      <c r="B7" t="s">
        <v>111</v>
      </c>
      <c r="C7" t="s">
        <v>110</v>
      </c>
    </row>
    <row r="8" spans="1:3" x14ac:dyDescent="0.25">
      <c r="A8" t="s">
        <v>78</v>
      </c>
      <c r="B8" t="s">
        <v>112</v>
      </c>
      <c r="C8" t="s">
        <v>110</v>
      </c>
    </row>
    <row r="9" spans="1:3" x14ac:dyDescent="0.25">
      <c r="A9" t="s">
        <v>79</v>
      </c>
      <c r="B9" t="s">
        <v>113</v>
      </c>
      <c r="C9" t="s">
        <v>110</v>
      </c>
    </row>
    <row r="10" spans="1:3" x14ac:dyDescent="0.25">
      <c r="A10" t="s">
        <v>80</v>
      </c>
      <c r="B10" t="s">
        <v>114</v>
      </c>
      <c r="C10" t="s">
        <v>110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5" x14ac:dyDescent="0.25"/>
  <cols>
    <col min="9" max="9" width="9.140625" bestFit="1" customWidth="1"/>
    <col min="11" max="11" width="14.5703125" bestFit="1" customWidth="1"/>
  </cols>
  <sheetData>
    <row r="2" spans="2:2" x14ac:dyDescent="0.25">
      <c r="B2" t="s">
        <v>1955</v>
      </c>
    </row>
    <row r="20" spans="2:12" x14ac:dyDescent="0.25">
      <c r="K20" s="6">
        <f>SUM(total_pop)</f>
        <v>115103531.71799999</v>
      </c>
      <c r="L20" t="s">
        <v>1956</v>
      </c>
    </row>
    <row r="21" spans="2:12" x14ac:dyDescent="0.25">
      <c r="K21" s="6">
        <v>39878</v>
      </c>
      <c r="L21" t="s">
        <v>1957</v>
      </c>
    </row>
    <row r="22" spans="2:12" x14ac:dyDescent="0.25">
      <c r="K22" s="47">
        <f>K20/K21</f>
        <v>2886.3917879031042</v>
      </c>
      <c r="L22" t="s">
        <v>1958</v>
      </c>
    </row>
    <row r="28" spans="2:12" x14ac:dyDescent="0.25">
      <c r="B28" t="s">
        <v>1959</v>
      </c>
    </row>
    <row r="30" spans="2:12" x14ac:dyDescent="0.25">
      <c r="I30" s="6">
        <f>10000/4.9</f>
        <v>2040.8163265306121</v>
      </c>
      <c r="J30" t="s">
        <v>1960</v>
      </c>
    </row>
    <row r="59" spans="2:12" x14ac:dyDescent="0.25">
      <c r="B59" t="s">
        <v>1961</v>
      </c>
    </row>
    <row r="61" spans="2:12" x14ac:dyDescent="0.25">
      <c r="L61" t="s">
        <v>1962</v>
      </c>
    </row>
    <row r="74" spans="2:2" x14ac:dyDescent="0.25">
      <c r="B74" t="s">
        <v>1963</v>
      </c>
    </row>
    <row r="102" spans="11:11" x14ac:dyDescent="0.25">
      <c r="K102" t="s">
        <v>1964</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109375" defaultRowHeight="15" x14ac:dyDescent="0.25"/>
  <cols>
    <col min="1" max="1" width="11.85546875" bestFit="1" customWidth="1"/>
    <col min="2" max="2" width="17.85546875" style="66" customWidth="1"/>
    <col min="3" max="3" width="22.85546875" style="66" customWidth="1"/>
    <col min="4" max="4" width="22.85546875" customWidth="1"/>
    <col min="5" max="5" width="17.85546875" customWidth="1"/>
    <col min="6" max="6" width="19.28515625" customWidth="1"/>
    <col min="7" max="7" width="17.85546875" style="56" customWidth="1"/>
    <col min="8" max="8" width="10.28515625" style="81" customWidth="1"/>
    <col min="9" max="9" width="18.42578125" style="206" customWidth="1"/>
    <col min="10" max="10" width="18.42578125" style="235" customWidth="1"/>
    <col min="11" max="12" width="18.42578125" style="194" customWidth="1"/>
    <col min="33" max="35" width="16.140625" customWidth="1"/>
  </cols>
  <sheetData>
    <row r="1" spans="1:37" x14ac:dyDescent="0.25">
      <c r="A1" s="77" t="s">
        <v>427</v>
      </c>
      <c r="B1" s="78" t="s">
        <v>428</v>
      </c>
      <c r="C1" s="78" t="s">
        <v>429</v>
      </c>
      <c r="D1" s="77" t="s">
        <v>430</v>
      </c>
      <c r="E1" s="77" t="s">
        <v>431</v>
      </c>
      <c r="F1" s="77" t="s">
        <v>432</v>
      </c>
      <c r="G1" s="207" t="s">
        <v>433</v>
      </c>
      <c r="H1" s="214" t="s">
        <v>1807</v>
      </c>
      <c r="I1" s="241" t="s">
        <v>1803</v>
      </c>
      <c r="J1" s="213" t="s">
        <v>1914</v>
      </c>
      <c r="K1" s="213" t="s">
        <v>1912</v>
      </c>
      <c r="L1" s="213" t="s">
        <v>1913</v>
      </c>
    </row>
    <row r="2" spans="1:37" x14ac:dyDescent="0.25">
      <c r="A2" s="79" t="s">
        <v>152</v>
      </c>
      <c r="B2" s="443" t="s">
        <v>435</v>
      </c>
      <c r="C2" s="444" t="s">
        <v>436</v>
      </c>
      <c r="D2" s="159" t="s">
        <v>287</v>
      </c>
      <c r="E2" s="79" t="s">
        <v>437</v>
      </c>
      <c r="F2" s="79" t="s">
        <v>438</v>
      </c>
      <c r="G2" s="208" t="s">
        <v>439</v>
      </c>
      <c r="I2" s="215">
        <v>1</v>
      </c>
      <c r="J2" s="235">
        <f>IF(I2&gt;0,K2/I2,"-")</f>
        <v>0.10430311241290574</v>
      </c>
      <c r="K2" s="194">
        <f>'DALYs '!L9*I2</f>
        <v>0.10430311241290574</v>
      </c>
      <c r="L2" s="194">
        <f>K2/(4*10/60)</f>
        <v>0.15645466861935861</v>
      </c>
      <c r="M2" t="s">
        <v>440</v>
      </c>
    </row>
    <row r="3" spans="1:37" x14ac:dyDescent="0.25">
      <c r="A3" s="79" t="s">
        <v>157</v>
      </c>
      <c r="B3" s="443"/>
      <c r="C3" s="444"/>
      <c r="D3" s="79" t="s">
        <v>289</v>
      </c>
      <c r="E3" s="79" t="s">
        <v>437</v>
      </c>
      <c r="F3" s="79" t="s">
        <v>441</v>
      </c>
      <c r="G3" s="208" t="s">
        <v>442</v>
      </c>
      <c r="I3" s="224">
        <v>0.25</v>
      </c>
      <c r="J3" s="235">
        <f t="shared" ref="J3:J54" si="0">IF(I3&gt;0,K3/I3,"-")</f>
        <v>0.29204871475613614</v>
      </c>
      <c r="K3" s="194">
        <f>'DALYs '!L10*I3</f>
        <v>7.3012178689034035E-2</v>
      </c>
      <c r="L3" s="194">
        <f>K3/(1*4)</f>
        <v>1.8253044672258509E-2</v>
      </c>
    </row>
    <row r="4" spans="1:37" x14ac:dyDescent="0.25">
      <c r="A4" s="79" t="s">
        <v>159</v>
      </c>
      <c r="B4" s="443"/>
      <c r="C4" s="444"/>
      <c r="D4" s="79" t="s">
        <v>290</v>
      </c>
      <c r="E4" s="79" t="s">
        <v>437</v>
      </c>
      <c r="F4" s="79" t="s">
        <v>443</v>
      </c>
      <c r="G4" s="208" t="s">
        <v>194</v>
      </c>
      <c r="L4" s="222"/>
    </row>
    <row r="5" spans="1:37" x14ac:dyDescent="0.25">
      <c r="A5" s="79" t="s">
        <v>162</v>
      </c>
      <c r="B5" s="443"/>
      <c r="C5" s="444"/>
      <c r="D5" s="79" t="s">
        <v>291</v>
      </c>
      <c r="E5" s="79" t="s">
        <v>437</v>
      </c>
      <c r="F5" s="79" t="s">
        <v>444</v>
      </c>
      <c r="G5" s="209" t="s">
        <v>445</v>
      </c>
      <c r="H5" s="81" t="s">
        <v>446</v>
      </c>
      <c r="I5" s="215">
        <v>1</v>
      </c>
      <c r="J5" s="235">
        <f t="shared" si="0"/>
        <v>0.83442489930324593</v>
      </c>
      <c r="K5" s="194">
        <f>'DALYs '!L7*I5</f>
        <v>0.83442489930324593</v>
      </c>
      <c r="L5" s="194">
        <f>K5/2</f>
        <v>0.41721244965162296</v>
      </c>
      <c r="AG5" s="186"/>
      <c r="AH5" s="186"/>
      <c r="AI5" s="186"/>
      <c r="AK5" s="186"/>
    </row>
    <row r="6" spans="1:37" x14ac:dyDescent="0.25">
      <c r="A6" s="79" t="s">
        <v>164</v>
      </c>
      <c r="B6" s="443"/>
      <c r="C6" s="444"/>
      <c r="D6" s="79" t="s">
        <v>292</v>
      </c>
      <c r="E6" s="79" t="s">
        <v>437</v>
      </c>
      <c r="F6" s="79" t="s">
        <v>444</v>
      </c>
      <c r="G6" s="209" t="s">
        <v>445</v>
      </c>
      <c r="H6" s="331" t="s">
        <v>446</v>
      </c>
      <c r="I6" s="215">
        <v>1</v>
      </c>
      <c r="J6" s="235">
        <f t="shared" si="0"/>
        <v>0.11473342365419609</v>
      </c>
      <c r="K6" s="194">
        <f>'DALYs '!L6+'DALYs '!L17*I6</f>
        <v>0.11473342365419609</v>
      </c>
      <c r="L6" s="194">
        <f>K6/2</f>
        <v>5.7366711827098044E-2</v>
      </c>
    </row>
    <row r="7" spans="1:37" x14ac:dyDescent="0.25">
      <c r="A7" s="79" t="s">
        <v>166</v>
      </c>
      <c r="B7" s="443"/>
      <c r="C7" s="444"/>
      <c r="D7" s="159" t="s">
        <v>447</v>
      </c>
      <c r="E7" s="79" t="s">
        <v>448</v>
      </c>
      <c r="F7" s="79" t="s">
        <v>449</v>
      </c>
      <c r="G7" s="208" t="s">
        <v>450</v>
      </c>
      <c r="H7" s="81" t="s">
        <v>446</v>
      </c>
      <c r="I7" s="224">
        <v>1</v>
      </c>
      <c r="J7" s="235">
        <f t="shared" si="0"/>
        <v>2.124297891012453E-2</v>
      </c>
      <c r="K7" s="194">
        <f>'DALYs '!G126*I7</f>
        <v>2.124297891012453E-2</v>
      </c>
      <c r="L7" s="194">
        <f>K7/(2*5/60)</f>
        <v>0.12745787346074719</v>
      </c>
    </row>
    <row r="8" spans="1:37" x14ac:dyDescent="0.25">
      <c r="A8" s="79" t="s">
        <v>170</v>
      </c>
      <c r="B8" s="443"/>
      <c r="C8" s="444"/>
      <c r="D8" s="159" t="s">
        <v>451</v>
      </c>
      <c r="E8" s="79" t="s">
        <v>448</v>
      </c>
      <c r="F8" s="79" t="s">
        <v>449</v>
      </c>
      <c r="G8" s="208" t="s">
        <v>450</v>
      </c>
      <c r="I8" s="224">
        <v>1</v>
      </c>
      <c r="J8" s="235">
        <f t="shared" si="0"/>
        <v>2.3E-2</v>
      </c>
      <c r="K8" s="194">
        <f>'DALYs '!B177*I8</f>
        <v>2.3E-2</v>
      </c>
      <c r="L8" s="194">
        <f>K8/(2*5/60)</f>
        <v>0.13800000000000001</v>
      </c>
    </row>
    <row r="9" spans="1:37" x14ac:dyDescent="0.25">
      <c r="A9" s="79" t="s">
        <v>172</v>
      </c>
      <c r="B9" s="443"/>
      <c r="C9" s="444"/>
      <c r="D9" s="79" t="s">
        <v>1891</v>
      </c>
      <c r="E9" s="79" t="s">
        <v>448</v>
      </c>
      <c r="F9" s="79" t="s">
        <v>449</v>
      </c>
      <c r="G9" s="208" t="s">
        <v>450</v>
      </c>
      <c r="I9" s="224">
        <v>1</v>
      </c>
      <c r="J9" s="235">
        <f t="shared" si="0"/>
        <v>0.14500000000000002</v>
      </c>
      <c r="K9" s="194">
        <f>'DALYs '!K457*I9</f>
        <v>0.14500000000000002</v>
      </c>
      <c r="L9" s="194">
        <f>K9/(10/60)</f>
        <v>0.87000000000000011</v>
      </c>
    </row>
    <row r="10" spans="1:37" x14ac:dyDescent="0.25">
      <c r="A10" s="79" t="s">
        <v>248</v>
      </c>
      <c r="B10" s="443"/>
      <c r="C10" s="444" t="s">
        <v>66</v>
      </c>
      <c r="D10" s="79" t="s">
        <v>452</v>
      </c>
      <c r="E10" s="79" t="s">
        <v>453</v>
      </c>
      <c r="F10" s="79" t="s">
        <v>454</v>
      </c>
      <c r="G10" s="208" t="s">
        <v>455</v>
      </c>
      <c r="I10" s="242">
        <v>1</v>
      </c>
      <c r="J10" s="243">
        <f t="shared" si="0"/>
        <v>0.26551608334870802</v>
      </c>
      <c r="K10" s="244">
        <f>'DALYs '!E110*I10</f>
        <v>0.26551608334870802</v>
      </c>
      <c r="L10" s="245">
        <f>K10/((15+10)/60)</f>
        <v>0.63723860003689925</v>
      </c>
      <c r="M10" t="s">
        <v>1801</v>
      </c>
    </row>
    <row r="11" spans="1:37" x14ac:dyDescent="0.25">
      <c r="A11" s="79" t="s">
        <v>256</v>
      </c>
      <c r="B11" s="443"/>
      <c r="C11" s="444"/>
      <c r="D11" s="159" t="s">
        <v>456</v>
      </c>
      <c r="E11" s="79" t="s">
        <v>457</v>
      </c>
      <c r="F11" s="80" t="s">
        <v>458</v>
      </c>
      <c r="G11" s="208" t="s">
        <v>450</v>
      </c>
      <c r="I11" s="242"/>
      <c r="J11" s="244"/>
      <c r="K11" s="244"/>
      <c r="L11" s="244"/>
    </row>
    <row r="12" spans="1:37" x14ac:dyDescent="0.25">
      <c r="A12" s="79" t="s">
        <v>259</v>
      </c>
      <c r="B12" s="443"/>
      <c r="C12" s="444"/>
      <c r="D12" s="159" t="s">
        <v>260</v>
      </c>
      <c r="E12" s="79" t="s">
        <v>457</v>
      </c>
      <c r="F12" s="79" t="s">
        <v>458</v>
      </c>
      <c r="G12" s="208" t="s">
        <v>450</v>
      </c>
      <c r="I12" s="242"/>
      <c r="J12" s="244"/>
      <c r="K12" s="244"/>
      <c r="L12" s="244"/>
    </row>
    <row r="13" spans="1:37" x14ac:dyDescent="0.25">
      <c r="A13" s="79" t="s">
        <v>261</v>
      </c>
      <c r="B13" s="443"/>
      <c r="C13" s="444"/>
      <c r="D13" s="159" t="s">
        <v>262</v>
      </c>
      <c r="E13" s="79" t="s">
        <v>457</v>
      </c>
      <c r="F13" s="80" t="s">
        <v>458</v>
      </c>
      <c r="G13" s="208" t="s">
        <v>450</v>
      </c>
      <c r="H13" s="216"/>
      <c r="I13" s="242"/>
      <c r="J13" s="244"/>
      <c r="K13" s="244"/>
      <c r="L13" s="244"/>
      <c r="N13" s="154"/>
    </row>
    <row r="14" spans="1:37" x14ac:dyDescent="0.25">
      <c r="A14" s="79" t="s">
        <v>263</v>
      </c>
      <c r="B14" s="443"/>
      <c r="C14" s="444"/>
      <c r="D14" s="79" t="s">
        <v>264</v>
      </c>
      <c r="E14" s="79" t="s">
        <v>457</v>
      </c>
      <c r="F14" s="79" t="s">
        <v>459</v>
      </c>
      <c r="G14" s="208" t="s">
        <v>455</v>
      </c>
      <c r="I14" s="242"/>
      <c r="J14" s="244"/>
      <c r="K14" s="244"/>
      <c r="L14" s="244"/>
      <c r="M14" s="212"/>
      <c r="N14" s="154"/>
    </row>
    <row r="15" spans="1:37" x14ac:dyDescent="0.25">
      <c r="A15" s="79" t="s">
        <v>265</v>
      </c>
      <c r="B15" s="443"/>
      <c r="C15" s="444"/>
      <c r="D15" s="159" t="s">
        <v>460</v>
      </c>
      <c r="E15" s="79" t="s">
        <v>457</v>
      </c>
      <c r="F15" s="79" t="s">
        <v>461</v>
      </c>
      <c r="G15" s="208" t="s">
        <v>439</v>
      </c>
      <c r="I15" s="242"/>
      <c r="J15" s="244"/>
      <c r="K15" s="244"/>
      <c r="L15" s="244"/>
      <c r="N15" s="154"/>
    </row>
    <row r="16" spans="1:37" x14ac:dyDescent="0.25">
      <c r="A16" s="79" t="s">
        <v>175</v>
      </c>
      <c r="B16" s="443"/>
      <c r="C16" s="444" t="s">
        <v>68</v>
      </c>
      <c r="D16" s="159" t="s">
        <v>293</v>
      </c>
      <c r="E16" s="79" t="s">
        <v>437</v>
      </c>
      <c r="F16" s="79" t="s">
        <v>462</v>
      </c>
      <c r="G16" s="209" t="s">
        <v>194</v>
      </c>
      <c r="I16" s="223">
        <v>1</v>
      </c>
      <c r="J16" s="235">
        <f t="shared" si="0"/>
        <v>7.4195673431245293E-2</v>
      </c>
      <c r="K16" s="194">
        <f>SUMIF('DALYs '!D194:D202,D16,'DALYs '!C194:C202)*I16</f>
        <v>7.4195673431245293E-2</v>
      </c>
      <c r="L16" s="194">
        <f>K16/(5/60)</f>
        <v>0.89034808117494357</v>
      </c>
      <c r="N16" s="154"/>
    </row>
    <row r="17" spans="1:14" x14ac:dyDescent="0.25">
      <c r="A17" s="79" t="s">
        <v>177</v>
      </c>
      <c r="B17" s="443"/>
      <c r="C17" s="444"/>
      <c r="D17" s="159" t="s">
        <v>294</v>
      </c>
      <c r="E17" s="79" t="s">
        <v>463</v>
      </c>
      <c r="F17" s="79" t="s">
        <v>464</v>
      </c>
      <c r="G17" s="208" t="s">
        <v>450</v>
      </c>
      <c r="I17" s="223">
        <v>1</v>
      </c>
      <c r="J17" s="235">
        <f t="shared" si="0"/>
        <v>2.8409800837628687</v>
      </c>
      <c r="K17" s="194">
        <f>SUMIF('DALYs '!D195:D203,D17,'DALYs '!C195:C203)*I17</f>
        <v>2.8409800837628687</v>
      </c>
      <c r="L17" s="194">
        <f>K17/(20/60)</f>
        <v>8.5229402512886061</v>
      </c>
      <c r="N17" s="154"/>
    </row>
    <row r="18" spans="1:14" x14ac:dyDescent="0.25">
      <c r="A18" s="79" t="s">
        <v>180</v>
      </c>
      <c r="B18" s="443"/>
      <c r="C18" s="444"/>
      <c r="D18" s="159" t="s">
        <v>295</v>
      </c>
      <c r="E18" s="79" t="s">
        <v>465</v>
      </c>
      <c r="F18" s="79" t="s">
        <v>466</v>
      </c>
      <c r="G18" s="208" t="s">
        <v>450</v>
      </c>
      <c r="I18" s="223">
        <v>1</v>
      </c>
      <c r="J18" s="235">
        <f t="shared" si="0"/>
        <v>0.32413649864778804</v>
      </c>
      <c r="K18" s="194">
        <f>SUMIF('DALYs '!D196:D204,D18,'DALYs '!C196:C204)*I18</f>
        <v>0.32413649864778804</v>
      </c>
      <c r="L18" s="194">
        <f>K18/(5/60)</f>
        <v>3.8896379837734565</v>
      </c>
    </row>
    <row r="19" spans="1:14" x14ac:dyDescent="0.25">
      <c r="A19" s="79" t="s">
        <v>183</v>
      </c>
      <c r="B19" s="443"/>
      <c r="C19" s="444"/>
      <c r="D19" s="159" t="s">
        <v>296</v>
      </c>
      <c r="E19" s="79" t="s">
        <v>467</v>
      </c>
      <c r="F19" s="81" t="s">
        <v>449</v>
      </c>
      <c r="G19" s="208" t="s">
        <v>450</v>
      </c>
      <c r="H19" s="81" t="s">
        <v>446</v>
      </c>
      <c r="I19" s="223">
        <v>1</v>
      </c>
      <c r="J19" s="235">
        <f t="shared" si="0"/>
        <v>4.7904191616766463E-2</v>
      </c>
      <c r="K19" s="194">
        <f>'DALYs '!O138*I19</f>
        <v>4.7904191616766463E-2</v>
      </c>
      <c r="L19" s="194">
        <f>K19/(10/60)</f>
        <v>0.28742514970059879</v>
      </c>
    </row>
    <row r="20" spans="1:14" x14ac:dyDescent="0.25">
      <c r="A20" s="79" t="s">
        <v>185</v>
      </c>
      <c r="B20" s="443"/>
      <c r="C20" s="444"/>
      <c r="D20" s="79" t="s">
        <v>468</v>
      </c>
      <c r="E20" s="79" t="s">
        <v>469</v>
      </c>
      <c r="F20" s="80" t="s">
        <v>470</v>
      </c>
      <c r="G20" s="209" t="s">
        <v>194</v>
      </c>
      <c r="I20" s="223">
        <v>1</v>
      </c>
      <c r="J20" s="235">
        <f t="shared" si="0"/>
        <v>0.34184059999999999</v>
      </c>
      <c r="K20" s="194">
        <f>'DALYs '!P185*I20</f>
        <v>0.34184059999999999</v>
      </c>
      <c r="L20" s="194">
        <f>K20/(10/60)</f>
        <v>2.0510436000000003</v>
      </c>
    </row>
    <row r="21" spans="1:14" x14ac:dyDescent="0.25">
      <c r="A21" s="67" t="s">
        <v>471</v>
      </c>
      <c r="B21" s="443"/>
      <c r="C21" s="443" t="s">
        <v>472</v>
      </c>
      <c r="D21" s="67" t="s">
        <v>473</v>
      </c>
      <c r="E21" s="67" t="s">
        <v>474</v>
      </c>
      <c r="F21" s="63" t="s">
        <v>475</v>
      </c>
      <c r="G21" s="210" t="s">
        <v>475</v>
      </c>
      <c r="H21" s="77"/>
      <c r="I21" s="217"/>
      <c r="J21" s="236"/>
      <c r="K21" s="218"/>
      <c r="L21" s="218"/>
    </row>
    <row r="22" spans="1:14" x14ac:dyDescent="0.25">
      <c r="A22" s="79" t="s">
        <v>476</v>
      </c>
      <c r="B22" s="443"/>
      <c r="C22" s="443"/>
      <c r="D22" s="67" t="s">
        <v>477</v>
      </c>
      <c r="E22" s="67" t="s">
        <v>474</v>
      </c>
      <c r="F22" s="67" t="s">
        <v>478</v>
      </c>
      <c r="G22" s="207" t="s">
        <v>194</v>
      </c>
      <c r="H22" s="77"/>
      <c r="I22" s="219"/>
      <c r="J22" s="236"/>
      <c r="K22" s="218"/>
      <c r="L22" s="218"/>
    </row>
    <row r="23" spans="1:14" x14ac:dyDescent="0.25">
      <c r="A23" s="79" t="s">
        <v>479</v>
      </c>
      <c r="B23" s="443"/>
      <c r="C23" s="443"/>
      <c r="D23" s="67" t="s">
        <v>480</v>
      </c>
      <c r="E23" s="67" t="s">
        <v>474</v>
      </c>
      <c r="F23" s="67" t="s">
        <v>481</v>
      </c>
      <c r="G23" s="207" t="s">
        <v>194</v>
      </c>
      <c r="H23" s="77"/>
      <c r="I23" s="219"/>
      <c r="J23" s="236"/>
      <c r="K23" s="218"/>
      <c r="L23" s="218"/>
    </row>
    <row r="24" spans="1:14" x14ac:dyDescent="0.25">
      <c r="A24" s="79" t="s">
        <v>188</v>
      </c>
      <c r="B24" s="443"/>
      <c r="C24" s="444" t="s">
        <v>70</v>
      </c>
      <c r="D24" s="79" t="s">
        <v>297</v>
      </c>
      <c r="E24" s="79" t="s">
        <v>437</v>
      </c>
      <c r="F24" s="80" t="s">
        <v>1832</v>
      </c>
      <c r="G24" s="208" t="s">
        <v>450</v>
      </c>
      <c r="H24" s="230" t="s">
        <v>1833</v>
      </c>
      <c r="M24" t="s">
        <v>1808</v>
      </c>
    </row>
    <row r="25" spans="1:14" x14ac:dyDescent="0.25">
      <c r="A25" s="79" t="s">
        <v>190</v>
      </c>
      <c r="B25" s="443"/>
      <c r="C25" s="444"/>
      <c r="D25" s="79" t="s">
        <v>298</v>
      </c>
      <c r="E25" s="79" t="s">
        <v>448</v>
      </c>
      <c r="F25" s="81" t="s">
        <v>466</v>
      </c>
      <c r="G25" s="208" t="s">
        <v>450</v>
      </c>
    </row>
    <row r="26" spans="1:14" x14ac:dyDescent="0.25">
      <c r="A26" s="79" t="s">
        <v>299</v>
      </c>
      <c r="B26" s="443"/>
      <c r="C26" s="444"/>
      <c r="D26" s="79" t="s">
        <v>300</v>
      </c>
      <c r="E26" s="79" t="s">
        <v>448</v>
      </c>
      <c r="F26" s="80" t="s">
        <v>464</v>
      </c>
      <c r="G26" s="208" t="s">
        <v>450</v>
      </c>
      <c r="H26" s="81" t="s">
        <v>1834</v>
      </c>
      <c r="I26" s="247">
        <v>0.25</v>
      </c>
      <c r="J26" s="243">
        <f>IF(I26&gt;0,K26/I26,"-")</f>
        <v>6.4682320441988947</v>
      </c>
      <c r="K26" s="246">
        <f>'DALYs '!G226*I26</f>
        <v>1.6170580110497237</v>
      </c>
      <c r="L26" s="246">
        <f>K26/((5*12+5+20+5)/60)</f>
        <v>1.0780386740331491</v>
      </c>
      <c r="M26" t="s">
        <v>1921</v>
      </c>
    </row>
    <row r="27" spans="1:14" x14ac:dyDescent="0.25">
      <c r="A27" s="79" t="s">
        <v>301</v>
      </c>
      <c r="B27" s="443"/>
      <c r="C27" s="444"/>
      <c r="D27" s="79" t="s">
        <v>302</v>
      </c>
      <c r="E27" s="79" t="s">
        <v>448</v>
      </c>
      <c r="F27" s="80" t="s">
        <v>466</v>
      </c>
      <c r="G27" s="208" t="s">
        <v>450</v>
      </c>
      <c r="I27" s="246"/>
      <c r="J27" s="246"/>
      <c r="K27" s="246"/>
      <c r="L27" s="246"/>
      <c r="M27" t="s">
        <v>1805</v>
      </c>
    </row>
    <row r="28" spans="1:14" x14ac:dyDescent="0.25">
      <c r="A28" s="67" t="s">
        <v>482</v>
      </c>
      <c r="B28" s="446" t="s">
        <v>483</v>
      </c>
      <c r="C28" s="82" t="s">
        <v>484</v>
      </c>
      <c r="D28" s="67"/>
      <c r="E28" s="67"/>
      <c r="F28" s="67"/>
      <c r="G28" s="211"/>
      <c r="H28" s="77"/>
      <c r="I28" s="220"/>
      <c r="J28" s="236"/>
      <c r="K28" s="218"/>
      <c r="L28" s="218"/>
    </row>
    <row r="29" spans="1:14" x14ac:dyDescent="0.25">
      <c r="A29" s="67" t="s">
        <v>485</v>
      </c>
      <c r="B29" s="446"/>
      <c r="C29" s="82" t="s">
        <v>486</v>
      </c>
      <c r="D29" s="67"/>
      <c r="E29" s="67"/>
      <c r="F29" s="67"/>
      <c r="G29" s="211"/>
      <c r="H29" s="77"/>
      <c r="I29" s="220"/>
      <c r="J29" s="236"/>
      <c r="K29" s="218"/>
      <c r="L29" s="218"/>
    </row>
    <row r="30" spans="1:14" x14ac:dyDescent="0.25">
      <c r="A30" s="67" t="s">
        <v>487</v>
      </c>
      <c r="B30" s="446"/>
      <c r="C30" s="82" t="s">
        <v>488</v>
      </c>
      <c r="D30" s="67"/>
      <c r="E30" s="67"/>
      <c r="F30" s="67"/>
      <c r="G30" s="211"/>
      <c r="H30" s="77"/>
      <c r="I30" s="220"/>
      <c r="J30" s="236"/>
      <c r="K30" s="218"/>
      <c r="L30" s="218"/>
    </row>
    <row r="31" spans="1:14" ht="14.45" customHeight="1" x14ac:dyDescent="0.25">
      <c r="A31" s="79" t="s">
        <v>239</v>
      </c>
      <c r="B31" s="452" t="s">
        <v>489</v>
      </c>
      <c r="C31" s="447" t="s">
        <v>490</v>
      </c>
      <c r="D31" s="159" t="s">
        <v>491</v>
      </c>
      <c r="E31" s="80" t="s">
        <v>492</v>
      </c>
      <c r="F31" s="80" t="s">
        <v>466</v>
      </c>
      <c r="G31" s="208" t="s">
        <v>450</v>
      </c>
      <c r="I31" s="221"/>
      <c r="K31" s="221"/>
      <c r="L31" s="221"/>
      <c r="M31" t="s">
        <v>1804</v>
      </c>
    </row>
    <row r="32" spans="1:14" x14ac:dyDescent="0.25">
      <c r="A32" s="79" t="s">
        <v>245</v>
      </c>
      <c r="B32" s="453"/>
      <c r="C32" s="447"/>
      <c r="D32" s="159" t="s">
        <v>493</v>
      </c>
      <c r="E32" s="79" t="s">
        <v>494</v>
      </c>
      <c r="F32" s="79" t="s">
        <v>495</v>
      </c>
      <c r="G32" s="208" t="s">
        <v>439</v>
      </c>
      <c r="I32" s="221"/>
      <c r="K32" s="222"/>
      <c r="L32" s="222"/>
    </row>
    <row r="33" spans="1:13" x14ac:dyDescent="0.25">
      <c r="A33" s="79" t="s">
        <v>243</v>
      </c>
      <c r="B33" s="453"/>
      <c r="C33" s="447"/>
      <c r="D33" s="159" t="s">
        <v>163</v>
      </c>
      <c r="E33" s="79" t="s">
        <v>496</v>
      </c>
      <c r="F33" s="79" t="s">
        <v>466</v>
      </c>
      <c r="G33" s="208" t="s">
        <v>455</v>
      </c>
      <c r="I33" s="248">
        <v>0.25</v>
      </c>
      <c r="J33" s="243">
        <f t="shared" si="0"/>
        <v>4.9309664694280082</v>
      </c>
      <c r="K33" s="249">
        <f>'DALYs '!M253*I33</f>
        <v>1.2327416173570021</v>
      </c>
      <c r="L33" s="249">
        <f>K33/0.25</f>
        <v>4.9309664694280082</v>
      </c>
      <c r="M33" t="s">
        <v>1802</v>
      </c>
    </row>
    <row r="34" spans="1:13" x14ac:dyDescent="0.25">
      <c r="A34" s="79" t="s">
        <v>497</v>
      </c>
      <c r="B34" s="453"/>
      <c r="C34" s="447"/>
      <c r="D34" s="159" t="s">
        <v>498</v>
      </c>
      <c r="E34" s="79" t="s">
        <v>496</v>
      </c>
      <c r="F34" s="79" t="s">
        <v>499</v>
      </c>
      <c r="G34" s="209" t="s">
        <v>194</v>
      </c>
      <c r="I34" s="240"/>
      <c r="K34" s="222"/>
      <c r="L34" s="222"/>
      <c r="M34" t="s">
        <v>1806</v>
      </c>
    </row>
    <row r="35" spans="1:13" x14ac:dyDescent="0.25">
      <c r="A35" s="79" t="s">
        <v>197</v>
      </c>
      <c r="B35" s="453"/>
      <c r="C35" s="447" t="s">
        <v>500</v>
      </c>
      <c r="D35" s="159" t="s">
        <v>501</v>
      </c>
      <c r="E35" s="79" t="s">
        <v>492</v>
      </c>
      <c r="F35" s="79" t="s">
        <v>502</v>
      </c>
      <c r="G35" s="209" t="s">
        <v>194</v>
      </c>
      <c r="I35" s="221"/>
      <c r="K35" s="221"/>
      <c r="L35" s="222"/>
    </row>
    <row r="36" spans="1:13" x14ac:dyDescent="0.25">
      <c r="A36" s="79" t="s">
        <v>197</v>
      </c>
      <c r="B36" s="453"/>
      <c r="C36" s="447"/>
      <c r="D36" s="160" t="s">
        <v>307</v>
      </c>
      <c r="E36" s="79" t="s">
        <v>503</v>
      </c>
      <c r="F36" s="80" t="s">
        <v>449</v>
      </c>
      <c r="G36" s="208" t="s">
        <v>439</v>
      </c>
      <c r="I36" s="221"/>
      <c r="K36" s="221"/>
      <c r="L36" s="222"/>
      <c r="M36" t="s">
        <v>1802</v>
      </c>
    </row>
    <row r="37" spans="1:13" x14ac:dyDescent="0.25">
      <c r="A37" s="79" t="s">
        <v>203</v>
      </c>
      <c r="B37" s="453"/>
      <c r="C37" s="447"/>
      <c r="D37" s="159" t="s">
        <v>308</v>
      </c>
      <c r="E37" s="79" t="s">
        <v>496</v>
      </c>
      <c r="F37" s="79" t="s">
        <v>466</v>
      </c>
      <c r="G37" s="208" t="s">
        <v>450</v>
      </c>
      <c r="I37" s="228">
        <f>'DALYs '!F335</f>
        <v>0.53898305084745768</v>
      </c>
      <c r="J37" s="235">
        <f t="shared" si="0"/>
        <v>41.724137931034484</v>
      </c>
      <c r="K37" s="225">
        <f>'DALYs '!Q346*I37</f>
        <v>22.488603156049098</v>
      </c>
      <c r="L37" s="194">
        <f>K37/(35/60)</f>
        <v>38.551891124655597</v>
      </c>
      <c r="M37" t="s">
        <v>1806</v>
      </c>
    </row>
    <row r="38" spans="1:13" x14ac:dyDescent="0.25">
      <c r="A38" s="79" t="s">
        <v>309</v>
      </c>
      <c r="B38" s="453"/>
      <c r="C38" s="447"/>
      <c r="D38" s="159" t="s">
        <v>211</v>
      </c>
      <c r="E38" s="79" t="s">
        <v>496</v>
      </c>
      <c r="F38" s="79" t="s">
        <v>466</v>
      </c>
      <c r="G38" s="208" t="s">
        <v>505</v>
      </c>
      <c r="I38" s="221"/>
      <c r="K38" s="221"/>
      <c r="L38" s="222"/>
    </row>
    <row r="39" spans="1:13" x14ac:dyDescent="0.25">
      <c r="A39" s="79" t="s">
        <v>303</v>
      </c>
      <c r="B39" s="453"/>
      <c r="C39" s="443" t="s">
        <v>506</v>
      </c>
      <c r="D39" s="79" t="s">
        <v>507</v>
      </c>
      <c r="E39" s="79" t="s">
        <v>508</v>
      </c>
      <c r="F39" s="79" t="s">
        <v>502</v>
      </c>
      <c r="G39" s="209" t="s">
        <v>194</v>
      </c>
      <c r="I39" s="221"/>
      <c r="K39" s="221"/>
      <c r="L39" s="222"/>
    </row>
    <row r="40" spans="1:13" x14ac:dyDescent="0.25">
      <c r="A40" s="79" t="s">
        <v>303</v>
      </c>
      <c r="B40" s="453"/>
      <c r="C40" s="443"/>
      <c r="D40" s="159" t="s">
        <v>304</v>
      </c>
      <c r="E40" s="79" t="s">
        <v>492</v>
      </c>
      <c r="F40" s="79" t="s">
        <v>466</v>
      </c>
      <c r="G40" s="208" t="s">
        <v>455</v>
      </c>
      <c r="H40" s="81" t="s">
        <v>509</v>
      </c>
      <c r="I40" s="215"/>
      <c r="K40" s="221"/>
      <c r="M40" t="s">
        <v>1841</v>
      </c>
    </row>
    <row r="41" spans="1:13" x14ac:dyDescent="0.25">
      <c r="A41" s="79" t="s">
        <v>305</v>
      </c>
      <c r="B41" s="453"/>
      <c r="C41" s="443"/>
      <c r="D41" s="159" t="s">
        <v>306</v>
      </c>
      <c r="E41" s="79" t="s">
        <v>496</v>
      </c>
      <c r="F41" s="79" t="s">
        <v>466</v>
      </c>
      <c r="G41" s="208" t="s">
        <v>439</v>
      </c>
      <c r="I41" s="215">
        <v>1</v>
      </c>
      <c r="J41" s="235">
        <f t="shared" si="0"/>
        <v>2.222222222222222E-2</v>
      </c>
      <c r="K41" s="194">
        <f>'DALYs '!E383</f>
        <v>2.222222222222222E-2</v>
      </c>
      <c r="L41" s="194">
        <f>K41/(10/60)</f>
        <v>0.13333333333333333</v>
      </c>
      <c r="M41" t="s">
        <v>1840</v>
      </c>
    </row>
    <row r="42" spans="1:13" x14ac:dyDescent="0.25">
      <c r="A42" s="79" t="s">
        <v>213</v>
      </c>
      <c r="B42" s="453"/>
      <c r="C42" s="83" t="s">
        <v>214</v>
      </c>
      <c r="D42" s="79" t="s">
        <v>510</v>
      </c>
      <c r="E42" s="79" t="s">
        <v>511</v>
      </c>
      <c r="F42" s="79" t="s">
        <v>466</v>
      </c>
      <c r="G42" s="208" t="s">
        <v>439</v>
      </c>
      <c r="I42" s="239">
        <v>1</v>
      </c>
      <c r="J42" s="235">
        <f t="shared" si="0"/>
        <v>1.7479452054794519E-2</v>
      </c>
      <c r="K42" s="194">
        <f>'DALYs '!O412</f>
        <v>1.7479452054794519E-2</v>
      </c>
      <c r="L42" s="194">
        <f>K42/(1/6)</f>
        <v>0.10487671232876712</v>
      </c>
      <c r="M42" s="81" t="s">
        <v>1852</v>
      </c>
    </row>
    <row r="43" spans="1:13" x14ac:dyDescent="0.25">
      <c r="A43" s="79" t="s">
        <v>217</v>
      </c>
      <c r="B43" s="453"/>
      <c r="C43" s="448" t="s">
        <v>512</v>
      </c>
      <c r="D43" s="79" t="s">
        <v>513</v>
      </c>
      <c r="E43" s="79" t="s">
        <v>496</v>
      </c>
      <c r="F43" s="79" t="s">
        <v>466</v>
      </c>
      <c r="G43" s="208" t="s">
        <v>450</v>
      </c>
      <c r="I43" s="247">
        <v>0.25</v>
      </c>
      <c r="J43" s="253">
        <f t="shared" si="0"/>
        <v>3.0097926267281103</v>
      </c>
      <c r="K43" s="244">
        <f>'DALYs '!AC435*I43</f>
        <v>0.75244815668202758</v>
      </c>
      <c r="L43" s="244">
        <f>K43/((10 + 5*'DALYs '!AE432)/60)</f>
        <v>0.33442140296979006</v>
      </c>
    </row>
    <row r="44" spans="1:13" x14ac:dyDescent="0.25">
      <c r="A44" s="79" t="s">
        <v>217</v>
      </c>
      <c r="B44" s="453"/>
      <c r="C44" s="449"/>
      <c r="D44" s="79" t="s">
        <v>514</v>
      </c>
      <c r="E44" s="79" t="s">
        <v>515</v>
      </c>
      <c r="F44" s="80" t="s">
        <v>516</v>
      </c>
      <c r="G44" s="208" t="s">
        <v>450</v>
      </c>
      <c r="I44" s="254"/>
      <c r="J44" s="253"/>
      <c r="K44" s="244"/>
      <c r="L44" s="244"/>
      <c r="M44" s="187"/>
    </row>
    <row r="45" spans="1:13" x14ac:dyDescent="0.25">
      <c r="A45" s="79" t="s">
        <v>225</v>
      </c>
      <c r="B45" s="453"/>
      <c r="C45" s="83" t="s">
        <v>517</v>
      </c>
      <c r="D45" s="79" t="s">
        <v>518</v>
      </c>
      <c r="E45" s="79" t="s">
        <v>496</v>
      </c>
      <c r="F45" s="79" t="s">
        <v>466</v>
      </c>
      <c r="G45" s="208" t="s">
        <v>450</v>
      </c>
      <c r="I45" s="255">
        <f>I43</f>
        <v>0.25</v>
      </c>
      <c r="J45" s="253">
        <f t="shared" ref="J45:L45" si="1">J43</f>
        <v>3.0097926267281103</v>
      </c>
      <c r="K45" s="244">
        <f t="shared" si="1"/>
        <v>0.75244815668202758</v>
      </c>
      <c r="L45" s="244">
        <f t="shared" si="1"/>
        <v>0.33442140296979006</v>
      </c>
      <c r="M45" t="s">
        <v>1889</v>
      </c>
    </row>
    <row r="46" spans="1:13" x14ac:dyDescent="0.25">
      <c r="A46" s="79" t="s">
        <v>227</v>
      </c>
      <c r="B46" s="453"/>
      <c r="C46" s="450" t="s">
        <v>519</v>
      </c>
      <c r="D46" s="79" t="s">
        <v>513</v>
      </c>
      <c r="E46" s="79" t="s">
        <v>496</v>
      </c>
      <c r="F46" s="79" t="s">
        <v>466</v>
      </c>
      <c r="G46" s="208" t="s">
        <v>450</v>
      </c>
      <c r="I46" s="255">
        <f>I45</f>
        <v>0.25</v>
      </c>
      <c r="J46" s="253">
        <f t="shared" ref="J46:L46" si="2">J45</f>
        <v>3.0097926267281103</v>
      </c>
      <c r="K46" s="244">
        <f t="shared" si="2"/>
        <v>0.75244815668202758</v>
      </c>
      <c r="L46" s="244">
        <f t="shared" si="2"/>
        <v>0.33442140296979006</v>
      </c>
      <c r="M46" t="s">
        <v>1890</v>
      </c>
    </row>
    <row r="47" spans="1:13" x14ac:dyDescent="0.25">
      <c r="A47" s="79" t="s">
        <v>520</v>
      </c>
      <c r="B47" s="453"/>
      <c r="C47" s="451"/>
      <c r="D47" s="79" t="s">
        <v>514</v>
      </c>
      <c r="E47" s="79" t="s">
        <v>515</v>
      </c>
      <c r="F47" s="80" t="s">
        <v>516</v>
      </c>
      <c r="G47" s="208" t="s">
        <v>450</v>
      </c>
      <c r="I47" s="254"/>
      <c r="J47" s="253"/>
      <c r="K47" s="244"/>
      <c r="L47" s="244"/>
    </row>
    <row r="48" spans="1:13" x14ac:dyDescent="0.25">
      <c r="A48" s="67" t="s">
        <v>521</v>
      </c>
      <c r="B48" s="453"/>
      <c r="C48" s="82" t="s">
        <v>522</v>
      </c>
      <c r="D48" s="67"/>
      <c r="E48" s="67"/>
      <c r="F48" s="67" t="s">
        <v>523</v>
      </c>
      <c r="G48" s="210"/>
      <c r="H48" s="77"/>
      <c r="I48" s="217"/>
      <c r="J48" s="236"/>
      <c r="K48" s="218"/>
      <c r="L48" s="218"/>
    </row>
    <row r="49" spans="1:13" x14ac:dyDescent="0.25">
      <c r="A49" s="67" t="s">
        <v>524</v>
      </c>
      <c r="B49" s="453"/>
      <c r="C49" s="82" t="s">
        <v>525</v>
      </c>
      <c r="D49" s="67"/>
      <c r="E49" s="67"/>
      <c r="F49" s="67" t="s">
        <v>526</v>
      </c>
      <c r="G49" s="210"/>
      <c r="H49" s="77"/>
      <c r="I49" s="217"/>
      <c r="J49" s="236"/>
      <c r="K49" s="218"/>
      <c r="L49" s="218"/>
    </row>
    <row r="50" spans="1:13" x14ac:dyDescent="0.25">
      <c r="A50" s="79" t="s">
        <v>527</v>
      </c>
      <c r="B50" s="453"/>
      <c r="C50" s="455" t="s">
        <v>528</v>
      </c>
      <c r="D50" s="83" t="s">
        <v>529</v>
      </c>
      <c r="E50" s="79"/>
      <c r="F50" s="79" t="s">
        <v>530</v>
      </c>
      <c r="G50" s="208"/>
      <c r="I50" s="250"/>
      <c r="J50" s="251"/>
      <c r="K50" s="252"/>
      <c r="L50" s="222"/>
    </row>
    <row r="51" spans="1:13" x14ac:dyDescent="0.25">
      <c r="A51" s="117" t="s">
        <v>531</v>
      </c>
      <c r="B51" s="453"/>
      <c r="C51" s="456"/>
      <c r="D51" s="82" t="s">
        <v>532</v>
      </c>
      <c r="E51" s="67"/>
      <c r="F51" s="67"/>
      <c r="G51" s="210"/>
      <c r="H51" s="77"/>
      <c r="I51" s="217"/>
      <c r="J51" s="236"/>
      <c r="K51" s="233"/>
      <c r="L51" s="233"/>
    </row>
    <row r="52" spans="1:13" x14ac:dyDescent="0.25">
      <c r="A52" s="79" t="s">
        <v>236</v>
      </c>
      <c r="B52" s="453"/>
      <c r="C52" s="457"/>
      <c r="D52" s="83" t="s">
        <v>533</v>
      </c>
      <c r="E52" s="79" t="s">
        <v>515</v>
      </c>
      <c r="F52" s="80" t="s">
        <v>534</v>
      </c>
      <c r="G52" s="208" t="s">
        <v>439</v>
      </c>
      <c r="I52" s="215">
        <v>1</v>
      </c>
      <c r="J52" s="235">
        <f t="shared" si="0"/>
        <v>8.1395348837209301E-3</v>
      </c>
      <c r="K52" s="194">
        <f>'DALYs '!I287*I52</f>
        <v>8.1395348837209301E-3</v>
      </c>
      <c r="L52" s="194">
        <f>K52/(20/60)</f>
        <v>2.441860465116279E-2</v>
      </c>
    </row>
    <row r="53" spans="1:13" x14ac:dyDescent="0.25">
      <c r="A53" s="79" t="s">
        <v>535</v>
      </c>
      <c r="B53" s="453"/>
      <c r="C53" s="455" t="s">
        <v>232</v>
      </c>
      <c r="D53" s="82" t="s">
        <v>536</v>
      </c>
      <c r="E53" s="67"/>
      <c r="F53" s="67" t="s">
        <v>537</v>
      </c>
      <c r="G53" s="210"/>
      <c r="H53" s="77"/>
      <c r="I53" s="217"/>
      <c r="J53" s="236"/>
      <c r="K53" s="218"/>
      <c r="L53" s="233"/>
    </row>
    <row r="54" spans="1:13" x14ac:dyDescent="0.25">
      <c r="A54" s="79" t="s">
        <v>230</v>
      </c>
      <c r="B54" s="453"/>
      <c r="C54" s="456"/>
      <c r="D54" s="83" t="s">
        <v>538</v>
      </c>
      <c r="E54" s="79" t="s">
        <v>448</v>
      </c>
      <c r="F54" s="79" t="s">
        <v>466</v>
      </c>
      <c r="G54" s="208" t="s">
        <v>439</v>
      </c>
      <c r="I54" s="248">
        <v>0.75</v>
      </c>
      <c r="J54" s="243">
        <f t="shared" si="0"/>
        <v>2.3216438356164385E-2</v>
      </c>
      <c r="K54" s="245">
        <f>'DALYs '!Q519*I54</f>
        <v>1.741232876712329E-2</v>
      </c>
      <c r="L54" s="245">
        <f>K54/((10+5*5)/60)</f>
        <v>2.9849706457925639E-2</v>
      </c>
      <c r="M54" t="s">
        <v>1923</v>
      </c>
    </row>
    <row r="55" spans="1:13" x14ac:dyDescent="0.25">
      <c r="A55" s="79" t="s">
        <v>234</v>
      </c>
      <c r="B55" s="454"/>
      <c r="C55" s="457"/>
      <c r="D55" s="83" t="s">
        <v>539</v>
      </c>
      <c r="E55" s="79" t="s">
        <v>515</v>
      </c>
      <c r="F55" s="80" t="s">
        <v>516</v>
      </c>
      <c r="G55" s="208" t="s">
        <v>450</v>
      </c>
      <c r="I55" s="254"/>
      <c r="J55" s="253"/>
      <c r="K55" s="244"/>
      <c r="L55" s="244"/>
      <c r="M55" t="s">
        <v>1922</v>
      </c>
    </row>
    <row r="56" spans="1:13" x14ac:dyDescent="0.25">
      <c r="A56" s="67" t="s">
        <v>540</v>
      </c>
      <c r="B56" s="447" t="s">
        <v>541</v>
      </c>
      <c r="C56" s="82" t="s">
        <v>542</v>
      </c>
      <c r="D56" s="67"/>
      <c r="E56" s="67"/>
      <c r="F56" s="67"/>
      <c r="G56" s="210"/>
      <c r="H56" s="77"/>
      <c r="I56" s="217"/>
      <c r="J56" s="236"/>
      <c r="K56" s="218"/>
      <c r="L56" s="218"/>
    </row>
    <row r="57" spans="1:13" x14ac:dyDescent="0.25">
      <c r="A57" s="67" t="s">
        <v>543</v>
      </c>
      <c r="B57" s="447"/>
      <c r="C57" s="82" t="s">
        <v>544</v>
      </c>
      <c r="D57" s="67"/>
      <c r="E57" s="67"/>
      <c r="F57" s="67"/>
      <c r="G57" s="210"/>
      <c r="H57" s="77"/>
      <c r="I57" s="217"/>
      <c r="J57" s="236"/>
      <c r="K57" s="218"/>
      <c r="L57" s="218"/>
    </row>
    <row r="58" spans="1:13" x14ac:dyDescent="0.25">
      <c r="A58" s="67" t="s">
        <v>545</v>
      </c>
      <c r="B58" s="447"/>
      <c r="C58" s="82" t="s">
        <v>546</v>
      </c>
      <c r="D58" s="67"/>
      <c r="E58" s="67"/>
      <c r="F58" s="67"/>
      <c r="G58" s="210"/>
      <c r="H58" s="77"/>
      <c r="I58" s="217"/>
      <c r="J58" s="236"/>
      <c r="K58" s="218"/>
      <c r="L58" s="218"/>
    </row>
    <row r="59" spans="1:13" x14ac:dyDescent="0.25">
      <c r="A59" s="67" t="s">
        <v>547</v>
      </c>
      <c r="B59" s="447"/>
      <c r="C59" s="82" t="s">
        <v>548</v>
      </c>
      <c r="D59" s="67"/>
      <c r="E59" s="67"/>
      <c r="F59" s="67"/>
      <c r="G59" s="210"/>
      <c r="H59" s="77"/>
      <c r="I59" s="217"/>
      <c r="J59" s="236"/>
      <c r="K59" s="218"/>
      <c r="L59" s="218"/>
    </row>
    <row r="60" spans="1:13" x14ac:dyDescent="0.25">
      <c r="A60" s="67" t="s">
        <v>549</v>
      </c>
      <c r="B60" s="447"/>
      <c r="C60" s="82" t="s">
        <v>550</v>
      </c>
      <c r="D60" s="67"/>
      <c r="E60" s="67"/>
      <c r="F60" s="67"/>
      <c r="G60" s="210"/>
      <c r="H60" s="77"/>
      <c r="I60" s="217"/>
      <c r="J60" s="236"/>
      <c r="K60" s="218"/>
      <c r="L60" s="218"/>
    </row>
    <row r="61" spans="1:13" x14ac:dyDescent="0.25">
      <c r="A61" s="67" t="s">
        <v>551</v>
      </c>
      <c r="B61" s="447"/>
      <c r="C61" s="82" t="s">
        <v>552</v>
      </c>
      <c r="D61" s="67"/>
      <c r="E61" s="67"/>
      <c r="F61" s="67"/>
      <c r="G61" s="210"/>
      <c r="H61" s="77"/>
      <c r="I61" s="217"/>
      <c r="J61" s="236"/>
      <c r="K61" s="218"/>
      <c r="L61" s="218"/>
    </row>
    <row r="62" spans="1:13" x14ac:dyDescent="0.25">
      <c r="A62" s="67" t="s">
        <v>553</v>
      </c>
      <c r="B62" s="447"/>
      <c r="C62" s="82" t="s">
        <v>554</v>
      </c>
      <c r="D62" s="67"/>
      <c r="E62" s="67"/>
      <c r="F62" s="67"/>
      <c r="G62" s="210"/>
      <c r="H62" s="77"/>
      <c r="I62" s="217"/>
      <c r="J62" s="236"/>
      <c r="K62" s="218"/>
      <c r="L62" s="218"/>
    </row>
    <row r="63" spans="1:13" x14ac:dyDescent="0.25">
      <c r="A63" s="67" t="s">
        <v>555</v>
      </c>
      <c r="B63" s="447"/>
      <c r="C63" s="82" t="s">
        <v>556</v>
      </c>
      <c r="D63" s="67"/>
      <c r="E63" s="67"/>
      <c r="F63" s="67"/>
      <c r="G63" s="210"/>
      <c r="H63" s="77"/>
      <c r="I63" s="217"/>
      <c r="J63" s="236"/>
      <c r="K63" s="218"/>
      <c r="L63" s="218"/>
    </row>
    <row r="64" spans="1:13" x14ac:dyDescent="0.25">
      <c r="A64" s="67" t="s">
        <v>557</v>
      </c>
      <c r="B64" s="445" t="s">
        <v>332</v>
      </c>
      <c r="C64" s="67" t="s">
        <v>558</v>
      </c>
      <c r="D64" s="67"/>
      <c r="E64" s="67"/>
      <c r="F64" s="67"/>
      <c r="G64" s="210"/>
      <c r="H64" s="77"/>
      <c r="I64" s="217"/>
      <c r="J64" s="236"/>
      <c r="K64" s="218"/>
      <c r="L64" s="218"/>
    </row>
    <row r="65" spans="1:12" x14ac:dyDescent="0.25">
      <c r="A65" s="67" t="s">
        <v>559</v>
      </c>
      <c r="B65" s="445"/>
      <c r="C65" s="82" t="s">
        <v>560</v>
      </c>
      <c r="D65" s="67"/>
      <c r="E65" s="67"/>
      <c r="F65" s="67"/>
      <c r="G65" s="210"/>
      <c r="H65" s="77"/>
      <c r="I65" s="217"/>
      <c r="J65" s="236"/>
      <c r="K65" s="218"/>
      <c r="L65" s="218"/>
    </row>
    <row r="66" spans="1:12" x14ac:dyDescent="0.25">
      <c r="A66" s="67" t="s">
        <v>561</v>
      </c>
      <c r="B66" s="445"/>
      <c r="C66" s="82" t="s">
        <v>562</v>
      </c>
      <c r="D66" s="67"/>
      <c r="E66" s="67"/>
      <c r="F66" s="67"/>
      <c r="G66" s="211"/>
      <c r="H66" s="77"/>
      <c r="I66" s="220"/>
      <c r="J66" s="237"/>
      <c r="K66" s="218"/>
      <c r="L66" s="218"/>
    </row>
    <row r="67" spans="1:12" x14ac:dyDescent="0.25">
      <c r="A67" s="67" t="s">
        <v>563</v>
      </c>
      <c r="B67" s="445"/>
      <c r="C67" s="82" t="s">
        <v>564</v>
      </c>
      <c r="D67" s="67"/>
      <c r="E67" s="67"/>
      <c r="F67" s="67"/>
      <c r="G67" s="211"/>
      <c r="H67" s="77"/>
      <c r="I67" s="220"/>
      <c r="J67" s="237"/>
      <c r="K67" s="218"/>
      <c r="L67" s="218"/>
    </row>
    <row r="68" spans="1:12" x14ac:dyDescent="0.25">
      <c r="A68" s="67" t="s">
        <v>565</v>
      </c>
      <c r="B68" s="445"/>
      <c r="C68" s="82" t="s">
        <v>566</v>
      </c>
      <c r="D68" s="67"/>
      <c r="E68" s="67"/>
      <c r="F68" s="67"/>
      <c r="G68" s="211"/>
      <c r="H68" s="77"/>
      <c r="I68" s="220"/>
      <c r="J68" s="237"/>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109375" defaultRowHeight="15" x14ac:dyDescent="0.25"/>
  <cols>
    <col min="1" max="1" width="18.85546875" style="58" bestFit="1" customWidth="1"/>
    <col min="2" max="2" width="22.140625" style="58" bestFit="1" customWidth="1"/>
    <col min="3" max="3" width="14.5703125" style="58" customWidth="1"/>
    <col min="4" max="5" width="10.85546875" style="58" customWidth="1"/>
    <col min="6" max="6" width="14.42578125" style="58" bestFit="1" customWidth="1"/>
    <col min="7" max="7" width="11.140625" style="58" customWidth="1"/>
    <col min="8" max="8" width="15.140625" style="58" customWidth="1"/>
    <col min="9" max="9" width="12.42578125" style="58" customWidth="1"/>
    <col min="10" max="11" width="12.42578125" style="139" customWidth="1"/>
    <col min="12" max="17" width="12.42578125" style="58" customWidth="1"/>
    <col min="18" max="19" width="14.5703125" style="145" customWidth="1"/>
    <col min="20" max="25" width="8.7109375" style="58"/>
    <col min="26" max="26" width="12.28515625" style="58" bestFit="1" customWidth="1"/>
    <col min="27" max="16384" width="8.7109375" style="58"/>
  </cols>
  <sheetData>
    <row r="1" spans="1:28" s="129" customFormat="1" x14ac:dyDescent="0.2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1916</v>
      </c>
      <c r="S1" s="256" t="s">
        <v>1920</v>
      </c>
    </row>
    <row r="2" spans="1:28" x14ac:dyDescent="0.2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2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2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2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2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2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2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2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2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2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2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2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2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2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2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2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2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2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2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2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2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2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2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2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2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2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2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2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2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2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2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2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2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2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25">
      <c r="A36" s="58" t="s">
        <v>192</v>
      </c>
      <c r="B36" s="58" t="s">
        <v>192</v>
      </c>
      <c r="C36" s="58" t="s">
        <v>193</v>
      </c>
      <c r="D36" s="58" t="s">
        <v>194</v>
      </c>
      <c r="E36" s="58" t="s">
        <v>194</v>
      </c>
      <c r="F36" s="58" t="s">
        <v>212</v>
      </c>
      <c r="G36" s="58" t="s">
        <v>82</v>
      </c>
      <c r="H36" s="58">
        <v>0.1</v>
      </c>
      <c r="I36" s="58" t="s">
        <v>2065</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25">
      <c r="A37" s="58" t="s">
        <v>192</v>
      </c>
      <c r="B37" s="58" t="s">
        <v>192</v>
      </c>
      <c r="C37" s="58" t="s">
        <v>193</v>
      </c>
      <c r="D37" s="58" t="s">
        <v>194</v>
      </c>
      <c r="E37" s="58" t="s">
        <v>194</v>
      </c>
      <c r="F37" s="58" t="s">
        <v>212</v>
      </c>
      <c r="G37" s="58" t="s">
        <v>84</v>
      </c>
      <c r="H37" s="58">
        <v>0.1</v>
      </c>
      <c r="I37" s="58" t="s">
        <v>2065</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25">
      <c r="A38" s="58" t="s">
        <v>1949</v>
      </c>
      <c r="B38" s="58" t="s">
        <v>1949</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25">
      <c r="A39" s="58" t="s">
        <v>1949</v>
      </c>
      <c r="B39" s="58" t="s">
        <v>1949</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25">
      <c r="A40" s="58" t="s">
        <v>1953</v>
      </c>
      <c r="B40" s="58" t="s">
        <v>1953</v>
      </c>
      <c r="C40" s="58" t="s">
        <v>193</v>
      </c>
      <c r="D40" s="58" t="s">
        <v>194</v>
      </c>
      <c r="E40" s="58" t="s">
        <v>194</v>
      </c>
      <c r="F40" s="58" t="s">
        <v>212</v>
      </c>
      <c r="G40" s="58" t="s">
        <v>82</v>
      </c>
      <c r="H40" s="58">
        <v>0.1</v>
      </c>
      <c r="I40" s="58" t="s">
        <v>2065</v>
      </c>
      <c r="L40" s="58">
        <v>1</v>
      </c>
      <c r="M40" s="58">
        <v>1</v>
      </c>
      <c r="O40" s="275">
        <f>'Work time'!AD55*10*60</f>
        <v>45.844447190612613</v>
      </c>
      <c r="AE40"/>
    </row>
    <row r="41" spans="1:31" x14ac:dyDescent="0.25">
      <c r="A41" s="58" t="s">
        <v>1953</v>
      </c>
      <c r="B41" s="58" t="s">
        <v>1953</v>
      </c>
      <c r="C41" s="58" t="s">
        <v>193</v>
      </c>
      <c r="D41" s="58" t="s">
        <v>194</v>
      </c>
      <c r="E41" s="58" t="s">
        <v>194</v>
      </c>
      <c r="F41" s="58" t="s">
        <v>212</v>
      </c>
      <c r="G41" s="58" t="s">
        <v>84</v>
      </c>
      <c r="H41" s="58">
        <v>0.1</v>
      </c>
      <c r="I41" s="58" t="s">
        <v>2065</v>
      </c>
      <c r="L41" s="58">
        <v>1</v>
      </c>
      <c r="M41" s="58">
        <v>1</v>
      </c>
      <c r="O41" s="275">
        <f>'Work time'!AE55*10*60</f>
        <v>45.14983435439121</v>
      </c>
      <c r="AE41"/>
    </row>
    <row r="42" spans="1:31" x14ac:dyDescent="0.25">
      <c r="A42" s="58" t="s">
        <v>195</v>
      </c>
      <c r="B42" s="58" t="s">
        <v>196</v>
      </c>
      <c r="C42" s="58" t="s">
        <v>1954</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25">
      <c r="A43" s="58" t="s">
        <v>195</v>
      </c>
      <c r="B43" s="58" t="s">
        <v>196</v>
      </c>
      <c r="C43" s="58" t="s">
        <v>1954</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2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2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2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2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2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2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25">
      <c r="A50" s="58" t="s">
        <v>1932</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25">
      <c r="A51" s="58" t="s">
        <v>1933</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25">
      <c r="A52" s="58" t="s">
        <v>1934</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25">
      <c r="A53" s="58" t="s">
        <v>1935</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25">
      <c r="A54" s="58" t="s">
        <v>1936</v>
      </c>
      <c r="B54" s="58" t="s">
        <v>207</v>
      </c>
      <c r="C54" s="58" t="s">
        <v>154</v>
      </c>
      <c r="D54" s="58" t="s">
        <v>199</v>
      </c>
      <c r="E54" s="58" t="s">
        <v>69</v>
      </c>
      <c r="F54" s="140" t="s">
        <v>212</v>
      </c>
      <c r="G54" s="58" t="s">
        <v>82</v>
      </c>
      <c r="H54" s="128">
        <f>57/1000</f>
        <v>5.7000000000000002E-2</v>
      </c>
      <c r="I54" s="128"/>
      <c r="K54" s="139" t="s">
        <v>1937</v>
      </c>
      <c r="L54" s="274">
        <v>0.98</v>
      </c>
      <c r="M54" s="58">
        <v>1</v>
      </c>
      <c r="O54" s="58">
        <f>O50</f>
        <v>15</v>
      </c>
      <c r="R54" s="145">
        <v>0</v>
      </c>
      <c r="S54" s="145">
        <v>0</v>
      </c>
      <c r="AE54"/>
    </row>
    <row r="55" spans="1:31" x14ac:dyDescent="0.2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25">
      <c r="A56" s="58" t="s">
        <v>1932</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25">
      <c r="A57" s="58" t="s">
        <v>1933</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25">
      <c r="A58" s="58" t="s">
        <v>1934</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25">
      <c r="A59" s="58" t="s">
        <v>1935</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25">
      <c r="A60" s="58" t="s">
        <v>1936</v>
      </c>
      <c r="B60" s="58" t="s">
        <v>207</v>
      </c>
      <c r="C60" s="58" t="s">
        <v>154</v>
      </c>
      <c r="D60" s="58" t="s">
        <v>199</v>
      </c>
      <c r="E60" s="58" t="s">
        <v>69</v>
      </c>
      <c r="F60" s="140" t="s">
        <v>212</v>
      </c>
      <c r="G60" s="58" t="s">
        <v>84</v>
      </c>
      <c r="H60" s="128">
        <f>57/1000</f>
        <v>5.7000000000000002E-2</v>
      </c>
      <c r="I60" s="128"/>
      <c r="K60" s="139" t="s">
        <v>1937</v>
      </c>
      <c r="L60" s="138">
        <v>0.95</v>
      </c>
      <c r="M60" s="58">
        <v>1</v>
      </c>
      <c r="O60" s="58">
        <f>O56</f>
        <v>15</v>
      </c>
      <c r="R60" s="145">
        <f t="shared" si="5"/>
        <v>0</v>
      </c>
      <c r="S60" s="145">
        <f t="shared" si="5"/>
        <v>0</v>
      </c>
      <c r="AE60"/>
    </row>
    <row r="61" spans="1:31" x14ac:dyDescent="0.2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2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2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2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2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2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2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2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2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2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2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2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2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2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2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2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2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2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2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2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2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2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2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2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2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25">
      <c r="A86" s="58" t="s">
        <v>1928</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25">
      <c r="A87" s="58" t="s">
        <v>1928</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25">
      <c r="A88" s="58" t="s">
        <v>1929</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25">
      <c r="A89" s="58" t="s">
        <v>1930</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25">
      <c r="A90" s="58" t="s">
        <v>1931</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25">
      <c r="A91" s="58" t="s">
        <v>1929</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25">
      <c r="A92" s="58" t="s">
        <v>1930</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25">
      <c r="A93" s="58" t="s">
        <v>1931</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2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2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2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2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2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2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2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2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2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2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25">
      <c r="AE104"/>
    </row>
    <row r="105" spans="1:31" x14ac:dyDescent="0.25">
      <c r="AE105"/>
    </row>
    <row r="106" spans="1:31" x14ac:dyDescent="0.25">
      <c r="AE106"/>
    </row>
    <row r="107" spans="1:31" x14ac:dyDescent="0.25">
      <c r="AE107"/>
    </row>
    <row r="108" spans="1:31" x14ac:dyDescent="0.25">
      <c r="AE108"/>
    </row>
    <row r="109" spans="1:31" x14ac:dyDescent="0.25">
      <c r="AE109"/>
    </row>
    <row r="110" spans="1:31" x14ac:dyDescent="0.25">
      <c r="AE110"/>
    </row>
    <row r="111" spans="1:31" x14ac:dyDescent="0.25">
      <c r="AE111"/>
    </row>
  </sheetData>
  <autoFilter ref="A1:S103" xr:uid="{C1D83D06-B7B0-4361-896A-BFF57EC1D426}"/>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5" x14ac:dyDescent="0.25"/>
  <cols>
    <col min="1" max="1" width="13.42578125" bestFit="1" customWidth="1"/>
    <col min="2" max="2" width="8" bestFit="1" customWidth="1"/>
    <col min="3" max="4" width="8" customWidth="1"/>
  </cols>
  <sheetData>
    <row r="1" spans="1:15" ht="45" x14ac:dyDescent="0.2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25">
      <c r="A2" t="s">
        <v>2777</v>
      </c>
      <c r="B2" t="s">
        <v>212</v>
      </c>
      <c r="C2" s="321" t="s">
        <v>65</v>
      </c>
      <c r="D2" s="321" t="s">
        <v>154</v>
      </c>
      <c r="E2" t="s">
        <v>82</v>
      </c>
      <c r="F2">
        <v>1</v>
      </c>
      <c r="G2">
        <v>1</v>
      </c>
      <c r="H2">
        <v>1</v>
      </c>
      <c r="I2">
        <v>1</v>
      </c>
      <c r="K2">
        <v>5</v>
      </c>
    </row>
    <row r="3" spans="1:15" x14ac:dyDescent="0.25">
      <c r="C3" s="321"/>
      <c r="D3" s="319"/>
    </row>
    <row r="4" spans="1:15" x14ac:dyDescent="0.25">
      <c r="C4" s="321"/>
      <c r="D4" s="321"/>
    </row>
    <row r="5" spans="1:15" x14ac:dyDescent="0.25">
      <c r="C5" s="321"/>
      <c r="D5" s="321"/>
    </row>
    <row r="6" spans="1:15" x14ac:dyDescent="0.25">
      <c r="C6" s="321"/>
      <c r="D6" s="321"/>
      <c r="O6" s="321"/>
    </row>
    <row r="7" spans="1:15" x14ac:dyDescent="0.25">
      <c r="C7" s="321"/>
      <c r="D7" s="321"/>
      <c r="O7" s="319"/>
    </row>
    <row r="8" spans="1:15" x14ac:dyDescent="0.25">
      <c r="C8" s="321"/>
      <c r="D8" s="321"/>
    </row>
    <row r="9" spans="1:15" x14ac:dyDescent="0.25">
      <c r="C9" s="321"/>
      <c r="D9" s="321"/>
    </row>
    <row r="10" spans="1:15" x14ac:dyDescent="0.25">
      <c r="C10" s="319"/>
      <c r="D10" s="321"/>
    </row>
    <row r="11" spans="1:15" x14ac:dyDescent="0.25">
      <c r="C11" s="319"/>
      <c r="D11" s="321"/>
    </row>
    <row r="12" spans="1:15" x14ac:dyDescent="0.25">
      <c r="C12" s="319"/>
      <c r="D12" s="321"/>
    </row>
    <row r="13" spans="1:15" x14ac:dyDescent="0.25">
      <c r="C13" s="319"/>
      <c r="D13" s="321"/>
    </row>
    <row r="14" spans="1:15" x14ac:dyDescent="0.25">
      <c r="C14" s="319"/>
      <c r="D14" s="321"/>
    </row>
    <row r="15" spans="1:15" x14ac:dyDescent="0.25">
      <c r="C15" s="319"/>
      <c r="D15" s="321"/>
    </row>
    <row r="16" spans="1:15" x14ac:dyDescent="0.25">
      <c r="C16" s="321"/>
      <c r="D16" s="321"/>
    </row>
    <row r="17" spans="3:4" x14ac:dyDescent="0.25">
      <c r="C17" s="321"/>
      <c r="D17" s="321"/>
    </row>
    <row r="18" spans="3:4" x14ac:dyDescent="0.25">
      <c r="C18" s="321"/>
      <c r="D18" s="321"/>
    </row>
    <row r="19" spans="3:4" x14ac:dyDescent="0.25">
      <c r="C19" s="321"/>
      <c r="D19" s="321"/>
    </row>
    <row r="20" spans="3:4" x14ac:dyDescent="0.25">
      <c r="C20" s="321"/>
      <c r="D20" s="321"/>
    </row>
    <row r="21" spans="3:4" x14ac:dyDescent="0.25">
      <c r="C21" s="319"/>
      <c r="D21" s="321"/>
    </row>
    <row r="22" spans="3:4" x14ac:dyDescent="0.25">
      <c r="C22" s="319"/>
      <c r="D22" s="321"/>
    </row>
    <row r="23" spans="3:4" x14ac:dyDescent="0.25">
      <c r="D23" s="321"/>
    </row>
    <row r="24" spans="3:4" x14ac:dyDescent="0.2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lookups!$D$2:$D$15</xm:f>
          </x14:formula1>
          <xm:sqref>O6:O7 C2:C22</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109375" defaultRowHeight="15" x14ac:dyDescent="0.25"/>
  <cols>
    <col min="1" max="1" width="18.85546875" style="58" bestFit="1" customWidth="1"/>
    <col min="2" max="2" width="22.140625" style="58" bestFit="1" customWidth="1"/>
    <col min="3" max="3" width="13.85546875" style="58" bestFit="1" customWidth="1"/>
    <col min="4" max="4" width="11.140625" style="58" customWidth="1"/>
    <col min="5" max="5" width="15.140625" style="58" customWidth="1"/>
    <col min="6" max="11" width="8.7109375" style="58"/>
    <col min="12" max="12" width="12.28515625" style="58" bestFit="1" customWidth="1"/>
    <col min="13" max="16384" width="8.7109375" style="58"/>
  </cols>
  <sheetData>
    <row r="1" spans="1:17" s="129" customFormat="1" x14ac:dyDescent="0.25">
      <c r="A1" s="129" t="s">
        <v>135</v>
      </c>
      <c r="B1" s="129" t="s">
        <v>136</v>
      </c>
      <c r="C1" s="129" t="s">
        <v>139</v>
      </c>
      <c r="D1" s="129" t="s">
        <v>141</v>
      </c>
      <c r="E1" s="129" t="s">
        <v>142</v>
      </c>
    </row>
    <row r="2" spans="1:17" x14ac:dyDescent="0.25">
      <c r="A2" s="58" t="s">
        <v>1949</v>
      </c>
      <c r="B2" s="58" t="s">
        <v>1949</v>
      </c>
      <c r="C2" s="58" t="s">
        <v>194</v>
      </c>
      <c r="D2" s="58" t="s">
        <v>82</v>
      </c>
      <c r="N2"/>
    </row>
    <row r="3" spans="1:17" x14ac:dyDescent="0.25">
      <c r="A3" s="58" t="s">
        <v>1949</v>
      </c>
      <c r="B3" s="58" t="s">
        <v>1949</v>
      </c>
      <c r="C3" s="58" t="s">
        <v>194</v>
      </c>
      <c r="D3" s="58" t="s">
        <v>84</v>
      </c>
      <c r="N3"/>
    </row>
    <row r="4" spans="1:17" x14ac:dyDescent="0.25">
      <c r="A4" s="58" t="s">
        <v>227</v>
      </c>
      <c r="B4" s="58" t="s">
        <v>228</v>
      </c>
      <c r="C4" s="58" t="s">
        <v>220</v>
      </c>
      <c r="D4" s="58" t="s">
        <v>82</v>
      </c>
      <c r="E4" s="145">
        <v>2.56464E-2</v>
      </c>
    </row>
    <row r="5" spans="1:17" x14ac:dyDescent="0.25">
      <c r="A5" s="58" t="s">
        <v>227</v>
      </c>
      <c r="B5" s="58" t="s">
        <v>228</v>
      </c>
      <c r="C5" s="58" t="s">
        <v>220</v>
      </c>
      <c r="D5" s="58" t="s">
        <v>84</v>
      </c>
      <c r="E5" s="145">
        <v>1.9E-2</v>
      </c>
    </row>
    <row r="6" spans="1:17" x14ac:dyDescent="0.25">
      <c r="A6" s="58" t="s">
        <v>217</v>
      </c>
      <c r="B6" s="58" t="s">
        <v>218</v>
      </c>
      <c r="C6" s="58" t="s">
        <v>220</v>
      </c>
      <c r="D6" s="58" t="s">
        <v>82</v>
      </c>
      <c r="E6" s="145">
        <v>0.19600000000000001</v>
      </c>
    </row>
    <row r="7" spans="1:17" x14ac:dyDescent="0.25">
      <c r="A7" s="58" t="s">
        <v>217</v>
      </c>
      <c r="B7" s="58" t="s">
        <v>218</v>
      </c>
      <c r="C7" s="58" t="s">
        <v>220</v>
      </c>
      <c r="D7" s="58" t="s">
        <v>84</v>
      </c>
      <c r="E7" s="145">
        <v>0.18525192477596872</v>
      </c>
    </row>
    <row r="8" spans="1:17" x14ac:dyDescent="0.25">
      <c r="A8" s="58" t="s">
        <v>239</v>
      </c>
      <c r="B8" s="58" t="s">
        <v>240</v>
      </c>
      <c r="C8" s="58" t="s">
        <v>241</v>
      </c>
      <c r="D8" s="58" t="s">
        <v>82</v>
      </c>
      <c r="E8" s="142">
        <v>2.0926851436312916E-4</v>
      </c>
    </row>
    <row r="9" spans="1:17" x14ac:dyDescent="0.25">
      <c r="A9" s="58" t="s">
        <v>239</v>
      </c>
      <c r="B9" s="58" t="s">
        <v>240</v>
      </c>
      <c r="C9" s="58" t="s">
        <v>241</v>
      </c>
      <c r="D9" s="58" t="s">
        <v>84</v>
      </c>
      <c r="E9" s="145">
        <v>2.0926851436312916E-4</v>
      </c>
      <c r="Q9"/>
    </row>
    <row r="10" spans="1:17" x14ac:dyDescent="0.25">
      <c r="A10" s="58" t="s">
        <v>1932</v>
      </c>
      <c r="B10" s="58" t="s">
        <v>207</v>
      </c>
      <c r="C10" s="58" t="s">
        <v>69</v>
      </c>
      <c r="D10" s="58" t="s">
        <v>82</v>
      </c>
      <c r="E10" s="128">
        <v>1.894207576270393E-2</v>
      </c>
      <c r="Q10"/>
    </row>
    <row r="11" spans="1:17" x14ac:dyDescent="0.25">
      <c r="A11" s="58" t="s">
        <v>1932</v>
      </c>
      <c r="B11" s="58" t="s">
        <v>207</v>
      </c>
      <c r="C11" s="58" t="s">
        <v>69</v>
      </c>
      <c r="D11" s="58" t="s">
        <v>84</v>
      </c>
      <c r="E11" s="128">
        <v>2.0044524616617914E-2</v>
      </c>
      <c r="Q11"/>
    </row>
    <row r="12" spans="1:17" x14ac:dyDescent="0.25">
      <c r="A12" s="58" t="s">
        <v>1928</v>
      </c>
      <c r="B12" s="58" t="s">
        <v>249</v>
      </c>
      <c r="C12" s="58" t="s">
        <v>66</v>
      </c>
      <c r="D12" s="58" t="s">
        <v>82</v>
      </c>
      <c r="E12" s="58">
        <v>0.58399999999999996</v>
      </c>
      <c r="Q12"/>
    </row>
    <row r="13" spans="1:17" x14ac:dyDescent="0.25">
      <c r="A13" s="58" t="s">
        <v>1928</v>
      </c>
      <c r="B13" s="58" t="s">
        <v>249</v>
      </c>
      <c r="C13" s="58" t="s">
        <v>66</v>
      </c>
      <c r="D13" s="58" t="s">
        <v>84</v>
      </c>
      <c r="E13" s="58">
        <v>0.57399999999999995</v>
      </c>
      <c r="Q13"/>
    </row>
    <row r="14" spans="1:17" x14ac:dyDescent="0.25">
      <c r="A14" s="58" t="s">
        <v>256</v>
      </c>
      <c r="B14" s="58" t="s">
        <v>257</v>
      </c>
      <c r="C14" s="58" t="s">
        <v>66</v>
      </c>
      <c r="D14" s="58" t="s">
        <v>82</v>
      </c>
      <c r="E14" s="151">
        <v>3.280483410006485E-2</v>
      </c>
      <c r="Q14"/>
    </row>
    <row r="15" spans="1:17" x14ac:dyDescent="0.25">
      <c r="A15" s="58" t="s">
        <v>256</v>
      </c>
      <c r="B15" s="58" t="s">
        <v>257</v>
      </c>
      <c r="C15" s="58" t="s">
        <v>66</v>
      </c>
      <c r="D15" s="58" t="s">
        <v>84</v>
      </c>
      <c r="E15" s="151">
        <v>1.5944444444444442E-2</v>
      </c>
      <c r="Q15"/>
    </row>
    <row r="16" spans="1:17" x14ac:dyDescent="0.25">
      <c r="A16" s="58" t="s">
        <v>259</v>
      </c>
      <c r="B16" s="58" t="s">
        <v>260</v>
      </c>
      <c r="C16" s="58" t="s">
        <v>66</v>
      </c>
      <c r="D16" s="58" t="s">
        <v>82</v>
      </c>
      <c r="E16" s="151">
        <v>0.37176641117540893</v>
      </c>
      <c r="Q16"/>
    </row>
    <row r="17" spans="1:17" x14ac:dyDescent="0.25">
      <c r="A17" s="58" t="s">
        <v>259</v>
      </c>
      <c r="B17" s="58" t="s">
        <v>260</v>
      </c>
      <c r="C17" s="58" t="s">
        <v>66</v>
      </c>
      <c r="D17" s="58" t="s">
        <v>84</v>
      </c>
      <c r="E17" s="151">
        <v>0.3915246913580247</v>
      </c>
      <c r="Q17"/>
    </row>
    <row r="18" spans="1:17" x14ac:dyDescent="0.25">
      <c r="A18" s="58" t="s">
        <v>263</v>
      </c>
      <c r="B18" s="58" t="s">
        <v>264</v>
      </c>
      <c r="C18" s="58" t="s">
        <v>66</v>
      </c>
      <c r="D18" s="58" t="s">
        <v>82</v>
      </c>
      <c r="E18" s="151">
        <v>3.4377158820119012E-2</v>
      </c>
      <c r="Q18"/>
    </row>
    <row r="19" spans="1:17" x14ac:dyDescent="0.25">
      <c r="A19" s="58" t="s">
        <v>263</v>
      </c>
      <c r="B19" s="58" t="s">
        <v>264</v>
      </c>
      <c r="C19" s="58" t="s">
        <v>66</v>
      </c>
      <c r="D19" s="58" t="s">
        <v>84</v>
      </c>
      <c r="E19" s="151">
        <v>2.6574074074074069E-2</v>
      </c>
      <c r="Q19"/>
    </row>
    <row r="20" spans="1:17" x14ac:dyDescent="0.25">
      <c r="A20" s="58" t="s">
        <v>265</v>
      </c>
      <c r="B20" s="58" t="s">
        <v>266</v>
      </c>
      <c r="C20" s="58" t="s">
        <v>66</v>
      </c>
      <c r="D20" s="58" t="s">
        <v>82</v>
      </c>
      <c r="E20" s="151">
        <v>0.1302238408674441</v>
      </c>
      <c r="Q20"/>
    </row>
    <row r="21" spans="1:17" x14ac:dyDescent="0.25">
      <c r="A21" s="58" t="s">
        <v>265</v>
      </c>
      <c r="B21" s="58" t="s">
        <v>266</v>
      </c>
      <c r="C21" s="58" t="s">
        <v>66</v>
      </c>
      <c r="D21" s="58" t="s">
        <v>84</v>
      </c>
      <c r="E21" s="151">
        <v>0.12932716049382714</v>
      </c>
      <c r="Q21"/>
    </row>
    <row r="22" spans="1:17" x14ac:dyDescent="0.25">
      <c r="Q22"/>
    </row>
    <row r="23" spans="1:17" x14ac:dyDescent="0.25">
      <c r="Q23"/>
    </row>
    <row r="24" spans="1:17" x14ac:dyDescent="0.25">
      <c r="Q24"/>
    </row>
    <row r="25" spans="1:17" x14ac:dyDescent="0.25">
      <c r="Q25"/>
    </row>
    <row r="26" spans="1:17" x14ac:dyDescent="0.25">
      <c r="Q26"/>
    </row>
    <row r="27" spans="1:17" x14ac:dyDescent="0.25">
      <c r="Q27"/>
    </row>
    <row r="28" spans="1:17" x14ac:dyDescent="0.25">
      <c r="Q28"/>
    </row>
    <row r="29" spans="1:17" x14ac:dyDescent="0.2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22"/>
  <sheetViews>
    <sheetView workbookViewId="0">
      <selection activeCell="H26" sqref="H26"/>
    </sheetView>
  </sheetViews>
  <sheetFormatPr defaultRowHeight="15" x14ac:dyDescent="0.25"/>
  <cols>
    <col min="4" max="4" width="15.85546875" customWidth="1"/>
    <col min="6" max="6" width="14.42578125" style="58" bestFit="1" customWidth="1"/>
    <col min="9" max="9" width="12.5703125" customWidth="1"/>
    <col min="10" max="10" width="12.7109375" customWidth="1"/>
  </cols>
  <sheetData>
    <row r="1" spans="2:10" x14ac:dyDescent="0.25">
      <c r="B1" s="186" t="s">
        <v>2169</v>
      </c>
      <c r="D1" s="186" t="s">
        <v>2170</v>
      </c>
      <c r="F1" s="129" t="s">
        <v>3244</v>
      </c>
      <c r="G1" s="129" t="s">
        <v>116</v>
      </c>
      <c r="H1" s="129" t="s">
        <v>117</v>
      </c>
      <c r="I1" s="129" t="s">
        <v>3245</v>
      </c>
      <c r="J1" s="129" t="s">
        <v>3246</v>
      </c>
    </row>
    <row r="2" spans="2:10" x14ac:dyDescent="0.25">
      <c r="B2" s="58" t="s">
        <v>2789</v>
      </c>
      <c r="D2" s="58" t="s">
        <v>65</v>
      </c>
      <c r="F2" s="58" t="s">
        <v>156</v>
      </c>
      <c r="G2" t="s">
        <v>3247</v>
      </c>
      <c r="H2" t="s">
        <v>3247</v>
      </c>
      <c r="I2">
        <v>0</v>
      </c>
      <c r="J2">
        <v>0</v>
      </c>
    </row>
    <row r="3" spans="2:10" x14ac:dyDescent="0.25">
      <c r="B3" s="58" t="s">
        <v>2790</v>
      </c>
      <c r="D3" s="58" t="s">
        <v>2241</v>
      </c>
      <c r="F3" s="131" t="s">
        <v>169</v>
      </c>
      <c r="G3" t="s">
        <v>3247</v>
      </c>
      <c r="H3" t="s">
        <v>3247</v>
      </c>
      <c r="I3">
        <v>1</v>
      </c>
      <c r="J3">
        <v>4</v>
      </c>
    </row>
    <row r="4" spans="2:10" x14ac:dyDescent="0.25">
      <c r="B4" s="58" t="s">
        <v>2791</v>
      </c>
      <c r="D4" s="58" t="s">
        <v>67</v>
      </c>
      <c r="F4" s="131" t="s">
        <v>2589</v>
      </c>
      <c r="G4" t="s">
        <v>3247</v>
      </c>
      <c r="H4" t="s">
        <v>3247</v>
      </c>
      <c r="I4">
        <v>0</v>
      </c>
      <c r="J4">
        <v>9</v>
      </c>
    </row>
    <row r="5" spans="2:10" x14ac:dyDescent="0.25">
      <c r="B5" s="58" t="s">
        <v>206</v>
      </c>
      <c r="D5" s="58" t="s">
        <v>68</v>
      </c>
      <c r="F5" s="131" t="s">
        <v>2590</v>
      </c>
      <c r="G5" t="s">
        <v>3247</v>
      </c>
      <c r="H5" t="s">
        <v>3247</v>
      </c>
      <c r="I5">
        <v>5</v>
      </c>
      <c r="J5">
        <v>9</v>
      </c>
    </row>
    <row r="6" spans="2:10" x14ac:dyDescent="0.25">
      <c r="B6" s="58" t="s">
        <v>194</v>
      </c>
      <c r="D6" s="58" t="s">
        <v>70</v>
      </c>
      <c r="F6" s="131" t="s">
        <v>2591</v>
      </c>
      <c r="G6" t="s">
        <v>3247</v>
      </c>
      <c r="H6" t="s">
        <v>3247</v>
      </c>
      <c r="I6">
        <v>10</v>
      </c>
      <c r="J6">
        <v>14</v>
      </c>
    </row>
    <row r="7" spans="2:10" x14ac:dyDescent="0.25">
      <c r="B7" s="58"/>
      <c r="D7" s="58" t="s">
        <v>194</v>
      </c>
      <c r="F7" s="140" t="s">
        <v>2535</v>
      </c>
      <c r="G7" t="s">
        <v>3247</v>
      </c>
      <c r="H7" t="s">
        <v>3247</v>
      </c>
      <c r="I7">
        <v>5</v>
      </c>
      <c r="J7">
        <v>18</v>
      </c>
    </row>
    <row r="8" spans="2:10" x14ac:dyDescent="0.25">
      <c r="B8" s="58"/>
      <c r="D8" s="58" t="s">
        <v>200</v>
      </c>
      <c r="F8" s="140" t="s">
        <v>209</v>
      </c>
      <c r="G8" t="s">
        <v>3247</v>
      </c>
      <c r="H8" t="s">
        <v>3247</v>
      </c>
      <c r="I8">
        <v>1</v>
      </c>
      <c r="J8">
        <v>18</v>
      </c>
    </row>
    <row r="9" spans="2:10" x14ac:dyDescent="0.25">
      <c r="B9" s="58"/>
      <c r="D9" s="58" t="s">
        <v>69</v>
      </c>
      <c r="F9" s="58" t="s">
        <v>179</v>
      </c>
      <c r="G9" t="s">
        <v>3247</v>
      </c>
      <c r="H9" s="58" t="s">
        <v>3247</v>
      </c>
      <c r="I9">
        <v>1</v>
      </c>
      <c r="J9">
        <v>1</v>
      </c>
    </row>
    <row r="10" spans="2:10" x14ac:dyDescent="0.25">
      <c r="D10" s="58" t="s">
        <v>215</v>
      </c>
      <c r="F10" s="257" t="s">
        <v>182</v>
      </c>
      <c r="G10" t="s">
        <v>3247</v>
      </c>
      <c r="H10" s="257" t="s">
        <v>3247</v>
      </c>
      <c r="I10">
        <v>2</v>
      </c>
      <c r="J10">
        <v>2</v>
      </c>
    </row>
    <row r="11" spans="2:10" x14ac:dyDescent="0.25">
      <c r="D11" s="58" t="s">
        <v>220</v>
      </c>
      <c r="F11" s="257" t="s">
        <v>2431</v>
      </c>
      <c r="G11" t="s">
        <v>3247</v>
      </c>
      <c r="H11" s="257" t="s">
        <v>3247</v>
      </c>
      <c r="I11">
        <v>15</v>
      </c>
      <c r="J11">
        <v>15</v>
      </c>
    </row>
    <row r="12" spans="2:10" x14ac:dyDescent="0.25">
      <c r="D12" s="58" t="s">
        <v>232</v>
      </c>
      <c r="F12" s="257" t="s">
        <v>187</v>
      </c>
      <c r="G12" t="s">
        <v>3248</v>
      </c>
      <c r="H12" s="257" t="s">
        <v>3247</v>
      </c>
      <c r="I12">
        <v>15</v>
      </c>
      <c r="J12">
        <v>15</v>
      </c>
    </row>
    <row r="13" spans="2:10" x14ac:dyDescent="0.25">
      <c r="D13" s="58" t="s">
        <v>528</v>
      </c>
      <c r="F13" s="257" t="s">
        <v>2592</v>
      </c>
      <c r="G13" t="s">
        <v>3247</v>
      </c>
      <c r="H13" s="257" t="s">
        <v>3247</v>
      </c>
      <c r="I13">
        <v>15</v>
      </c>
      <c r="J13">
        <v>19</v>
      </c>
    </row>
    <row r="14" spans="2:10" x14ac:dyDescent="0.25">
      <c r="D14" s="58" t="s">
        <v>241</v>
      </c>
      <c r="F14" s="257" t="s">
        <v>2432</v>
      </c>
      <c r="G14" t="s">
        <v>3247</v>
      </c>
      <c r="H14" s="257" t="s">
        <v>3247</v>
      </c>
      <c r="I14">
        <v>18</v>
      </c>
      <c r="J14">
        <v>18</v>
      </c>
    </row>
    <row r="15" spans="2:10" x14ac:dyDescent="0.25">
      <c r="D15" s="58" t="s">
        <v>66</v>
      </c>
      <c r="F15" s="257" t="s">
        <v>247</v>
      </c>
      <c r="G15" t="s">
        <v>3248</v>
      </c>
      <c r="H15" s="257" t="s">
        <v>3247</v>
      </c>
      <c r="I15">
        <v>18</v>
      </c>
      <c r="J15">
        <v>18</v>
      </c>
    </row>
    <row r="16" spans="2:10" x14ac:dyDescent="0.25">
      <c r="F16" s="257" t="s">
        <v>233</v>
      </c>
      <c r="G16" t="s">
        <v>3247</v>
      </c>
      <c r="H16" s="257" t="s">
        <v>3247</v>
      </c>
      <c r="I16">
        <v>30</v>
      </c>
      <c r="J16">
        <v>30</v>
      </c>
    </row>
    <row r="17" spans="6:10" x14ac:dyDescent="0.25">
      <c r="F17" s="58" t="s">
        <v>221</v>
      </c>
      <c r="G17" t="s">
        <v>3247</v>
      </c>
      <c r="H17" s="257" t="s">
        <v>3247</v>
      </c>
      <c r="I17">
        <v>50</v>
      </c>
      <c r="J17">
        <v>50</v>
      </c>
    </row>
    <row r="18" spans="6:10" x14ac:dyDescent="0.25">
      <c r="F18" s="58" t="s">
        <v>201</v>
      </c>
      <c r="G18" t="s">
        <v>3247</v>
      </c>
      <c r="H18" t="s">
        <v>3247</v>
      </c>
      <c r="I18">
        <v>18</v>
      </c>
    </row>
    <row r="19" spans="6:10" x14ac:dyDescent="0.25">
      <c r="F19" s="58" t="s">
        <v>2826</v>
      </c>
      <c r="G19" t="s">
        <v>3247</v>
      </c>
      <c r="H19" t="s">
        <v>3247</v>
      </c>
      <c r="I19">
        <v>35</v>
      </c>
    </row>
    <row r="20" spans="6:10" x14ac:dyDescent="0.25">
      <c r="F20" s="58" t="s">
        <v>2570</v>
      </c>
      <c r="G20" t="s">
        <v>3247</v>
      </c>
      <c r="H20" t="s">
        <v>3248</v>
      </c>
      <c r="I20">
        <v>18</v>
      </c>
    </row>
    <row r="21" spans="6:10" x14ac:dyDescent="0.25">
      <c r="F21" s="58" t="s">
        <v>253</v>
      </c>
      <c r="G21" t="s">
        <v>3248</v>
      </c>
      <c r="H21" t="s">
        <v>3247</v>
      </c>
      <c r="I21">
        <v>15</v>
      </c>
      <c r="J21">
        <v>49</v>
      </c>
    </row>
    <row r="22" spans="6:10" x14ac:dyDescent="0.25">
      <c r="F22" s="58" t="s">
        <v>2545</v>
      </c>
      <c r="G22" t="s">
        <v>3247</v>
      </c>
      <c r="H22" t="s">
        <v>3248</v>
      </c>
      <c r="I22">
        <v>15</v>
      </c>
      <c r="J22">
        <v>49</v>
      </c>
    </row>
    <row r="23" spans="6:10" x14ac:dyDescent="0.25">
      <c r="F23" s="58" t="s">
        <v>2563</v>
      </c>
      <c r="G23" t="s">
        <v>3248</v>
      </c>
      <c r="H23" t="s">
        <v>3247</v>
      </c>
      <c r="I23">
        <v>30</v>
      </c>
      <c r="J23">
        <v>49</v>
      </c>
    </row>
    <row r="24" spans="6:10" x14ac:dyDescent="0.25">
      <c r="F24" s="58" t="s">
        <v>212</v>
      </c>
      <c r="G24" t="s">
        <v>3247</v>
      </c>
      <c r="H24" t="s">
        <v>3247</v>
      </c>
    </row>
    <row r="25" spans="6:10" x14ac:dyDescent="0.25">
      <c r="F25" s="58" t="s">
        <v>194</v>
      </c>
      <c r="G25" t="s">
        <v>3248</v>
      </c>
      <c r="H25" t="s">
        <v>3248</v>
      </c>
      <c r="I25">
        <v>-1</v>
      </c>
      <c r="J25">
        <v>-1</v>
      </c>
    </row>
    <row r="30" spans="6:10" x14ac:dyDescent="0.25">
      <c r="F30"/>
    </row>
    <row r="31" spans="6:10" x14ac:dyDescent="0.25">
      <c r="F31"/>
    </row>
    <row r="32" spans="6:10" x14ac:dyDescent="0.25">
      <c r="F32"/>
    </row>
    <row r="33" spans="6:6" x14ac:dyDescent="0.25">
      <c r="F33"/>
    </row>
    <row r="34" spans="6:6" x14ac:dyDescent="0.25">
      <c r="F34"/>
    </row>
    <row r="35" spans="6:6" x14ac:dyDescent="0.25">
      <c r="F35"/>
    </row>
    <row r="36" spans="6:6" x14ac:dyDescent="0.25">
      <c r="F36"/>
    </row>
    <row r="37" spans="6:6" x14ac:dyDescent="0.25">
      <c r="F37"/>
    </row>
    <row r="38" spans="6:6" x14ac:dyDescent="0.25">
      <c r="F38"/>
    </row>
    <row r="39" spans="6:6" x14ac:dyDescent="0.25">
      <c r="F39"/>
    </row>
    <row r="40" spans="6:6" x14ac:dyDescent="0.25">
      <c r="F40"/>
    </row>
    <row r="41" spans="6:6" x14ac:dyDescent="0.25">
      <c r="F41"/>
    </row>
    <row r="42" spans="6:6" x14ac:dyDescent="0.25">
      <c r="F42"/>
    </row>
    <row r="43" spans="6:6" x14ac:dyDescent="0.25">
      <c r="F43"/>
    </row>
    <row r="44" spans="6:6" x14ac:dyDescent="0.25">
      <c r="F44"/>
    </row>
    <row r="45" spans="6:6" x14ac:dyDescent="0.25">
      <c r="F45"/>
    </row>
    <row r="46" spans="6:6" x14ac:dyDescent="0.25">
      <c r="F46"/>
    </row>
    <row r="47" spans="6:6" x14ac:dyDescent="0.25">
      <c r="F47"/>
    </row>
    <row r="48" spans="6:6"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5" x14ac:dyDescent="0.25"/>
  <cols>
    <col min="4" max="4" width="11.5703125" bestFit="1" customWidth="1"/>
    <col min="11" max="11" width="16.85546875" customWidth="1"/>
    <col min="13" max="15" width="9.42578125" customWidth="1"/>
    <col min="16" max="17" width="12.5703125" customWidth="1"/>
    <col min="18" max="19" width="9.42578125" customWidth="1"/>
    <col min="20" max="20" width="7.85546875" customWidth="1"/>
    <col min="39" max="39" width="12.5703125" customWidth="1"/>
    <col min="41" max="41" width="11.85546875" customWidth="1"/>
  </cols>
  <sheetData>
    <row r="1" spans="2:27" x14ac:dyDescent="0.25">
      <c r="B1" t="s">
        <v>310</v>
      </c>
    </row>
    <row r="2" spans="2:27" x14ac:dyDescent="0.25">
      <c r="B2" t="s">
        <v>311</v>
      </c>
    </row>
    <row r="3" spans="2:27" x14ac:dyDescent="0.25">
      <c r="B3" t="s">
        <v>312</v>
      </c>
    </row>
    <row r="4" spans="2:27" x14ac:dyDescent="0.25">
      <c r="B4" t="s">
        <v>313</v>
      </c>
    </row>
    <row r="7" spans="2:27" x14ac:dyDescent="0.25">
      <c r="B7" t="s">
        <v>314</v>
      </c>
    </row>
    <row r="8" spans="2:27" x14ac:dyDescent="0.25">
      <c r="B8" t="s">
        <v>315</v>
      </c>
      <c r="G8" s="188">
        <v>0.46089999999999998</v>
      </c>
    </row>
    <row r="11" spans="2:27" x14ac:dyDescent="0.25">
      <c r="B11" t="s">
        <v>316</v>
      </c>
    </row>
    <row r="12" spans="2:27" x14ac:dyDescent="0.25">
      <c r="B12" t="s">
        <v>317</v>
      </c>
      <c r="AA12" t="s">
        <v>318</v>
      </c>
    </row>
    <row r="27" spans="7:10" x14ac:dyDescent="0.25">
      <c r="H27" t="s">
        <v>319</v>
      </c>
      <c r="I27" t="s">
        <v>320</v>
      </c>
    </row>
    <row r="28" spans="7:10" x14ac:dyDescent="0.25">
      <c r="G28" t="s">
        <v>321</v>
      </c>
      <c r="H28" s="61">
        <v>0.27</v>
      </c>
      <c r="I28" s="61">
        <f>H28/SUM(H$28:H$31)</f>
        <v>0.67500000000000004</v>
      </c>
      <c r="J28" s="61"/>
    </row>
    <row r="29" spans="7:10" x14ac:dyDescent="0.25">
      <c r="G29" t="s">
        <v>266</v>
      </c>
      <c r="H29" s="61">
        <v>0.09</v>
      </c>
      <c r="I29" s="61">
        <f t="shared" ref="I29:I31" si="0">H29/SUM(H$28:H$31)</f>
        <v>0.22499999999999998</v>
      </c>
      <c r="J29" s="61"/>
    </row>
    <row r="30" spans="7:10" x14ac:dyDescent="0.25">
      <c r="G30" t="s">
        <v>322</v>
      </c>
      <c r="H30" s="61">
        <v>0.02</v>
      </c>
      <c r="I30" s="61">
        <f t="shared" si="0"/>
        <v>4.9999999999999996E-2</v>
      </c>
      <c r="J30" s="61"/>
    </row>
    <row r="31" spans="7:10" x14ac:dyDescent="0.25">
      <c r="G31" t="s">
        <v>323</v>
      </c>
      <c r="H31" s="61">
        <v>0.02</v>
      </c>
      <c r="I31" s="61">
        <f t="shared" si="0"/>
        <v>4.9999999999999996E-2</v>
      </c>
      <c r="J31" s="61"/>
    </row>
    <row r="32" spans="7:10" x14ac:dyDescent="0.25">
      <c r="G32" t="s">
        <v>324</v>
      </c>
      <c r="H32" s="61">
        <v>0.01</v>
      </c>
      <c r="I32" s="61"/>
      <c r="J32" s="61"/>
    </row>
    <row r="36" spans="2:27" x14ac:dyDescent="0.25">
      <c r="AA36" t="s">
        <v>325</v>
      </c>
    </row>
    <row r="40" spans="2:27" x14ac:dyDescent="0.25">
      <c r="B40" t="s">
        <v>326</v>
      </c>
    </row>
    <row r="41" spans="2:27" x14ac:dyDescent="0.25">
      <c r="B41" s="57" t="s">
        <v>327</v>
      </c>
      <c r="S41" s="127"/>
    </row>
    <row r="42" spans="2:27" x14ac:dyDescent="0.25">
      <c r="S42" s="127"/>
      <c r="AA42" t="s">
        <v>328</v>
      </c>
    </row>
    <row r="43" spans="2:27" x14ac:dyDescent="0.25">
      <c r="S43" s="127"/>
      <c r="T43" s="127"/>
      <c r="U43" s="127"/>
    </row>
    <row r="44" spans="2:27" x14ac:dyDescent="0.25">
      <c r="S44" s="127"/>
      <c r="T44" s="127"/>
      <c r="U44" s="127"/>
    </row>
    <row r="45" spans="2:27" x14ac:dyDescent="0.25">
      <c r="S45" s="127"/>
      <c r="T45" s="127"/>
      <c r="U45" s="127"/>
    </row>
    <row r="46" spans="2:27" x14ac:dyDescent="0.25">
      <c r="L46" s="127"/>
      <c r="M46" s="127"/>
      <c r="N46" s="127"/>
      <c r="O46" s="127"/>
      <c r="P46" s="127"/>
      <c r="Q46" s="127"/>
      <c r="R46" s="127"/>
      <c r="S46" s="127"/>
      <c r="T46" s="127"/>
      <c r="U46" s="127"/>
    </row>
    <row r="47" spans="2:27" x14ac:dyDescent="0.25">
      <c r="L47" s="127"/>
      <c r="N47" s="127"/>
      <c r="O47" s="127"/>
      <c r="P47" s="127"/>
      <c r="Q47" s="127"/>
      <c r="R47" s="127"/>
      <c r="S47" s="127"/>
      <c r="T47" s="127"/>
      <c r="U47" s="127"/>
    </row>
    <row r="48" spans="2:27" x14ac:dyDescent="0.25">
      <c r="L48" s="127"/>
      <c r="N48" s="127"/>
      <c r="O48" s="127"/>
      <c r="P48" s="127"/>
      <c r="Q48" s="127"/>
      <c r="R48" s="127"/>
      <c r="S48" s="127"/>
      <c r="T48" s="127"/>
      <c r="U48" s="127"/>
    </row>
    <row r="49" spans="5:44" x14ac:dyDescent="0.25">
      <c r="L49" s="58" t="s">
        <v>329</v>
      </c>
      <c r="M49" s="58"/>
      <c r="N49" s="58"/>
      <c r="O49" s="58"/>
      <c r="P49" s="58"/>
      <c r="Q49" s="58"/>
      <c r="R49" s="58"/>
      <c r="S49" s="127"/>
      <c r="T49" s="127"/>
      <c r="U49" s="127"/>
    </row>
    <row r="50" spans="5:44" x14ac:dyDescent="0.25">
      <c r="L50" s="58"/>
      <c r="M50" s="58" t="s">
        <v>330</v>
      </c>
      <c r="N50" s="58" t="s">
        <v>322</v>
      </c>
      <c r="O50" s="58" t="s">
        <v>323</v>
      </c>
      <c r="P50" s="58" t="s">
        <v>331</v>
      </c>
      <c r="Q50" s="58" t="s">
        <v>266</v>
      </c>
      <c r="R50" s="58" t="s">
        <v>332</v>
      </c>
      <c r="S50" s="58" t="s">
        <v>333</v>
      </c>
      <c r="T50" s="58" t="s">
        <v>334</v>
      </c>
      <c r="U50" s="127"/>
      <c r="AO50" t="s">
        <v>335</v>
      </c>
    </row>
    <row r="51" spans="5:44" x14ac:dyDescent="0.2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2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2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25">
      <c r="L54" s="58" t="s">
        <v>342</v>
      </c>
      <c r="M54" s="89"/>
      <c r="N54" s="89"/>
      <c r="O54" s="89"/>
      <c r="P54" s="89"/>
      <c r="Q54" s="89"/>
      <c r="R54" s="89"/>
      <c r="S54" s="89"/>
    </row>
    <row r="55" spans="5:44" x14ac:dyDescent="0.25">
      <c r="F55" t="s">
        <v>343</v>
      </c>
      <c r="G55" t="s">
        <v>344</v>
      </c>
      <c r="H55" t="s">
        <v>118</v>
      </c>
      <c r="M55" s="58" t="s">
        <v>330</v>
      </c>
      <c r="N55" s="58" t="s">
        <v>322</v>
      </c>
      <c r="O55" s="58" t="s">
        <v>323</v>
      </c>
      <c r="P55" s="58" t="s">
        <v>331</v>
      </c>
      <c r="Q55" s="58" t="s">
        <v>266</v>
      </c>
      <c r="R55" s="58" t="s">
        <v>332</v>
      </c>
      <c r="AO55" s="114"/>
    </row>
    <row r="56" spans="5:44" x14ac:dyDescent="0.2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2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25">
      <c r="E58" t="s">
        <v>118</v>
      </c>
      <c r="H58" s="60">
        <f>H56*T52+T51*H57</f>
        <v>58.083908045977005</v>
      </c>
      <c r="S58" t="s">
        <v>346</v>
      </c>
    </row>
    <row r="61" spans="5:44" x14ac:dyDescent="0.25">
      <c r="AA61" t="s">
        <v>347</v>
      </c>
    </row>
    <row r="64" spans="5:44" x14ac:dyDescent="0.25">
      <c r="AN64" t="s">
        <v>82</v>
      </c>
      <c r="AO64" s="85">
        <v>0.02</v>
      </c>
    </row>
    <row r="70" spans="12:39" x14ac:dyDescent="0.25">
      <c r="M70" t="s">
        <v>330</v>
      </c>
      <c r="N70" s="58" t="s">
        <v>322</v>
      </c>
      <c r="O70" s="58" t="s">
        <v>323</v>
      </c>
      <c r="P70" s="58" t="s">
        <v>331</v>
      </c>
      <c r="Q70" s="58" t="s">
        <v>266</v>
      </c>
      <c r="R70" s="58" t="s">
        <v>262</v>
      </c>
      <c r="S70" s="61" t="s">
        <v>348</v>
      </c>
      <c r="T70" s="61" t="s">
        <v>349</v>
      </c>
    </row>
    <row r="71" spans="12:39" x14ac:dyDescent="0.25">
      <c r="L71" s="61" t="s">
        <v>350</v>
      </c>
      <c r="N71" s="91">
        <v>0.7</v>
      </c>
      <c r="O71" s="91">
        <v>0.13</v>
      </c>
      <c r="P71" s="91">
        <v>0.38</v>
      </c>
      <c r="Q71" s="91">
        <v>0.11</v>
      </c>
      <c r="R71" s="91">
        <v>0.35</v>
      </c>
      <c r="S71" s="72">
        <f>SUMPRODUCT(N71:R71,N57:R57)-T72</f>
        <v>0.26812151014720248</v>
      </c>
      <c r="T71" s="91"/>
    </row>
    <row r="72" spans="12:39" x14ac:dyDescent="0.25">
      <c r="L72" s="61" t="s">
        <v>351</v>
      </c>
      <c r="N72" s="91">
        <v>0.24199999999999999</v>
      </c>
      <c r="O72" s="91">
        <v>3.4000000000000002E-2</v>
      </c>
      <c r="P72" s="91">
        <v>4.3999999999999997E-2</v>
      </c>
      <c r="Q72" s="91">
        <v>2.4E-2</v>
      </c>
      <c r="R72" s="91">
        <v>0.1</v>
      </c>
      <c r="S72" s="91"/>
      <c r="T72" s="72">
        <f>SUMPRODUCT(N72:R72,N57:R57)</f>
        <v>5.0116865018980945E-2</v>
      </c>
    </row>
    <row r="74" spans="12:39" x14ac:dyDescent="0.25">
      <c r="N74" s="91"/>
      <c r="O74" s="91"/>
      <c r="P74" s="91"/>
      <c r="Q74" s="91"/>
      <c r="R74" s="91"/>
      <c r="AA74" t="s">
        <v>352</v>
      </c>
    </row>
    <row r="77" spans="12:39" x14ac:dyDescent="0.25">
      <c r="L77" s="61"/>
      <c r="M77" s="61"/>
      <c r="N77" s="61"/>
      <c r="O77" s="61"/>
      <c r="P77" s="61"/>
      <c r="Q77" s="61"/>
      <c r="R77" s="61"/>
    </row>
    <row r="78" spans="12:39" x14ac:dyDescent="0.25">
      <c r="L78" s="61"/>
      <c r="M78" s="61"/>
      <c r="N78" s="61"/>
      <c r="O78" s="61"/>
      <c r="P78" s="61"/>
      <c r="Q78" s="61"/>
      <c r="R78" s="61"/>
      <c r="S78" s="61"/>
      <c r="T78" s="61"/>
    </row>
    <row r="79" spans="12:39" x14ac:dyDescent="0.25">
      <c r="M79" s="61"/>
      <c r="S79" s="61"/>
      <c r="T79" s="61"/>
    </row>
    <row r="80" spans="12:39" x14ac:dyDescent="0.25">
      <c r="M80" s="61"/>
      <c r="S80" s="61"/>
      <c r="T80" s="61"/>
      <c r="AM80" t="s">
        <v>353</v>
      </c>
    </row>
    <row r="81" spans="2:41" x14ac:dyDescent="0.25">
      <c r="AM81" s="68">
        <v>4.2000000000000003E-2</v>
      </c>
      <c r="AN81" t="s">
        <v>337</v>
      </c>
    </row>
    <row r="82" spans="2:41" x14ac:dyDescent="0.25">
      <c r="AM82" s="68">
        <v>1.9E-2</v>
      </c>
      <c r="AN82" t="s">
        <v>339</v>
      </c>
    </row>
    <row r="83" spans="2:41" x14ac:dyDescent="0.25">
      <c r="AM83" s="91">
        <f>(AM81-AM82*AP53)/AP52</f>
        <v>0.12973663938372654</v>
      </c>
      <c r="AN83" t="s">
        <v>338</v>
      </c>
    </row>
    <row r="91" spans="2:41" x14ac:dyDescent="0.25">
      <c r="B91" t="s">
        <v>354</v>
      </c>
    </row>
    <row r="92" spans="2:41" x14ac:dyDescent="0.25">
      <c r="B92" t="s">
        <v>355</v>
      </c>
      <c r="AA92" t="s">
        <v>356</v>
      </c>
    </row>
    <row r="94" spans="2:41" x14ac:dyDescent="0.25">
      <c r="AM94" s="68">
        <v>5.0999999999999997E-2</v>
      </c>
      <c r="AN94" t="s">
        <v>338</v>
      </c>
      <c r="AO94" t="s">
        <v>357</v>
      </c>
    </row>
    <row r="95" spans="2:41" x14ac:dyDescent="0.25">
      <c r="L95" s="185">
        <v>0.68</v>
      </c>
      <c r="M95" t="s">
        <v>358</v>
      </c>
      <c r="AM95" s="115">
        <v>1.9E-2</v>
      </c>
      <c r="AN95" t="s">
        <v>339</v>
      </c>
      <c r="AO95" t="s">
        <v>359</v>
      </c>
    </row>
    <row r="96" spans="2:41" x14ac:dyDescent="0.25">
      <c r="AM96" s="116">
        <f>AM94*AP52+AM95*AP53</f>
        <v>2.56464E-2</v>
      </c>
      <c r="AN96" t="s">
        <v>337</v>
      </c>
    </row>
    <row r="101" spans="2:27" x14ac:dyDescent="0.25">
      <c r="B101" s="57" t="s">
        <v>360</v>
      </c>
    </row>
    <row r="108" spans="2:27" x14ac:dyDescent="0.25">
      <c r="J108" s="185">
        <v>0.25</v>
      </c>
    </row>
    <row r="112" spans="2:27" x14ac:dyDescent="0.25">
      <c r="AA112" t="s">
        <v>2206</v>
      </c>
    </row>
    <row r="116" spans="40:40" x14ac:dyDescent="0.25">
      <c r="AN116" s="332">
        <v>0.14810999999999999</v>
      </c>
    </row>
    <row r="129" spans="2:27" x14ac:dyDescent="0.25">
      <c r="B129" t="s">
        <v>361</v>
      </c>
    </row>
    <row r="130" spans="2:27" x14ac:dyDescent="0.25">
      <c r="B130" t="s">
        <v>362</v>
      </c>
    </row>
    <row r="136" spans="2:27" x14ac:dyDescent="0.25">
      <c r="AA136" t="s">
        <v>2234</v>
      </c>
    </row>
    <row r="140" spans="2:27" x14ac:dyDescent="0.25">
      <c r="B140" t="s">
        <v>363</v>
      </c>
      <c r="K140" t="s">
        <v>1843</v>
      </c>
    </row>
    <row r="141" spans="2:27" x14ac:dyDescent="0.25">
      <c r="M141" t="s">
        <v>364</v>
      </c>
      <c r="N141" t="s">
        <v>365</v>
      </c>
    </row>
    <row r="142" spans="2:27" x14ac:dyDescent="0.25">
      <c r="L142" t="s">
        <v>366</v>
      </c>
      <c r="M142">
        <v>163</v>
      </c>
      <c r="N142">
        <v>37</v>
      </c>
      <c r="O142" t="s">
        <v>367</v>
      </c>
      <c r="Q142" s="47">
        <f>AVERAGE('mort adult m'!I275,'mort adult f'!I275)</f>
        <v>203.5595663710973</v>
      </c>
      <c r="R142" t="s">
        <v>368</v>
      </c>
    </row>
    <row r="143" spans="2:27" x14ac:dyDescent="0.25">
      <c r="L143" t="s">
        <v>332</v>
      </c>
      <c r="M143" s="47">
        <f>M144-M142</f>
        <v>551.91228070175441</v>
      </c>
      <c r="N143" s="47">
        <f>N144-N142</f>
        <v>47.474885844748854</v>
      </c>
      <c r="Q143" s="47">
        <f>Q142*100/(60-15)</f>
        <v>452.35459193577179</v>
      </c>
      <c r="R143" t="s">
        <v>369</v>
      </c>
    </row>
    <row r="144" spans="2:27" x14ac:dyDescent="0.25">
      <c r="L144" t="s">
        <v>118</v>
      </c>
      <c r="M144" s="73">
        <f>M142/0.228</f>
        <v>714.91228070175441</v>
      </c>
      <c r="N144" s="6">
        <f>N142/0.438</f>
        <v>84.474885844748854</v>
      </c>
      <c r="Q144" s="75">
        <f>N144/Q143</f>
        <v>0.18674483989043519</v>
      </c>
      <c r="R144" t="s">
        <v>370</v>
      </c>
    </row>
    <row r="145" spans="12:15" x14ac:dyDescent="0.25">
      <c r="N145" s="76">
        <f>N144/M144</f>
        <v>0.11816119001596771</v>
      </c>
      <c r="O145" t="s">
        <v>371</v>
      </c>
    </row>
    <row r="150" spans="12:15" x14ac:dyDescent="0.25">
      <c r="L150" t="s">
        <v>372</v>
      </c>
      <c r="N150" s="68">
        <v>0.78310000000000002</v>
      </c>
      <c r="O150" t="s">
        <v>373</v>
      </c>
    </row>
    <row r="151" spans="12:15" x14ac:dyDescent="0.25">
      <c r="L151" t="s">
        <v>374</v>
      </c>
      <c r="N151" s="54">
        <v>0.86</v>
      </c>
      <c r="O151" t="s">
        <v>375</v>
      </c>
    </row>
    <row r="152" spans="12:15" x14ac:dyDescent="0.25">
      <c r="L152" t="s">
        <v>376</v>
      </c>
      <c r="N152" s="74">
        <f>N151/N150</f>
        <v>1.0981994636700294</v>
      </c>
    </row>
    <row r="157" spans="12:15" x14ac:dyDescent="0.25">
      <c r="L157" t="s">
        <v>377</v>
      </c>
    </row>
    <row r="158" spans="12:15" x14ac:dyDescent="0.25">
      <c r="L158" s="72">
        <f>0.373+0.163</f>
        <v>0.53600000000000003</v>
      </c>
    </row>
    <row r="164" spans="2:35" x14ac:dyDescent="0.25">
      <c r="B164" t="s">
        <v>378</v>
      </c>
    </row>
    <row r="165" spans="2:35" x14ac:dyDescent="0.25">
      <c r="M165" s="54"/>
    </row>
    <row r="166" spans="2:35" x14ac:dyDescent="0.25">
      <c r="M166" s="54"/>
      <c r="AA166" s="68">
        <v>0.48499999999999999</v>
      </c>
    </row>
    <row r="170" spans="2:35" x14ac:dyDescent="0.25">
      <c r="AA170" t="s">
        <v>2434</v>
      </c>
    </row>
    <row r="171" spans="2:35" x14ac:dyDescent="0.25">
      <c r="B171" t="s">
        <v>379</v>
      </c>
    </row>
    <row r="172" spans="2:35" x14ac:dyDescent="0.25">
      <c r="K172" s="54">
        <v>0.25</v>
      </c>
      <c r="L172" t="s">
        <v>380</v>
      </c>
      <c r="AI172" s="332">
        <v>8.6999999999999994E-2</v>
      </c>
    </row>
    <row r="173" spans="2:35" x14ac:dyDescent="0.25">
      <c r="K173" s="54">
        <f>1-0.78</f>
        <v>0.21999999999999997</v>
      </c>
      <c r="L173" t="s">
        <v>381</v>
      </c>
      <c r="M173" t="s">
        <v>340</v>
      </c>
    </row>
    <row r="174" spans="2:35" x14ac:dyDescent="0.25">
      <c r="K174" s="84">
        <f>K172*K173</f>
        <v>5.4999999999999993E-2</v>
      </c>
      <c r="L174" t="s">
        <v>382</v>
      </c>
    </row>
    <row r="176" spans="2:35" x14ac:dyDescent="0.25">
      <c r="K176" s="54" t="e">
        <f>#REF!</f>
        <v>#REF!</v>
      </c>
      <c r="L176" t="s">
        <v>383</v>
      </c>
    </row>
    <row r="177" spans="2:38" x14ac:dyDescent="0.25">
      <c r="K177" s="54">
        <v>1</v>
      </c>
      <c r="L177" t="s">
        <v>384</v>
      </c>
    </row>
    <row r="179" spans="2:38" x14ac:dyDescent="0.25">
      <c r="K179" s="85">
        <f>L95/(1-K174)</f>
        <v>0.71957671957671954</v>
      </c>
      <c r="L179" t="s">
        <v>385</v>
      </c>
    </row>
    <row r="180" spans="2:38" x14ac:dyDescent="0.25">
      <c r="AA180" t="s">
        <v>2435</v>
      </c>
    </row>
    <row r="182" spans="2:38" x14ac:dyDescent="0.25">
      <c r="AA182" s="68">
        <v>3.5999999999999997E-2</v>
      </c>
      <c r="AB182" t="s">
        <v>2436</v>
      </c>
    </row>
    <row r="183" spans="2:38" x14ac:dyDescent="0.25">
      <c r="B183" t="s">
        <v>386</v>
      </c>
      <c r="AB183" t="s">
        <v>2437</v>
      </c>
    </row>
    <row r="184" spans="2:38" x14ac:dyDescent="0.25">
      <c r="B184" t="s">
        <v>317</v>
      </c>
      <c r="AB184" t="s">
        <v>2438</v>
      </c>
    </row>
    <row r="185" spans="2:38" x14ac:dyDescent="0.25">
      <c r="AB185" t="s">
        <v>2439</v>
      </c>
    </row>
    <row r="186" spans="2:38" x14ac:dyDescent="0.25">
      <c r="M186">
        <v>4.7</v>
      </c>
      <c r="N186" t="s">
        <v>337</v>
      </c>
      <c r="AA186" s="185">
        <v>0.05</v>
      </c>
      <c r="AB186" t="s">
        <v>2440</v>
      </c>
    </row>
    <row r="187" spans="2:38" x14ac:dyDescent="0.25">
      <c r="M187" s="60">
        <v>5</v>
      </c>
      <c r="N187" t="s">
        <v>339</v>
      </c>
    </row>
    <row r="188" spans="2:38" x14ac:dyDescent="0.25">
      <c r="M188">
        <v>4.0999999999999996</v>
      </c>
      <c r="N188" t="s">
        <v>338</v>
      </c>
    </row>
    <row r="190" spans="2:38" x14ac:dyDescent="0.25">
      <c r="AA190" t="s">
        <v>2493</v>
      </c>
      <c r="AL190" t="s">
        <v>2494</v>
      </c>
    </row>
    <row r="191" spans="2:38" x14ac:dyDescent="0.25">
      <c r="AL191" s="185">
        <v>0.15</v>
      </c>
    </row>
    <row r="192" spans="2:38" x14ac:dyDescent="0.25">
      <c r="B192" t="s">
        <v>387</v>
      </c>
    </row>
    <row r="205" spans="27:38" x14ac:dyDescent="0.25">
      <c r="AA205" t="s">
        <v>2496</v>
      </c>
    </row>
    <row r="206" spans="27:38" x14ac:dyDescent="0.25">
      <c r="AA206" s="127" t="s">
        <v>2497</v>
      </c>
    </row>
    <row r="208" spans="27:38" x14ac:dyDescent="0.25">
      <c r="AL208" s="115">
        <v>9.5000000000000001E-2</v>
      </c>
    </row>
    <row r="210" spans="2:39" x14ac:dyDescent="0.25">
      <c r="H210" t="s">
        <v>118</v>
      </c>
      <c r="I210" s="68">
        <v>0.14299999999999999</v>
      </c>
    </row>
    <row r="211" spans="2:39" x14ac:dyDescent="0.25">
      <c r="I211">
        <f>I210*26</f>
        <v>3.7179999999999995</v>
      </c>
    </row>
    <row r="216" spans="2:39" x14ac:dyDescent="0.25">
      <c r="B216" t="s">
        <v>118</v>
      </c>
      <c r="C216" s="68">
        <v>6.6000000000000003E-2</v>
      </c>
      <c r="N216" t="s">
        <v>118</v>
      </c>
      <c r="O216" s="68">
        <v>0.11799999999999999</v>
      </c>
      <c r="AA216" t="s">
        <v>2498</v>
      </c>
    </row>
    <row r="217" spans="2:39" x14ac:dyDescent="0.25">
      <c r="C217">
        <f>C216*26</f>
        <v>1.7160000000000002</v>
      </c>
      <c r="O217">
        <f>O216*26</f>
        <v>3.0679999999999996</v>
      </c>
      <c r="AL217" s="115">
        <v>0.16600000000000001</v>
      </c>
      <c r="AM217" t="s">
        <v>2499</v>
      </c>
    </row>
    <row r="219" spans="2:39" x14ac:dyDescent="0.25">
      <c r="B219" t="s">
        <v>388</v>
      </c>
    </row>
    <row r="220" spans="2:39" x14ac:dyDescent="0.25">
      <c r="B220" t="s">
        <v>389</v>
      </c>
    </row>
    <row r="221" spans="2:39" x14ac:dyDescent="0.25">
      <c r="B221" t="s">
        <v>390</v>
      </c>
    </row>
    <row r="222" spans="2:39" x14ac:dyDescent="0.25">
      <c r="B222" t="s">
        <v>391</v>
      </c>
    </row>
    <row r="227" spans="2:35" x14ac:dyDescent="0.25">
      <c r="B227" t="s">
        <v>392</v>
      </c>
    </row>
    <row r="228" spans="2:35" x14ac:dyDescent="0.25">
      <c r="B228" t="s">
        <v>393</v>
      </c>
      <c r="AA228" t="s">
        <v>2500</v>
      </c>
    </row>
    <row r="235" spans="2:35" x14ac:dyDescent="0.25">
      <c r="B235" s="57" t="s">
        <v>394</v>
      </c>
    </row>
    <row r="238" spans="2:35" x14ac:dyDescent="0.25">
      <c r="K238" s="115">
        <v>0.21579999999999999</v>
      </c>
    </row>
    <row r="239" spans="2:35" x14ac:dyDescent="0.25">
      <c r="AI239" t="s">
        <v>2501</v>
      </c>
    </row>
    <row r="240" spans="2:35" x14ac:dyDescent="0.25">
      <c r="AI240" s="115">
        <v>0.14499999999999999</v>
      </c>
    </row>
    <row r="244" spans="2:39" x14ac:dyDescent="0.25">
      <c r="B244" s="57" t="s">
        <v>395</v>
      </c>
    </row>
    <row r="249" spans="2:39" x14ac:dyDescent="0.25">
      <c r="P249" t="s">
        <v>396</v>
      </c>
      <c r="R249" t="s">
        <v>397</v>
      </c>
    </row>
    <row r="250" spans="2:39" x14ac:dyDescent="0.25">
      <c r="P250">
        <v>11</v>
      </c>
      <c r="Q250" t="s">
        <v>398</v>
      </c>
      <c r="R250" t="s">
        <v>399</v>
      </c>
      <c r="AA250" t="s">
        <v>2502</v>
      </c>
    </row>
    <row r="251" spans="2:39" x14ac:dyDescent="0.25">
      <c r="P251">
        <v>26</v>
      </c>
      <c r="Q251" t="s">
        <v>400</v>
      </c>
      <c r="R251" t="s">
        <v>399</v>
      </c>
    </row>
    <row r="252" spans="2:39" x14ac:dyDescent="0.25">
      <c r="P252">
        <v>21</v>
      </c>
      <c r="Q252" t="s">
        <v>401</v>
      </c>
      <c r="R252" t="s">
        <v>399</v>
      </c>
      <c r="AL252" s="54">
        <v>0.25</v>
      </c>
      <c r="AM252" t="s">
        <v>2503</v>
      </c>
    </row>
    <row r="253" spans="2:39" x14ac:dyDescent="0.25">
      <c r="P253">
        <v>5</v>
      </c>
      <c r="Q253" t="s">
        <v>402</v>
      </c>
      <c r="R253" t="s">
        <v>403</v>
      </c>
      <c r="AL253" s="54">
        <v>0.25</v>
      </c>
      <c r="AM253" t="s">
        <v>2504</v>
      </c>
    </row>
    <row r="254" spans="2:39" x14ac:dyDescent="0.25">
      <c r="Q254" t="s">
        <v>404</v>
      </c>
      <c r="R254" t="s">
        <v>405</v>
      </c>
    </row>
    <row r="255" spans="2:39" x14ac:dyDescent="0.25">
      <c r="P255">
        <v>5</v>
      </c>
      <c r="Q255" t="s">
        <v>406</v>
      </c>
      <c r="R255" t="s">
        <v>407</v>
      </c>
      <c r="AL255" s="361">
        <f>AL252*AL253*1.6</f>
        <v>0.1</v>
      </c>
      <c r="AM255" s="127" t="s">
        <v>2505</v>
      </c>
    </row>
    <row r="256" spans="2:39" x14ac:dyDescent="0.25">
      <c r="O256" s="116">
        <f>P256*1000000/P260</f>
        <v>9.9171468987202336E-3</v>
      </c>
      <c r="P256">
        <v>1</v>
      </c>
      <c r="Q256" t="s">
        <v>408</v>
      </c>
      <c r="R256" t="s">
        <v>409</v>
      </c>
    </row>
    <row r="257" spans="2:28" x14ac:dyDescent="0.25">
      <c r="P257">
        <v>10</v>
      </c>
      <c r="Q257" t="s">
        <v>410</v>
      </c>
      <c r="R257" t="s">
        <v>411</v>
      </c>
    </row>
    <row r="259" spans="2:28" x14ac:dyDescent="0.25">
      <c r="P259" s="6">
        <f>SUM(P250:P257)*1000000</f>
        <v>79000000</v>
      </c>
      <c r="Q259" t="s">
        <v>412</v>
      </c>
    </row>
    <row r="260" spans="2:28" x14ac:dyDescent="0.25">
      <c r="P260" s="6">
        <f>(SUM('Pop M'!I481:AC481)+SUM('Pop F'!I481:AC481))*1000</f>
        <v>100835453.00000001</v>
      </c>
      <c r="Q260" t="s">
        <v>413</v>
      </c>
    </row>
    <row r="261" spans="2:28" x14ac:dyDescent="0.25">
      <c r="P261" s="61">
        <f>P259/P260</f>
        <v>0.78345460499889841</v>
      </c>
      <c r="Q261" t="s">
        <v>414</v>
      </c>
    </row>
    <row r="263" spans="2:28" x14ac:dyDescent="0.25">
      <c r="P263" t="s">
        <v>415</v>
      </c>
    </row>
    <row r="266" spans="2:28" x14ac:dyDescent="0.25">
      <c r="AA266" t="s">
        <v>2508</v>
      </c>
    </row>
    <row r="267" spans="2:28" x14ac:dyDescent="0.25">
      <c r="AA267" t="s">
        <v>2509</v>
      </c>
    </row>
    <row r="268" spans="2:28" x14ac:dyDescent="0.25">
      <c r="AA268" t="s">
        <v>2510</v>
      </c>
    </row>
    <row r="269" spans="2:28" x14ac:dyDescent="0.25">
      <c r="AA269" t="s">
        <v>2511</v>
      </c>
    </row>
    <row r="271" spans="2:28" x14ac:dyDescent="0.25">
      <c r="AA271" s="127" t="s">
        <v>2512</v>
      </c>
    </row>
    <row r="272" spans="2:28" x14ac:dyDescent="0.25">
      <c r="B272" s="57" t="s">
        <v>416</v>
      </c>
      <c r="AA272" s="366">
        <v>1.4999999999999999E-2</v>
      </c>
      <c r="AB272" t="s">
        <v>2513</v>
      </c>
    </row>
    <row r="273" spans="2:27" x14ac:dyDescent="0.25">
      <c r="C273" t="s">
        <v>417</v>
      </c>
      <c r="D273" t="s">
        <v>418</v>
      </c>
      <c r="E273" t="s">
        <v>419</v>
      </c>
    </row>
    <row r="274" spans="2:27" x14ac:dyDescent="0.25">
      <c r="B274" t="s">
        <v>420</v>
      </c>
      <c r="C274" s="89">
        <v>2.08</v>
      </c>
      <c r="D274" s="6">
        <v>2232580</v>
      </c>
      <c r="AA274" t="s">
        <v>2514</v>
      </c>
    </row>
    <row r="275" spans="2:27" x14ac:dyDescent="0.25">
      <c r="B275" t="s">
        <v>421</v>
      </c>
      <c r="C275" s="89">
        <v>1.28</v>
      </c>
      <c r="D275" s="6">
        <v>1372230</v>
      </c>
    </row>
    <row r="276" spans="2:27" x14ac:dyDescent="0.25">
      <c r="B276" t="s">
        <v>422</v>
      </c>
      <c r="C276" s="89">
        <v>0.7</v>
      </c>
      <c r="D276" s="6">
        <v>758000</v>
      </c>
    </row>
    <row r="277" spans="2:27" x14ac:dyDescent="0.25">
      <c r="B277" t="s">
        <v>423</v>
      </c>
      <c r="C277" s="89">
        <v>0</v>
      </c>
      <c r="D277" s="6">
        <v>0</v>
      </c>
      <c r="E277" t="s">
        <v>424</v>
      </c>
    </row>
    <row r="278" spans="2:27" x14ac:dyDescent="0.25">
      <c r="B278" t="s">
        <v>425</v>
      </c>
      <c r="C278" s="89">
        <v>0</v>
      </c>
      <c r="D278" s="6">
        <v>0</v>
      </c>
    </row>
    <row r="279" spans="2:27" x14ac:dyDescent="0.25">
      <c r="B279" t="s">
        <v>426</v>
      </c>
      <c r="C279" s="89">
        <v>0</v>
      </c>
      <c r="D279" s="6">
        <v>0</v>
      </c>
    </row>
    <row r="284" spans="2:27" x14ac:dyDescent="0.25">
      <c r="B284" t="s">
        <v>2515</v>
      </c>
    </row>
    <row r="285" spans="2:27" x14ac:dyDescent="0.25">
      <c r="B285" t="s">
        <v>2516</v>
      </c>
    </row>
    <row r="286" spans="2:27" x14ac:dyDescent="0.25">
      <c r="F286" t="s">
        <v>2517</v>
      </c>
    </row>
    <row r="288" spans="2:27" x14ac:dyDescent="0.25">
      <c r="K288" s="332">
        <v>9.6000000000000002E-2</v>
      </c>
      <c r="L288" t="s">
        <v>2518</v>
      </c>
    </row>
    <row r="300" spans="2:27" x14ac:dyDescent="0.25">
      <c r="B300" t="s">
        <v>2519</v>
      </c>
    </row>
    <row r="301" spans="2:27" x14ac:dyDescent="0.25">
      <c r="AA301" t="s">
        <v>2532</v>
      </c>
    </row>
    <row r="302" spans="2:27" ht="14.45" customHeight="1" x14ac:dyDescent="0.25">
      <c r="H302" s="185">
        <v>0.14000000000000001</v>
      </c>
      <c r="I302" s="458" t="s">
        <v>2520</v>
      </c>
      <c r="J302" s="458"/>
      <c r="K302" s="458"/>
      <c r="L302" s="458"/>
      <c r="M302" s="458"/>
      <c r="N302" s="458"/>
      <c r="O302" s="458"/>
      <c r="P302" s="458"/>
      <c r="Q302" s="458"/>
    </row>
    <row r="303" spans="2:27" x14ac:dyDescent="0.25">
      <c r="I303" s="458"/>
      <c r="J303" s="458"/>
      <c r="K303" s="458"/>
      <c r="L303" s="458"/>
      <c r="M303" s="458"/>
      <c r="N303" s="458"/>
      <c r="O303" s="458"/>
      <c r="P303" s="458"/>
      <c r="Q303" s="458"/>
    </row>
    <row r="308" spans="2:30" x14ac:dyDescent="0.25">
      <c r="B308" t="s">
        <v>2522</v>
      </c>
    </row>
    <row r="316" spans="2:30" x14ac:dyDescent="0.25">
      <c r="B316" s="68">
        <v>0.13020000000000001</v>
      </c>
      <c r="C316" t="s">
        <v>2523</v>
      </c>
    </row>
    <row r="317" spans="2:30" x14ac:dyDescent="0.25">
      <c r="B317">
        <f>(49-15)</f>
        <v>34</v>
      </c>
      <c r="C317" t="s">
        <v>2524</v>
      </c>
    </row>
    <row r="318" spans="2:30" x14ac:dyDescent="0.25">
      <c r="B318" s="188">
        <f>B316/B317</f>
        <v>3.8294117647058828E-3</v>
      </c>
      <c r="C318" t="s">
        <v>2525</v>
      </c>
      <c r="AA318" t="s">
        <v>2533</v>
      </c>
      <c r="AD318" s="332">
        <v>0.29070000000000001</v>
      </c>
    </row>
    <row r="319" spans="2:30" x14ac:dyDescent="0.25">
      <c r="C319" s="127" t="s">
        <v>2526</v>
      </c>
    </row>
    <row r="320" spans="2:30" x14ac:dyDescent="0.25">
      <c r="C320" s="127" t="s">
        <v>2527</v>
      </c>
    </row>
    <row r="321" spans="2:28" x14ac:dyDescent="0.25">
      <c r="C321" s="127" t="s">
        <v>2528</v>
      </c>
      <c r="AA321" t="s">
        <v>327</v>
      </c>
    </row>
    <row r="322" spans="2:28" x14ac:dyDescent="0.25">
      <c r="AA322" t="s">
        <v>2534</v>
      </c>
      <c r="AB322" s="185">
        <v>0.03</v>
      </c>
    </row>
    <row r="323" spans="2:28" x14ac:dyDescent="0.25">
      <c r="B323" s="332">
        <v>0.37019999999999997</v>
      </c>
      <c r="C323" s="58" t="s">
        <v>2529</v>
      </c>
      <c r="AA323" s="367" t="s">
        <v>2535</v>
      </c>
      <c r="AB323" s="185">
        <v>0.02</v>
      </c>
    </row>
    <row r="324" spans="2:28" x14ac:dyDescent="0.25">
      <c r="AA324" t="s">
        <v>844</v>
      </c>
      <c r="AB324" s="185">
        <v>0.01</v>
      </c>
    </row>
    <row r="333" spans="2:28" x14ac:dyDescent="0.25">
      <c r="B333" t="s">
        <v>327</v>
      </c>
    </row>
    <row r="335" spans="2:28" x14ac:dyDescent="0.25">
      <c r="B335" t="s">
        <v>2541</v>
      </c>
    </row>
    <row r="336" spans="2:28" x14ac:dyDescent="0.25">
      <c r="B336" t="s">
        <v>2542</v>
      </c>
      <c r="C336" s="68">
        <v>3.9E-2</v>
      </c>
      <c r="E336" t="s">
        <v>2544</v>
      </c>
    </row>
    <row r="337" spans="2:3" x14ac:dyDescent="0.25">
      <c r="B337" t="s">
        <v>2543</v>
      </c>
      <c r="C337" s="68">
        <v>3.5999999999999997E-2</v>
      </c>
    </row>
    <row r="356" spans="27:37" x14ac:dyDescent="0.25">
      <c r="AA356" t="s">
        <v>2566</v>
      </c>
      <c r="AI356" t="s">
        <v>2568</v>
      </c>
    </row>
    <row r="357" spans="27:37" x14ac:dyDescent="0.25">
      <c r="AA357" t="s">
        <v>2567</v>
      </c>
    </row>
    <row r="359" spans="27:37" x14ac:dyDescent="0.25">
      <c r="AJ359" s="68">
        <v>8.8999999999999996E-2</v>
      </c>
      <c r="AK359" t="s">
        <v>2569</v>
      </c>
    </row>
    <row r="369" spans="2:40" x14ac:dyDescent="0.25">
      <c r="B369" t="s">
        <v>2551</v>
      </c>
    </row>
    <row r="370" spans="2:40" x14ac:dyDescent="0.25">
      <c r="B370" t="s">
        <v>2552</v>
      </c>
    </row>
    <row r="380" spans="2:40" x14ac:dyDescent="0.25">
      <c r="AA380" t="s">
        <v>2571</v>
      </c>
    </row>
    <row r="382" spans="2:40" x14ac:dyDescent="0.25">
      <c r="AA382" s="57" t="s">
        <v>2572</v>
      </c>
    </row>
    <row r="384" spans="2:40" x14ac:dyDescent="0.25">
      <c r="AM384" t="s">
        <v>1938</v>
      </c>
      <c r="AN384">
        <f>1000/1000000</f>
        <v>1E-3</v>
      </c>
    </row>
    <row r="386" spans="10:41" x14ac:dyDescent="0.25">
      <c r="AM386" t="s">
        <v>2574</v>
      </c>
      <c r="AN386">
        <v>360</v>
      </c>
    </row>
    <row r="387" spans="10:41" x14ac:dyDescent="0.25">
      <c r="AM387" t="s">
        <v>2575</v>
      </c>
      <c r="AN387">
        <v>180</v>
      </c>
    </row>
    <row r="388" spans="10:41" x14ac:dyDescent="0.25">
      <c r="AM388" t="s">
        <v>2576</v>
      </c>
      <c r="AN388">
        <v>890</v>
      </c>
    </row>
    <row r="390" spans="10:41" x14ac:dyDescent="0.25">
      <c r="AM390" t="s">
        <v>2578</v>
      </c>
      <c r="AN390" s="89">
        <f>AN387*0.172+283.132</f>
        <v>314.09199999999998</v>
      </c>
    </row>
    <row r="391" spans="10:41" x14ac:dyDescent="0.25">
      <c r="AM391" t="s">
        <v>2577</v>
      </c>
      <c r="AN391" s="369">
        <f>0.172*(AN388-AN387)+AN386</f>
        <v>482.12</v>
      </c>
      <c r="AO391" s="3"/>
    </row>
    <row r="393" spans="10:41" x14ac:dyDescent="0.25">
      <c r="AM393" t="s">
        <v>2582</v>
      </c>
      <c r="AN393" s="332">
        <v>3.1199999999999999E-2</v>
      </c>
    </row>
    <row r="395" spans="10:41" x14ac:dyDescent="0.25">
      <c r="AM395" t="s">
        <v>2579</v>
      </c>
    </row>
    <row r="396" spans="10:41" x14ac:dyDescent="0.25">
      <c r="L396" t="s">
        <v>576</v>
      </c>
      <c r="M396" t="s">
        <v>577</v>
      </c>
      <c r="N396" t="s">
        <v>118</v>
      </c>
      <c r="AM396" t="s">
        <v>2580</v>
      </c>
    </row>
    <row r="397" spans="10:41" x14ac:dyDescent="0.25">
      <c r="J397" t="s">
        <v>2553</v>
      </c>
      <c r="L397">
        <v>18895</v>
      </c>
      <c r="M397">
        <v>32970</v>
      </c>
      <c r="N397">
        <f>M397+L397</f>
        <v>51865</v>
      </c>
    </row>
    <row r="398" spans="10:41" x14ac:dyDescent="0.25">
      <c r="J398" t="s">
        <v>431</v>
      </c>
      <c r="L398">
        <v>57516835</v>
      </c>
      <c r="M398">
        <v>57446748</v>
      </c>
      <c r="N398">
        <f>M398+L398</f>
        <v>114963583</v>
      </c>
      <c r="P398" t="s">
        <v>2555</v>
      </c>
    </row>
    <row r="399" spans="10:41" x14ac:dyDescent="0.25">
      <c r="J399" t="s">
        <v>2554</v>
      </c>
      <c r="L399">
        <f>L397/L398</f>
        <v>3.2851251290165739E-4</v>
      </c>
      <c r="M399">
        <f>M397/M398</f>
        <v>5.7392282675426643E-4</v>
      </c>
      <c r="N399">
        <f>N397/N398</f>
        <v>4.5114286321434503E-4</v>
      </c>
      <c r="P399" t="s">
        <v>2556</v>
      </c>
    </row>
    <row r="401" spans="2:27" x14ac:dyDescent="0.25">
      <c r="AA401" t="s">
        <v>2573</v>
      </c>
    </row>
    <row r="403" spans="2:27" x14ac:dyDescent="0.25">
      <c r="B403" t="s">
        <v>2559</v>
      </c>
    </row>
    <row r="405" spans="2:27" x14ac:dyDescent="0.25">
      <c r="B405" t="s">
        <v>2560</v>
      </c>
    </row>
    <row r="406" spans="2:27" x14ac:dyDescent="0.25">
      <c r="B406" t="s">
        <v>2561</v>
      </c>
    </row>
    <row r="407" spans="2:27" x14ac:dyDescent="0.25">
      <c r="B407" t="s">
        <v>2562</v>
      </c>
    </row>
    <row r="409" spans="2:27" x14ac:dyDescent="0.25">
      <c r="B409" t="s">
        <v>2550</v>
      </c>
    </row>
    <row r="411" spans="2:27" x14ac:dyDescent="0.25">
      <c r="AA411" t="s">
        <v>2585</v>
      </c>
    </row>
    <row r="412" spans="2:27" x14ac:dyDescent="0.25">
      <c r="AA412" t="s">
        <v>2586</v>
      </c>
    </row>
    <row r="413" spans="2:27" x14ac:dyDescent="0.25">
      <c r="AA413" t="s">
        <v>2587</v>
      </c>
    </row>
    <row r="414" spans="2:27" x14ac:dyDescent="0.25">
      <c r="AA414" t="s">
        <v>2588</v>
      </c>
    </row>
    <row r="417" spans="2:36" x14ac:dyDescent="0.25">
      <c r="AJ417" s="332">
        <v>0.155</v>
      </c>
    </row>
    <row r="425" spans="2:36" x14ac:dyDescent="0.25">
      <c r="B425" t="s">
        <v>387</v>
      </c>
    </row>
    <row r="448" spans="2:19" x14ac:dyDescent="0.25">
      <c r="B448" s="68">
        <v>3.2000000000000001E-2</v>
      </c>
      <c r="C448" t="s">
        <v>2599</v>
      </c>
      <c r="S448" t="s">
        <v>2610</v>
      </c>
    </row>
    <row r="449" spans="2:31" x14ac:dyDescent="0.25">
      <c r="C449" t="s">
        <v>2600</v>
      </c>
      <c r="S449" t="s">
        <v>2611</v>
      </c>
    </row>
    <row r="451" spans="2:31" x14ac:dyDescent="0.25">
      <c r="B451">
        <v>4.5999999999999996</v>
      </c>
      <c r="C451" t="s">
        <v>2601</v>
      </c>
    </row>
    <row r="453" spans="2:31" x14ac:dyDescent="0.25">
      <c r="B453" s="188">
        <f>B448/B451</f>
        <v>6.956521739130435E-3</v>
      </c>
      <c r="C453" t="s">
        <v>2602</v>
      </c>
    </row>
    <row r="454" spans="2:31" x14ac:dyDescent="0.25">
      <c r="C454" t="s">
        <v>2603</v>
      </c>
    </row>
    <row r="460" spans="2:31" x14ac:dyDescent="0.25">
      <c r="B460" s="54">
        <v>0.27</v>
      </c>
      <c r="C460" t="s">
        <v>2604</v>
      </c>
    </row>
    <row r="461" spans="2:31" x14ac:dyDescent="0.25">
      <c r="B461" s="54">
        <v>0.31</v>
      </c>
      <c r="C461" t="s">
        <v>2605</v>
      </c>
      <c r="AD461" t="s">
        <v>2616</v>
      </c>
    </row>
    <row r="462" spans="2:31" x14ac:dyDescent="0.25">
      <c r="C462" t="s">
        <v>2606</v>
      </c>
      <c r="AD462" s="68">
        <v>8.3000000000000004E-2</v>
      </c>
      <c r="AE462" t="s">
        <v>1863</v>
      </c>
    </row>
    <row r="463" spans="2:31" x14ac:dyDescent="0.25">
      <c r="AD463" s="68">
        <v>3.5000000000000003E-2</v>
      </c>
      <c r="AE463" t="s">
        <v>2612</v>
      </c>
    </row>
    <row r="464" spans="2:31" x14ac:dyDescent="0.25">
      <c r="B464" s="188">
        <f>B460*B453</f>
        <v>1.8782608695652177E-3</v>
      </c>
      <c r="C464" t="s">
        <v>2607</v>
      </c>
      <c r="AD464" s="54">
        <v>0.13</v>
      </c>
      <c r="AE464" t="s">
        <v>2613</v>
      </c>
    </row>
    <row r="465" spans="2:31" x14ac:dyDescent="0.25">
      <c r="B465" s="188">
        <f>B453*B461</f>
        <v>2.156521739130435E-3</v>
      </c>
      <c r="C465" t="s">
        <v>2608</v>
      </c>
    </row>
    <row r="466" spans="2:31" x14ac:dyDescent="0.25">
      <c r="AD466" t="s">
        <v>2614</v>
      </c>
    </row>
    <row r="467" spans="2:31" x14ac:dyDescent="0.25">
      <c r="AD467" t="s">
        <v>2615</v>
      </c>
    </row>
    <row r="468" spans="2:31" x14ac:dyDescent="0.25">
      <c r="B468" t="s">
        <v>2617</v>
      </c>
    </row>
    <row r="469" spans="2:31" x14ac:dyDescent="0.25">
      <c r="B469" t="s">
        <v>2618</v>
      </c>
      <c r="AD469" s="188">
        <f>AD462/8</f>
        <v>1.0375000000000001E-2</v>
      </c>
      <c r="AE469" t="s">
        <v>1863</v>
      </c>
    </row>
    <row r="470" spans="2:31" x14ac:dyDescent="0.25">
      <c r="B470" s="188">
        <v>0.33</v>
      </c>
      <c r="D470" t="s">
        <v>2619</v>
      </c>
      <c r="AD470">
        <f>AD463/8</f>
        <v>4.3750000000000004E-3</v>
      </c>
      <c r="AE470" t="s">
        <v>2612</v>
      </c>
    </row>
    <row r="471" spans="2:31" x14ac:dyDescent="0.25">
      <c r="AD471">
        <f>AD464/8</f>
        <v>1.6250000000000001E-2</v>
      </c>
      <c r="AE471" t="s">
        <v>2613</v>
      </c>
    </row>
    <row r="479" spans="2:31" x14ac:dyDescent="0.25">
      <c r="B479" t="s">
        <v>2620</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5" x14ac:dyDescent="0.25"/>
  <cols>
    <col min="4" max="4" width="12.5703125" bestFit="1" customWidth="1"/>
    <col min="5" max="5" width="9.7109375" customWidth="1"/>
    <col min="11" max="11" width="12.42578125" customWidth="1"/>
    <col min="13" max="13" width="12.5703125" bestFit="1" customWidth="1"/>
    <col min="15" max="15" width="13.5703125" bestFit="1" customWidth="1"/>
    <col min="16" max="16" width="9.140625" bestFit="1" customWidth="1"/>
    <col min="17" max="18" width="9.140625" customWidth="1"/>
    <col min="19" max="20" width="9.140625" bestFit="1" customWidth="1"/>
    <col min="21" max="21" width="10.140625" bestFit="1" customWidth="1"/>
    <col min="22" max="22" width="9.140625" bestFit="1" customWidth="1"/>
    <col min="26" max="30" width="13.85546875" customWidth="1"/>
  </cols>
  <sheetData>
    <row r="1" spans="1:22" x14ac:dyDescent="0.25">
      <c r="A1" s="57" t="s">
        <v>567</v>
      </c>
    </row>
    <row r="2" spans="1:22" x14ac:dyDescent="0.25">
      <c r="G2" t="s">
        <v>568</v>
      </c>
      <c r="I2" t="s">
        <v>569</v>
      </c>
    </row>
    <row r="3" spans="1:22" x14ac:dyDescent="0.25">
      <c r="G3" t="s">
        <v>570</v>
      </c>
      <c r="I3" s="178">
        <f>SUM(V6:V22)/1000</f>
        <v>10.092043800000001</v>
      </c>
      <c r="J3" t="s">
        <v>571</v>
      </c>
    </row>
    <row r="4" spans="1:22" x14ac:dyDescent="0.25">
      <c r="S4" s="459" t="s">
        <v>572</v>
      </c>
      <c r="T4" s="459"/>
      <c r="U4" s="459"/>
    </row>
    <row r="5" spans="1:22" x14ac:dyDescent="0.25">
      <c r="H5" t="s">
        <v>434</v>
      </c>
      <c r="I5" t="s">
        <v>573</v>
      </c>
      <c r="J5" t="s">
        <v>1794</v>
      </c>
      <c r="K5" t="s">
        <v>574</v>
      </c>
      <c r="L5" t="s">
        <v>575</v>
      </c>
      <c r="S5" t="s">
        <v>576</v>
      </c>
      <c r="T5" t="s">
        <v>577</v>
      </c>
      <c r="U5" t="s">
        <v>118</v>
      </c>
      <c r="V5" t="s">
        <v>578</v>
      </c>
    </row>
    <row r="6" spans="1:22" x14ac:dyDescent="0.2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2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2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2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2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2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2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2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2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2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2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2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25">
      <c r="P18" t="s">
        <v>603</v>
      </c>
      <c r="S18" s="6">
        <f>SUMIFS('Pop M'!I:I,'Pop M'!C:C,P18,'Pop M'!H:H,2000)</f>
        <v>73.69</v>
      </c>
      <c r="T18" s="6">
        <f>SUMIFS('Pop F'!I:I,'Pop F'!C:C,P18,'Pop F'!H:H,2000)</f>
        <v>72.668000000000006</v>
      </c>
      <c r="U18" s="6">
        <f t="shared" si="0"/>
        <v>146.358</v>
      </c>
      <c r="V18" s="6">
        <f t="shared" si="2"/>
        <v>29.271599999999999</v>
      </c>
    </row>
    <row r="19" spans="1:22" x14ac:dyDescent="0.25">
      <c r="P19" t="s">
        <v>604</v>
      </c>
      <c r="S19" s="6">
        <f>SUMIFS('Pop M'!I:I,'Pop M'!C:C,P19,'Pop M'!H:H,2000)</f>
        <v>2389.049</v>
      </c>
      <c r="T19" s="6">
        <f>SUMIFS('Pop F'!I:I,'Pop F'!C:C,P19,'Pop F'!H:H,2000)</f>
        <v>2347.4070000000002</v>
      </c>
      <c r="U19" s="6">
        <f t="shared" si="0"/>
        <v>4736.4560000000001</v>
      </c>
      <c r="V19" s="6">
        <f t="shared" si="2"/>
        <v>947.2912</v>
      </c>
    </row>
    <row r="20" spans="1:22" x14ac:dyDescent="0.2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25">
      <c r="P21" t="s">
        <v>606</v>
      </c>
      <c r="S21" s="6">
        <f>SUMIFS('Pop M'!I:I,'Pop M'!C:C,P21,'Pop M'!H:H,2000)</f>
        <v>961.10900000000004</v>
      </c>
      <c r="T21" s="6">
        <f>SUMIFS('Pop F'!I:I,'Pop F'!C:C,P21,'Pop F'!H:H,2000)</f>
        <v>946.91800000000001</v>
      </c>
      <c r="U21" s="6">
        <f t="shared" si="0"/>
        <v>1908.027</v>
      </c>
      <c r="V21" s="6">
        <f t="shared" si="2"/>
        <v>381.60540000000003</v>
      </c>
    </row>
    <row r="22" spans="1:22" x14ac:dyDescent="0.2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25">
      <c r="A27" t="s">
        <v>608</v>
      </c>
    </row>
    <row r="28" spans="1:22" x14ac:dyDescent="0.25">
      <c r="I28" t="s">
        <v>609</v>
      </c>
      <c r="M28" s="54">
        <v>0.45</v>
      </c>
    </row>
    <row r="29" spans="1:22" x14ac:dyDescent="0.25">
      <c r="I29" t="s">
        <v>610</v>
      </c>
      <c r="M29">
        <f>29.1/1000</f>
        <v>2.9100000000000001E-2</v>
      </c>
    </row>
    <row r="30" spans="1:22" x14ac:dyDescent="0.25">
      <c r="I30" t="s">
        <v>611</v>
      </c>
      <c r="M30">
        <v>66.599999999999994</v>
      </c>
      <c r="N30" t="s">
        <v>612</v>
      </c>
    </row>
    <row r="31" spans="1:22" x14ac:dyDescent="0.25">
      <c r="M31">
        <v>63.2</v>
      </c>
      <c r="N31" s="86" t="s">
        <v>613</v>
      </c>
    </row>
    <row r="32" spans="1:22" x14ac:dyDescent="0.25">
      <c r="I32" t="s">
        <v>614</v>
      </c>
      <c r="L32" s="180">
        <f>M28*M29*M31</f>
        <v>0.82760400000000012</v>
      </c>
    </row>
    <row r="33" spans="1:21" x14ac:dyDescent="0.25">
      <c r="L33" s="127" t="s">
        <v>615</v>
      </c>
    </row>
    <row r="34" spans="1:21" x14ac:dyDescent="0.25">
      <c r="A34" t="s">
        <v>616</v>
      </c>
    </row>
    <row r="41" spans="1:21" x14ac:dyDescent="0.25">
      <c r="A41" t="s">
        <v>617</v>
      </c>
    </row>
    <row r="43" spans="1:21" x14ac:dyDescent="0.25">
      <c r="P43" t="s">
        <v>618</v>
      </c>
      <c r="S43" t="s">
        <v>619</v>
      </c>
      <c r="T43" t="s">
        <v>620</v>
      </c>
      <c r="U43" t="s">
        <v>621</v>
      </c>
    </row>
    <row r="44" spans="1:21" x14ac:dyDescent="0.25">
      <c r="O44" t="s">
        <v>622</v>
      </c>
      <c r="P44">
        <v>1.2</v>
      </c>
      <c r="S44">
        <v>1.8</v>
      </c>
      <c r="T44">
        <v>3.2</v>
      </c>
      <c r="U44">
        <v>10.5</v>
      </c>
    </row>
    <row r="45" spans="1:21" x14ac:dyDescent="0.2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25">
      <c r="P49" t="s">
        <v>153</v>
      </c>
      <c r="Q49" t="s">
        <v>624</v>
      </c>
      <c r="R49" t="s">
        <v>625</v>
      </c>
    </row>
    <row r="50" spans="15:19" x14ac:dyDescent="0.25">
      <c r="O50" t="s">
        <v>626</v>
      </c>
      <c r="P50">
        <v>47.2</v>
      </c>
      <c r="Q50">
        <v>295.39999999999998</v>
      </c>
      <c r="R50">
        <v>42.8</v>
      </c>
      <c r="S50" t="s">
        <v>627</v>
      </c>
    </row>
    <row r="51" spans="15:19" x14ac:dyDescent="0.25">
      <c r="O51" t="s">
        <v>622</v>
      </c>
      <c r="P51">
        <v>1.88</v>
      </c>
      <c r="Q51" s="181">
        <f>SUMPRODUCT(P44:U44,P45:U45)</f>
        <v>5.1074999999999999</v>
      </c>
      <c r="R51">
        <v>3</v>
      </c>
      <c r="S51" t="s">
        <v>628</v>
      </c>
    </row>
    <row r="52" spans="15:19" x14ac:dyDescent="0.25">
      <c r="O52" t="s">
        <v>629</v>
      </c>
      <c r="P52">
        <f>P50/P51</f>
        <v>25.106382978723406</v>
      </c>
      <c r="Q52">
        <f>Q50/Q51</f>
        <v>57.836514929025938</v>
      </c>
      <c r="R52">
        <f>R50/R51</f>
        <v>14.266666666666666</v>
      </c>
    </row>
    <row r="53" spans="15:19" x14ac:dyDescent="0.25">
      <c r="O53" t="s">
        <v>630</v>
      </c>
      <c r="P53" s="59">
        <f>1/P52</f>
        <v>3.9830508474576268E-2</v>
      </c>
      <c r="Q53" s="180">
        <f t="shared" ref="Q53:R53" si="5">1/Q52</f>
        <v>1.7290115098171972E-2</v>
      </c>
      <c r="R53" s="180">
        <f t="shared" si="5"/>
        <v>7.0093457943925241E-2</v>
      </c>
    </row>
    <row r="54" spans="15:19" x14ac:dyDescent="0.25">
      <c r="R54" s="127" t="s">
        <v>631</v>
      </c>
    </row>
    <row r="55" spans="15:19" x14ac:dyDescent="0.25">
      <c r="Q55" s="127" t="s">
        <v>632</v>
      </c>
    </row>
    <row r="74" spans="1:7" x14ac:dyDescent="0.25">
      <c r="A74" s="182" t="s">
        <v>633</v>
      </c>
      <c r="B74" s="182"/>
    </row>
    <row r="75" spans="1:7" x14ac:dyDescent="0.25">
      <c r="A75" t="s">
        <v>634</v>
      </c>
    </row>
    <row r="76" spans="1:7" x14ac:dyDescent="0.25">
      <c r="A76" t="s">
        <v>635</v>
      </c>
    </row>
    <row r="77" spans="1:7" x14ac:dyDescent="0.25">
      <c r="A77" t="s">
        <v>636</v>
      </c>
    </row>
    <row r="79" spans="1:7" x14ac:dyDescent="0.25">
      <c r="A79" t="s">
        <v>637</v>
      </c>
      <c r="E79">
        <f>401/100000</f>
        <v>4.0099999999999997E-3</v>
      </c>
      <c r="G79" t="s">
        <v>638</v>
      </c>
    </row>
    <row r="80" spans="1:7" x14ac:dyDescent="0.25">
      <c r="A80" t="s">
        <v>639</v>
      </c>
      <c r="E80" s="54">
        <v>0.85</v>
      </c>
      <c r="G80" t="s">
        <v>640</v>
      </c>
    </row>
    <row r="82" spans="2:22" x14ac:dyDescent="0.25">
      <c r="B82" t="s">
        <v>641</v>
      </c>
      <c r="C82" t="s">
        <v>642</v>
      </c>
      <c r="E82" t="s">
        <v>643</v>
      </c>
      <c r="G82" t="s">
        <v>644</v>
      </c>
    </row>
    <row r="83" spans="2:22" x14ac:dyDescent="0.25">
      <c r="B83" s="54">
        <v>1</v>
      </c>
      <c r="C83" t="s">
        <v>645</v>
      </c>
    </row>
    <row r="84" spans="2:22" x14ac:dyDescent="0.25">
      <c r="C84" s="61">
        <f>Prevalences!S71</f>
        <v>0.26812151014720248</v>
      </c>
      <c r="D84" t="s">
        <v>646</v>
      </c>
    </row>
    <row r="85" spans="2:22" x14ac:dyDescent="0.25">
      <c r="C85" s="61">
        <f>Prevalences!T72</f>
        <v>5.0116865018980945E-2</v>
      </c>
      <c r="D85" t="s">
        <v>647</v>
      </c>
    </row>
    <row r="86" spans="2:22" x14ac:dyDescent="0.25">
      <c r="C86" s="54">
        <f>B83-C84-C85</f>
        <v>0.68176162483381653</v>
      </c>
      <c r="D86" t="s">
        <v>648</v>
      </c>
    </row>
    <row r="87" spans="2:22" x14ac:dyDescent="0.25">
      <c r="C87" s="54"/>
      <c r="E87" s="61">
        <f>C86*C84</f>
        <v>0.18279495641085339</v>
      </c>
      <c r="F87" t="s">
        <v>646</v>
      </c>
    </row>
    <row r="88" spans="2:22" x14ac:dyDescent="0.25">
      <c r="C88" s="54"/>
      <c r="E88" s="61">
        <f>C86*C85</f>
        <v>3.4167755326917508E-2</v>
      </c>
      <c r="F88" t="s">
        <v>647</v>
      </c>
    </row>
    <row r="89" spans="2:22" x14ac:dyDescent="0.25">
      <c r="C89" s="54"/>
      <c r="E89" s="54">
        <f>C86-E87-E88</f>
        <v>0.4647989130960456</v>
      </c>
      <c r="F89" t="s">
        <v>648</v>
      </c>
    </row>
    <row r="90" spans="2:22" x14ac:dyDescent="0.25">
      <c r="C90" s="54"/>
      <c r="G90" s="61">
        <f>E89*E87</f>
        <v>8.4962897059203693E-2</v>
      </c>
      <c r="H90" t="s">
        <v>646</v>
      </c>
    </row>
    <row r="91" spans="2:22" x14ac:dyDescent="0.25">
      <c r="C91" s="54"/>
      <c r="G91" s="61">
        <f>E89*E88</f>
        <v>1.588113553888288E-2</v>
      </c>
      <c r="H91" t="s">
        <v>647</v>
      </c>
    </row>
    <row r="92" spans="2:22" x14ac:dyDescent="0.25">
      <c r="G92" s="54">
        <f>E89-G90-G91</f>
        <v>0.36395488049795904</v>
      </c>
      <c r="H92" t="s">
        <v>648</v>
      </c>
      <c r="I92" t="s">
        <v>649</v>
      </c>
    </row>
    <row r="93" spans="2:22" x14ac:dyDescent="0.25">
      <c r="G93" s="54"/>
      <c r="I93" s="61"/>
    </row>
    <row r="94" spans="2:22" x14ac:dyDescent="0.25">
      <c r="B94" s="89">
        <f>C84*0.5+C85*1+E87*1.5+E88*2+G90*2.5+G91*3+G92*3</f>
        <v>1.8786208561212323</v>
      </c>
      <c r="C94" t="s">
        <v>650</v>
      </c>
      <c r="G94" s="54"/>
      <c r="I94" s="61"/>
      <c r="V94" t="s">
        <v>2141</v>
      </c>
    </row>
    <row r="96" spans="2:22" x14ac:dyDescent="0.25">
      <c r="B96" t="s">
        <v>618</v>
      </c>
      <c r="C96" t="s">
        <v>619</v>
      </c>
      <c r="D96" t="s">
        <v>620</v>
      </c>
      <c r="E96" t="s">
        <v>651</v>
      </c>
    </row>
    <row r="97" spans="1:22" x14ac:dyDescent="0.25">
      <c r="A97" t="s">
        <v>652</v>
      </c>
      <c r="B97" s="54">
        <v>0.91</v>
      </c>
      <c r="C97" s="54">
        <v>0.85</v>
      </c>
      <c r="D97" s="54">
        <v>0.94</v>
      </c>
      <c r="E97" s="54">
        <v>0.99</v>
      </c>
      <c r="G97" t="s">
        <v>653</v>
      </c>
    </row>
    <row r="98" spans="1:22" x14ac:dyDescent="0.25">
      <c r="A98" t="s">
        <v>654</v>
      </c>
      <c r="B98" s="3">
        <f>B94</f>
        <v>1.8786208561212323</v>
      </c>
      <c r="C98" s="3">
        <f>B98</f>
        <v>1.8786208561212323</v>
      </c>
      <c r="D98" s="3">
        <f>C98</f>
        <v>1.8786208561212323</v>
      </c>
      <c r="E98">
        <v>3</v>
      </c>
    </row>
    <row r="99" spans="1:22" x14ac:dyDescent="0.25">
      <c r="A99" t="s">
        <v>655</v>
      </c>
      <c r="B99" s="54">
        <f>P45</f>
        <v>4.9999999999999996E-2</v>
      </c>
      <c r="C99" s="54">
        <f>S45</f>
        <v>0</v>
      </c>
      <c r="D99" s="54">
        <f>T45</f>
        <v>0.67500000000000004</v>
      </c>
      <c r="E99" s="54">
        <f>U45</f>
        <v>0.27499999999999997</v>
      </c>
    </row>
    <row r="101" spans="1:22" x14ac:dyDescent="0.25">
      <c r="A101" t="s">
        <v>656</v>
      </c>
      <c r="E101" s="89">
        <f>66.6</f>
        <v>66.599999999999994</v>
      </c>
      <c r="G101" t="s">
        <v>612</v>
      </c>
    </row>
    <row r="102" spans="1:22" x14ac:dyDescent="0.25">
      <c r="A102" t="s">
        <v>657</v>
      </c>
      <c r="E102" s="89">
        <f>S111</f>
        <v>29.195164730085189</v>
      </c>
      <c r="N102" t="s">
        <v>115</v>
      </c>
      <c r="O102" t="s">
        <v>658</v>
      </c>
      <c r="P102" t="s">
        <v>659</v>
      </c>
      <c r="Q102" t="s">
        <v>660</v>
      </c>
      <c r="R102" t="s">
        <v>661</v>
      </c>
      <c r="S102" t="s">
        <v>662</v>
      </c>
    </row>
    <row r="103" spans="1:22" x14ac:dyDescent="0.2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25">
      <c r="N104" t="s">
        <v>665</v>
      </c>
      <c r="O104">
        <f>34.7/100</f>
        <v>0.34700000000000003</v>
      </c>
      <c r="P104" s="6">
        <f>'Pop F'!M482</f>
        <v>5816.1729999999998</v>
      </c>
      <c r="Q104" s="6">
        <f t="shared" si="6"/>
        <v>2018.212031</v>
      </c>
      <c r="R104" s="61">
        <f t="shared" ref="R104:R109" si="7">Q104/SUM(Q$103:Q$109)</f>
        <v>0.24961240490535225</v>
      </c>
      <c r="S104">
        <v>22</v>
      </c>
    </row>
    <row r="105" spans="1:22" x14ac:dyDescent="0.25">
      <c r="A105" s="86" t="s">
        <v>666</v>
      </c>
      <c r="N105" t="s">
        <v>667</v>
      </c>
      <c r="O105">
        <f>40.5/100</f>
        <v>0.40500000000000003</v>
      </c>
      <c r="P105" s="6">
        <f>'Pop F'!N482</f>
        <v>4802.45</v>
      </c>
      <c r="Q105" s="6">
        <f t="shared" si="6"/>
        <v>1944.99225</v>
      </c>
      <c r="R105" s="61">
        <f t="shared" si="7"/>
        <v>0.24055658453498344</v>
      </c>
      <c r="S105">
        <v>27</v>
      </c>
    </row>
    <row r="106" spans="1:22" x14ac:dyDescent="0.2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2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2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2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25">
      <c r="A110" t="s">
        <v>677</v>
      </c>
      <c r="E110" s="183">
        <f>E109*E103</f>
        <v>0.26551608334870802</v>
      </c>
      <c r="V110" t="s">
        <v>2142</v>
      </c>
    </row>
    <row r="111" spans="1:22" x14ac:dyDescent="0.25">
      <c r="R111" t="s">
        <v>678</v>
      </c>
      <c r="S111" s="89">
        <f>SUMPRODUCT(S103:S109,R103:R109)</f>
        <v>29.195164730085189</v>
      </c>
      <c r="V111" t="s">
        <v>2143</v>
      </c>
    </row>
    <row r="113" spans="1:16" x14ac:dyDescent="0.25">
      <c r="A113" s="182" t="s">
        <v>679</v>
      </c>
    </row>
    <row r="114" spans="1:16" x14ac:dyDescent="0.25">
      <c r="A114" t="s">
        <v>680</v>
      </c>
    </row>
    <row r="116" spans="1:16" x14ac:dyDescent="0.25">
      <c r="M116" t="s">
        <v>681</v>
      </c>
      <c r="O116" s="189">
        <f>Prevalences!C217*SUM(Demographics_Total!B3:G4)</f>
        <v>34258790.966400005</v>
      </c>
      <c r="P116" t="s">
        <v>682</v>
      </c>
    </row>
    <row r="117" spans="1:16" x14ac:dyDescent="0.25">
      <c r="F117" t="s">
        <v>683</v>
      </c>
      <c r="G117">
        <f>2/52*0.279</f>
        <v>1.0730769230769233E-2</v>
      </c>
      <c r="M117" t="s">
        <v>684</v>
      </c>
      <c r="O117" s="189">
        <f>10916+2461</f>
        <v>13377</v>
      </c>
      <c r="P117" t="s">
        <v>685</v>
      </c>
    </row>
    <row r="118" spans="1:16" x14ac:dyDescent="0.25">
      <c r="F118" t="s">
        <v>686</v>
      </c>
    </row>
    <row r="119" spans="1:16" x14ac:dyDescent="0.25">
      <c r="G119" t="s">
        <v>687</v>
      </c>
      <c r="J119" s="75">
        <f>O117/O116</f>
        <v>3.9046912114089956E-4</v>
      </c>
      <c r="O119" t="s">
        <v>688</v>
      </c>
    </row>
    <row r="120" spans="1:16" x14ac:dyDescent="0.25">
      <c r="G120" t="s">
        <v>689</v>
      </c>
      <c r="J120" s="61">
        <f>AVERAGE(0.34,0.5)</f>
        <v>0.42000000000000004</v>
      </c>
      <c r="O120" s="91">
        <f>43881/1500000</f>
        <v>2.9253999999999999E-2</v>
      </c>
      <c r="P120" t="s">
        <v>690</v>
      </c>
    </row>
    <row r="121" spans="1:16" x14ac:dyDescent="0.25">
      <c r="G121" t="s">
        <v>691</v>
      </c>
      <c r="J121" s="3">
        <f>E101</f>
        <v>66.599999999999994</v>
      </c>
      <c r="P121" t="s">
        <v>692</v>
      </c>
    </row>
    <row r="122" spans="1:16" x14ac:dyDescent="0.25">
      <c r="G122" t="s">
        <v>693</v>
      </c>
      <c r="J122">
        <v>2.5</v>
      </c>
    </row>
    <row r="123" spans="1:16" x14ac:dyDescent="0.25">
      <c r="G123" t="s">
        <v>694</v>
      </c>
      <c r="J123" s="3">
        <f>J121-J122</f>
        <v>64.099999999999994</v>
      </c>
    </row>
    <row r="124" spans="1:16" x14ac:dyDescent="0.25">
      <c r="G124" t="s">
        <v>695</v>
      </c>
      <c r="J124" s="184">
        <f>J119*J120*J123</f>
        <v>1.0512209679355298E-2</v>
      </c>
    </row>
    <row r="126" spans="1:16" x14ac:dyDescent="0.25">
      <c r="F126" t="s">
        <v>696</v>
      </c>
      <c r="G126" s="190">
        <f>J124+G117</f>
        <v>2.124297891012453E-2</v>
      </c>
    </row>
    <row r="133" spans="1:16" x14ac:dyDescent="0.25">
      <c r="A133" s="186" t="s">
        <v>697</v>
      </c>
    </row>
    <row r="134" spans="1:16" x14ac:dyDescent="0.25">
      <c r="A134" t="s">
        <v>698</v>
      </c>
    </row>
    <row r="135" spans="1:16" x14ac:dyDescent="0.25">
      <c r="M135" t="s">
        <v>434</v>
      </c>
      <c r="O135">
        <v>3.2000000000000001E-2</v>
      </c>
      <c r="P135" t="s">
        <v>576</v>
      </c>
    </row>
    <row r="136" spans="1:16" x14ac:dyDescent="0.25">
      <c r="M136" t="s">
        <v>288</v>
      </c>
      <c r="O136">
        <v>3.34</v>
      </c>
      <c r="P136" t="s">
        <v>576</v>
      </c>
    </row>
    <row r="137" spans="1:16" x14ac:dyDescent="0.25">
      <c r="M137" t="s">
        <v>699</v>
      </c>
      <c r="O137">
        <f>O136*0.2</f>
        <v>0.66800000000000004</v>
      </c>
      <c r="P137" t="s">
        <v>576</v>
      </c>
    </row>
    <row r="138" spans="1:16" x14ac:dyDescent="0.25">
      <c r="M138" t="s">
        <v>614</v>
      </c>
      <c r="O138" s="191">
        <f>O135/O137</f>
        <v>4.7904191616766463E-2</v>
      </c>
      <c r="P138" s="127" t="s">
        <v>700</v>
      </c>
    </row>
    <row r="139" spans="1:16" x14ac:dyDescent="0.25">
      <c r="P139" t="s">
        <v>701</v>
      </c>
    </row>
    <row r="141" spans="1:16" x14ac:dyDescent="0.25">
      <c r="A141" t="s">
        <v>702</v>
      </c>
    </row>
    <row r="158" spans="1:12" x14ac:dyDescent="0.25">
      <c r="A158" t="s">
        <v>703</v>
      </c>
    </row>
    <row r="159" spans="1:12" x14ac:dyDescent="0.25">
      <c r="L159" t="s">
        <v>704</v>
      </c>
    </row>
    <row r="160" spans="1:12" x14ac:dyDescent="0.25">
      <c r="L160" t="s">
        <v>705</v>
      </c>
    </row>
    <row r="162" spans="1:14" x14ac:dyDescent="0.25">
      <c r="L162" t="s">
        <v>706</v>
      </c>
    </row>
    <row r="163" spans="1:14" x14ac:dyDescent="0.25">
      <c r="L163">
        <v>4979</v>
      </c>
    </row>
    <row r="164" spans="1:14" x14ac:dyDescent="0.25">
      <c r="L164" t="s">
        <v>707</v>
      </c>
    </row>
    <row r="165" spans="1:14" x14ac:dyDescent="0.25">
      <c r="L165">
        <v>338</v>
      </c>
      <c r="M165" t="s">
        <v>708</v>
      </c>
    </row>
    <row r="166" spans="1:14" x14ac:dyDescent="0.25">
      <c r="L166" s="180">
        <f>L165/1000</f>
        <v>0.33800000000000002</v>
      </c>
      <c r="M166" t="s">
        <v>709</v>
      </c>
      <c r="N166" s="127" t="s">
        <v>710</v>
      </c>
    </row>
    <row r="175" spans="1:14" x14ac:dyDescent="0.25">
      <c r="A175" t="s">
        <v>711</v>
      </c>
    </row>
    <row r="177" spans="1:16" x14ac:dyDescent="0.25">
      <c r="B177" s="188">
        <f>23/1000</f>
        <v>2.3E-2</v>
      </c>
      <c r="C177" t="s">
        <v>712</v>
      </c>
    </row>
    <row r="180" spans="1:16" x14ac:dyDescent="0.25">
      <c r="A180" t="s">
        <v>713</v>
      </c>
    </row>
    <row r="181" spans="1:16" x14ac:dyDescent="0.25">
      <c r="G181" t="s">
        <v>714</v>
      </c>
    </row>
    <row r="182" spans="1:16" x14ac:dyDescent="0.25">
      <c r="B182" t="s">
        <v>715</v>
      </c>
      <c r="D182" s="6">
        <v>1100000</v>
      </c>
      <c r="G182" s="196" t="s">
        <v>716</v>
      </c>
    </row>
    <row r="184" spans="1:16" x14ac:dyDescent="0.25">
      <c r="B184" t="s">
        <v>717</v>
      </c>
      <c r="D184" s="192">
        <v>271</v>
      </c>
      <c r="P184">
        <f>341.8406</f>
        <v>341.84059999999999</v>
      </c>
    </row>
    <row r="185" spans="1:16" x14ac:dyDescent="0.25">
      <c r="B185" t="s">
        <v>718</v>
      </c>
      <c r="D185" s="193">
        <v>17.3</v>
      </c>
      <c r="E185" t="s">
        <v>576</v>
      </c>
      <c r="P185" s="188">
        <f>P184/1000</f>
        <v>0.34184059999999999</v>
      </c>
    </row>
    <row r="187" spans="1:16" x14ac:dyDescent="0.25">
      <c r="B187" t="s">
        <v>719</v>
      </c>
      <c r="D187" s="161">
        <f>D185/D182*1000000</f>
        <v>15.727272727272728</v>
      </c>
    </row>
    <row r="188" spans="1:16" x14ac:dyDescent="0.25">
      <c r="B188" t="s">
        <v>720</v>
      </c>
      <c r="D188" s="180">
        <f>D187/D184</f>
        <v>5.8034216705803429E-2</v>
      </c>
    </row>
    <row r="192" spans="1:16" x14ac:dyDescent="0.25">
      <c r="A192" t="s">
        <v>721</v>
      </c>
      <c r="H192" s="57" t="s">
        <v>722</v>
      </c>
    </row>
    <row r="193" spans="1:8" x14ac:dyDescent="0.25">
      <c r="B193" s="186" t="s">
        <v>723</v>
      </c>
      <c r="C193" s="186" t="s">
        <v>724</v>
      </c>
      <c r="H193" t="s">
        <v>725</v>
      </c>
    </row>
    <row r="194" spans="1:8" x14ac:dyDescent="0.25">
      <c r="B194" t="s">
        <v>726</v>
      </c>
      <c r="C194" s="195">
        <v>0.36098622654892099</v>
      </c>
      <c r="D194" t="s">
        <v>294</v>
      </c>
    </row>
    <row r="195" spans="1:8" x14ac:dyDescent="0.25">
      <c r="B195" t="s">
        <v>727</v>
      </c>
      <c r="C195" s="195">
        <v>7.4195673431245293E-2</v>
      </c>
      <c r="D195" t="s">
        <v>293</v>
      </c>
    </row>
    <row r="196" spans="1:8" x14ac:dyDescent="0.25">
      <c r="B196" t="s">
        <v>728</v>
      </c>
      <c r="C196" s="195">
        <v>0.48551077682244398</v>
      </c>
      <c r="D196" t="s">
        <v>294</v>
      </c>
    </row>
    <row r="197" spans="1:8" x14ac:dyDescent="0.25">
      <c r="B197" t="s">
        <v>729</v>
      </c>
      <c r="C197" s="195">
        <v>0.29236325111597999</v>
      </c>
      <c r="D197" t="s">
        <v>729</v>
      </c>
    </row>
    <row r="198" spans="1:8" x14ac:dyDescent="0.25">
      <c r="B198" t="s">
        <v>730</v>
      </c>
      <c r="C198" s="195">
        <v>1.8559004324519299</v>
      </c>
      <c r="D198" t="s">
        <v>294</v>
      </c>
    </row>
    <row r="199" spans="1:8" x14ac:dyDescent="0.25">
      <c r="B199" t="s">
        <v>731</v>
      </c>
      <c r="C199" s="195">
        <v>0.14366259279414001</v>
      </c>
      <c r="D199" t="s">
        <v>295</v>
      </c>
    </row>
    <row r="200" spans="1:8" x14ac:dyDescent="0.25">
      <c r="B200" t="s">
        <v>732</v>
      </c>
      <c r="C200" s="195">
        <v>0.180473905853648</v>
      </c>
      <c r="D200" t="s">
        <v>295</v>
      </c>
    </row>
    <row r="201" spans="1:8" x14ac:dyDescent="0.25">
      <c r="B201" t="s">
        <v>733</v>
      </c>
      <c r="C201" s="195">
        <v>0.43717590813142299</v>
      </c>
      <c r="D201" t="s">
        <v>294</v>
      </c>
    </row>
    <row r="202" spans="1:8" x14ac:dyDescent="0.25">
      <c r="B202" t="s">
        <v>734</v>
      </c>
      <c r="C202" s="195">
        <v>6.2392966357071998E-2</v>
      </c>
      <c r="D202" t="s">
        <v>294</v>
      </c>
    </row>
    <row r="206" spans="1:8" x14ac:dyDescent="0.25">
      <c r="A206" s="57" t="s">
        <v>735</v>
      </c>
    </row>
    <row r="216" spans="13:13" x14ac:dyDescent="0.25">
      <c r="M216" s="127" t="s">
        <v>736</v>
      </c>
    </row>
    <row r="217" spans="13:13" x14ac:dyDescent="0.25">
      <c r="M217" s="127" t="s">
        <v>737</v>
      </c>
    </row>
    <row r="218" spans="13:13" x14ac:dyDescent="0.25">
      <c r="M218" s="127"/>
    </row>
    <row r="219" spans="13:13" x14ac:dyDescent="0.25">
      <c r="M219" s="127" t="s">
        <v>738</v>
      </c>
    </row>
    <row r="225" spans="1:13" x14ac:dyDescent="0.25">
      <c r="C225" t="s">
        <v>739</v>
      </c>
      <c r="E225" t="s">
        <v>740</v>
      </c>
      <c r="G225" t="s">
        <v>741</v>
      </c>
    </row>
    <row r="226" spans="1:13" x14ac:dyDescent="0.25">
      <c r="C226">
        <v>724</v>
      </c>
      <c r="E226">
        <v>4683</v>
      </c>
      <c r="G226" s="188">
        <f>E226/C226</f>
        <v>6.4682320441988947</v>
      </c>
    </row>
    <row r="227" spans="1:13" x14ac:dyDescent="0.25">
      <c r="G227" t="s">
        <v>1919</v>
      </c>
    </row>
    <row r="228" spans="1:13" x14ac:dyDescent="0.25">
      <c r="G228" s="188" t="e">
        <f>G226*Tasks_previous!#REF!</f>
        <v>#REF!</v>
      </c>
    </row>
    <row r="230" spans="1:13" x14ac:dyDescent="0.25">
      <c r="A230" s="186" t="s">
        <v>742</v>
      </c>
    </row>
    <row r="232" spans="1:13" x14ac:dyDescent="0.25">
      <c r="B232" t="s">
        <v>743</v>
      </c>
    </row>
    <row r="233" spans="1:13" x14ac:dyDescent="0.25">
      <c r="B233" t="s">
        <v>744</v>
      </c>
    </row>
    <row r="234" spans="1:13" x14ac:dyDescent="0.25">
      <c r="B234" t="s">
        <v>745</v>
      </c>
    </row>
    <row r="235" spans="1:13" x14ac:dyDescent="0.25">
      <c r="B235" t="s">
        <v>746</v>
      </c>
    </row>
    <row r="237" spans="1:13" x14ac:dyDescent="0.25">
      <c r="B237" s="57" t="s">
        <v>747</v>
      </c>
    </row>
    <row r="238" spans="1:13" x14ac:dyDescent="0.25">
      <c r="M238" t="s">
        <v>748</v>
      </c>
    </row>
    <row r="244" spans="13:18" x14ac:dyDescent="0.25">
      <c r="M244" t="s">
        <v>749</v>
      </c>
    </row>
    <row r="247" spans="13:18" x14ac:dyDescent="0.25">
      <c r="M247" t="s">
        <v>750</v>
      </c>
    </row>
    <row r="248" spans="13:18" x14ac:dyDescent="0.25">
      <c r="M248">
        <v>1.5</v>
      </c>
      <c r="N248" t="s">
        <v>751</v>
      </c>
      <c r="P248" t="s">
        <v>752</v>
      </c>
      <c r="R248">
        <v>0.52</v>
      </c>
    </row>
    <row r="249" spans="13:18" x14ac:dyDescent="0.25">
      <c r="M249">
        <v>1.17</v>
      </c>
      <c r="N249" t="s">
        <v>753</v>
      </c>
      <c r="P249" t="s">
        <v>754</v>
      </c>
      <c r="R249">
        <v>0.78</v>
      </c>
    </row>
    <row r="250" spans="13:18" x14ac:dyDescent="0.25">
      <c r="Q250" t="s">
        <v>755</v>
      </c>
      <c r="R250">
        <f>R249-R248</f>
        <v>0.26</v>
      </c>
    </row>
    <row r="251" spans="13:18" x14ac:dyDescent="0.25">
      <c r="M251" s="6">
        <f>M248/M249*10000</f>
        <v>12820.512820512822</v>
      </c>
      <c r="N251" t="s">
        <v>756</v>
      </c>
    </row>
    <row r="252" spans="13:18" x14ac:dyDescent="0.25">
      <c r="M252" s="6">
        <v>10000</v>
      </c>
      <c r="N252" t="s">
        <v>757</v>
      </c>
    </row>
    <row r="253" spans="13:18" x14ac:dyDescent="0.25">
      <c r="M253" s="197">
        <f>M251/M252/R250</f>
        <v>4.9309664694280082</v>
      </c>
      <c r="N253" t="s">
        <v>758</v>
      </c>
    </row>
    <row r="256" spans="13:18" x14ac:dyDescent="0.25">
      <c r="M256" t="s">
        <v>759</v>
      </c>
    </row>
    <row r="257" spans="13:13" x14ac:dyDescent="0.25">
      <c r="M257" t="s">
        <v>760</v>
      </c>
    </row>
    <row r="258" spans="13:13" x14ac:dyDescent="0.25">
      <c r="M258" t="s">
        <v>761</v>
      </c>
    </row>
    <row r="279" spans="2:10" x14ac:dyDescent="0.25">
      <c r="B279" t="s">
        <v>762</v>
      </c>
    </row>
    <row r="280" spans="2:10" x14ac:dyDescent="0.25">
      <c r="B280" t="s">
        <v>763</v>
      </c>
    </row>
    <row r="285" spans="2:10" x14ac:dyDescent="0.25">
      <c r="I285">
        <f>5.25/43</f>
        <v>0.12209302325581395</v>
      </c>
      <c r="J285" t="s">
        <v>764</v>
      </c>
    </row>
    <row r="286" spans="2:10" x14ac:dyDescent="0.25">
      <c r="I286">
        <v>15</v>
      </c>
      <c r="J286" t="s">
        <v>765</v>
      </c>
    </row>
    <row r="287" spans="2:10" x14ac:dyDescent="0.25">
      <c r="I287" s="59">
        <f>I285/I286</f>
        <v>8.1395348837209301E-3</v>
      </c>
    </row>
    <row r="290" spans="2:14" x14ac:dyDescent="0.25">
      <c r="B290" t="s">
        <v>766</v>
      </c>
    </row>
    <row r="301" spans="2:14" x14ac:dyDescent="0.25">
      <c r="M301">
        <v>29</v>
      </c>
      <c r="N301" t="s">
        <v>767</v>
      </c>
    </row>
    <row r="303" spans="2:14" x14ac:dyDescent="0.25">
      <c r="M303">
        <f>M301/365</f>
        <v>7.9452054794520555E-2</v>
      </c>
      <c r="N303" t="s">
        <v>768</v>
      </c>
    </row>
    <row r="304" spans="2:14" x14ac:dyDescent="0.25">
      <c r="N304" t="s">
        <v>769</v>
      </c>
    </row>
    <row r="305" spans="1:14" x14ac:dyDescent="0.25">
      <c r="N305" t="s">
        <v>770</v>
      </c>
    </row>
    <row r="309" spans="1:14" x14ac:dyDescent="0.25">
      <c r="A309" s="186" t="s">
        <v>200</v>
      </c>
    </row>
    <row r="311" spans="1:14" x14ac:dyDescent="0.25">
      <c r="A311" t="s">
        <v>504</v>
      </c>
    </row>
    <row r="314" spans="1:14" x14ac:dyDescent="0.25">
      <c r="M314" s="85">
        <v>0.12</v>
      </c>
      <c r="N314" t="s">
        <v>1809</v>
      </c>
    </row>
    <row r="323" spans="2:9" x14ac:dyDescent="0.25">
      <c r="B323" s="186" t="s">
        <v>1810</v>
      </c>
    </row>
    <row r="324" spans="2:9" x14ac:dyDescent="0.25">
      <c r="B324" t="s">
        <v>1814</v>
      </c>
      <c r="E324">
        <f>127/64</f>
        <v>1.984375</v>
      </c>
      <c r="F324" t="s">
        <v>1815</v>
      </c>
      <c r="H324" t="s">
        <v>1818</v>
      </c>
    </row>
    <row r="325" spans="2:9" x14ac:dyDescent="0.25">
      <c r="E325" s="226">
        <f>177/102</f>
        <v>1.7352941176470589</v>
      </c>
      <c r="F325" t="s">
        <v>1816</v>
      </c>
      <c r="H325" s="61">
        <f>1-(102/177)</f>
        <v>0.42372881355932202</v>
      </c>
      <c r="I325" t="s">
        <v>1816</v>
      </c>
    </row>
    <row r="327" spans="2:9" x14ac:dyDescent="0.25">
      <c r="B327" s="186" t="s">
        <v>1811</v>
      </c>
    </row>
    <row r="328" spans="2:9" x14ac:dyDescent="0.25">
      <c r="B328" t="s">
        <v>1812</v>
      </c>
      <c r="E328" s="54">
        <v>0.76</v>
      </c>
    </row>
    <row r="329" spans="2:9" x14ac:dyDescent="0.25">
      <c r="B329" t="s">
        <v>1813</v>
      </c>
      <c r="E329" s="54">
        <v>0.95</v>
      </c>
    </row>
    <row r="331" spans="2:9" x14ac:dyDescent="0.25">
      <c r="B331" s="186" t="s">
        <v>1817</v>
      </c>
    </row>
    <row r="332" spans="2:9" x14ac:dyDescent="0.25">
      <c r="B332" t="s">
        <v>1819</v>
      </c>
      <c r="F332">
        <f>102*0.76</f>
        <v>77.52</v>
      </c>
    </row>
    <row r="333" spans="2:9" x14ac:dyDescent="0.25">
      <c r="B333" t="s">
        <v>1820</v>
      </c>
      <c r="F333">
        <f>177*0.95</f>
        <v>168.15</v>
      </c>
    </row>
    <row r="334" spans="2:9" x14ac:dyDescent="0.25">
      <c r="B334" t="s">
        <v>1821</v>
      </c>
      <c r="F334">
        <f>F333-F332</f>
        <v>90.63000000000001</v>
      </c>
    </row>
    <row r="335" spans="2:9" x14ac:dyDescent="0.25">
      <c r="F335" s="227">
        <f>F334/F333</f>
        <v>0.53898305084745768</v>
      </c>
      <c r="G335" t="s">
        <v>1822</v>
      </c>
    </row>
    <row r="338" spans="1:18" x14ac:dyDescent="0.25">
      <c r="A338" t="s">
        <v>1823</v>
      </c>
    </row>
    <row r="342" spans="1:18" x14ac:dyDescent="0.25">
      <c r="O342" t="s">
        <v>1828</v>
      </c>
      <c r="P342" t="s">
        <v>1829</v>
      </c>
      <c r="Q342" t="s">
        <v>1830</v>
      </c>
    </row>
    <row r="343" spans="1:18" x14ac:dyDescent="0.25">
      <c r="M343" t="s">
        <v>1824</v>
      </c>
      <c r="O343">
        <v>0.62</v>
      </c>
      <c r="P343">
        <v>44.8</v>
      </c>
      <c r="Q343" s="60">
        <f>P343/O343</f>
        <v>72.258064516129025</v>
      </c>
    </row>
    <row r="344" spans="1:18" x14ac:dyDescent="0.25">
      <c r="M344" t="s">
        <v>1825</v>
      </c>
      <c r="O344">
        <f>0.62+0.51</f>
        <v>1.1299999999999999</v>
      </c>
      <c r="P344">
        <v>47.4</v>
      </c>
      <c r="Q344" s="60">
        <f t="shared" ref="Q344:Q346" si="8">P344/O344</f>
        <v>41.946902654867259</v>
      </c>
    </row>
    <row r="345" spans="1:18" x14ac:dyDescent="0.25">
      <c r="M345" t="s">
        <v>1826</v>
      </c>
      <c r="O345">
        <f>0.61+0.03</f>
        <v>0.64</v>
      </c>
      <c r="P345">
        <v>45.9</v>
      </c>
      <c r="Q345" s="60">
        <f t="shared" si="8"/>
        <v>71.71875</v>
      </c>
    </row>
    <row r="346" spans="1:18" x14ac:dyDescent="0.25">
      <c r="M346" t="s">
        <v>1827</v>
      </c>
      <c r="O346">
        <f>0.62+0.51+0.03</f>
        <v>1.1599999999999999</v>
      </c>
      <c r="P346">
        <v>48.4</v>
      </c>
      <c r="Q346" s="229">
        <f t="shared" si="8"/>
        <v>41.724137931034484</v>
      </c>
      <c r="R346" t="s">
        <v>1831</v>
      </c>
    </row>
    <row r="360" spans="1:1" x14ac:dyDescent="0.25">
      <c r="A360" s="186" t="s">
        <v>69</v>
      </c>
    </row>
    <row r="361" spans="1:1" x14ac:dyDescent="0.25">
      <c r="A361" t="s">
        <v>1835</v>
      </c>
    </row>
    <row r="381" spans="2:8" x14ac:dyDescent="0.25">
      <c r="B381" t="s">
        <v>1836</v>
      </c>
      <c r="E381" s="193">
        <v>0.3</v>
      </c>
    </row>
    <row r="382" spans="2:8" x14ac:dyDescent="0.25">
      <c r="B382" t="s">
        <v>1837</v>
      </c>
      <c r="E382" s="193">
        <v>13.5</v>
      </c>
      <c r="G382">
        <f>E382/E381</f>
        <v>45</v>
      </c>
      <c r="H382" t="s">
        <v>1839</v>
      </c>
    </row>
    <row r="383" spans="2:8" x14ac:dyDescent="0.25">
      <c r="B383" t="s">
        <v>1838</v>
      </c>
      <c r="E383" s="231">
        <f>E381*(1/E382)</f>
        <v>2.222222222222222E-2</v>
      </c>
    </row>
    <row r="386" spans="1:11" x14ac:dyDescent="0.25">
      <c r="A386" t="s">
        <v>215</v>
      </c>
    </row>
    <row r="388" spans="1:11" x14ac:dyDescent="0.25">
      <c r="K388" t="s">
        <v>1842</v>
      </c>
    </row>
    <row r="404" spans="1:16" x14ac:dyDescent="0.25">
      <c r="B404" t="s">
        <v>363</v>
      </c>
    </row>
    <row r="407" spans="1:16" x14ac:dyDescent="0.25">
      <c r="M407" t="s">
        <v>418</v>
      </c>
      <c r="N407" t="s">
        <v>1846</v>
      </c>
      <c r="O407" t="s">
        <v>1847</v>
      </c>
    </row>
    <row r="408" spans="1:16" x14ac:dyDescent="0.25">
      <c r="L408" t="s">
        <v>1845</v>
      </c>
      <c r="M408">
        <v>15</v>
      </c>
      <c r="N408">
        <f>AVERAGE(1,7)</f>
        <v>4</v>
      </c>
    </row>
    <row r="409" spans="1:16" x14ac:dyDescent="0.25">
      <c r="L409" t="s">
        <v>1844</v>
      </c>
      <c r="M409">
        <v>35</v>
      </c>
      <c r="N409">
        <f>AVERAGE(8,30)</f>
        <v>19</v>
      </c>
      <c r="O409">
        <f>SUMPRODUCT(M408:M409,N408:N409)/SUM(M408:M409)</f>
        <v>14.5</v>
      </c>
      <c r="P409" t="s">
        <v>1848</v>
      </c>
    </row>
    <row r="410" spans="1:16" x14ac:dyDescent="0.25">
      <c r="O410">
        <f>O409/365</f>
        <v>3.9726027397260277E-2</v>
      </c>
      <c r="P410" t="s">
        <v>1849</v>
      </c>
    </row>
    <row r="411" spans="1:16" x14ac:dyDescent="0.25">
      <c r="O411">
        <v>1.44</v>
      </c>
      <c r="P411" t="s">
        <v>1850</v>
      </c>
    </row>
    <row r="412" spans="1:16" x14ac:dyDescent="0.25">
      <c r="O412" s="59">
        <f>O410*(O411-1)</f>
        <v>1.7479452054794519E-2</v>
      </c>
      <c r="P412" t="s">
        <v>1851</v>
      </c>
    </row>
    <row r="415" spans="1:16" x14ac:dyDescent="0.25">
      <c r="A415" s="186" t="s">
        <v>1853</v>
      </c>
    </row>
    <row r="417" spans="2:32" x14ac:dyDescent="0.25">
      <c r="B417" t="s">
        <v>1854</v>
      </c>
    </row>
    <row r="420" spans="2:32" x14ac:dyDescent="0.25">
      <c r="Y420" t="s">
        <v>1875</v>
      </c>
      <c r="Z420" s="54">
        <v>0.7</v>
      </c>
      <c r="AC420" s="127" t="s">
        <v>1886</v>
      </c>
    </row>
    <row r="421" spans="2:32" x14ac:dyDescent="0.25">
      <c r="AC421" s="127" t="s">
        <v>1879</v>
      </c>
    </row>
    <row r="423" spans="2:32" x14ac:dyDescent="0.25">
      <c r="L423" t="s">
        <v>1859</v>
      </c>
      <c r="Y423" t="s">
        <v>1864</v>
      </c>
    </row>
    <row r="424" spans="2:32" x14ac:dyDescent="0.25">
      <c r="K424" t="s">
        <v>1855</v>
      </c>
      <c r="L424">
        <v>40</v>
      </c>
      <c r="Z424" t="s">
        <v>1865</v>
      </c>
      <c r="AA424" t="s">
        <v>1869</v>
      </c>
      <c r="AB424" t="s">
        <v>1870</v>
      </c>
      <c r="AC424" t="s">
        <v>1871</v>
      </c>
      <c r="AD424" t="s">
        <v>1872</v>
      </c>
    </row>
    <row r="425" spans="2:32" x14ac:dyDescent="0.2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2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25">
      <c r="Y427" t="s">
        <v>1868</v>
      </c>
      <c r="Z427" s="89">
        <v>9.1999999999999993</v>
      </c>
      <c r="AA427" s="89">
        <f>8.2</f>
        <v>8.1999999999999993</v>
      </c>
      <c r="AB427" s="89">
        <v>3.2</v>
      </c>
      <c r="AC427" s="89">
        <f t="shared" si="10"/>
        <v>7.7714285714285705</v>
      </c>
      <c r="AD427" s="89">
        <f t="shared" si="9"/>
        <v>0.62857142857142811</v>
      </c>
    </row>
    <row r="428" spans="2:32" x14ac:dyDescent="0.2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2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25">
      <c r="K430" t="s">
        <v>1878</v>
      </c>
      <c r="L430" s="91">
        <f>L429*0.7</f>
        <v>0.17359999999999998</v>
      </c>
      <c r="M430" s="91">
        <f t="shared" ref="M430:N430" si="11">M429*0.7</f>
        <v>0.12249999999999998</v>
      </c>
      <c r="N430" s="91">
        <f t="shared" si="11"/>
        <v>0.10709999999999999</v>
      </c>
    </row>
    <row r="431" spans="2:32" x14ac:dyDescent="0.25">
      <c r="J431" t="s">
        <v>1856</v>
      </c>
      <c r="K431" t="s">
        <v>1876</v>
      </c>
      <c r="L431" s="91">
        <v>4.2000000000000003E-2</v>
      </c>
      <c r="M431" s="91">
        <v>0.16</v>
      </c>
      <c r="N431" s="91">
        <v>1.2E-2</v>
      </c>
      <c r="AC431" s="3">
        <f>SUM(AC425:AC429)</f>
        <v>29.857142857142854</v>
      </c>
      <c r="AD431" s="3">
        <f>SUM(AD425:AD429)</f>
        <v>22.142857142857139</v>
      </c>
      <c r="AE431" t="s">
        <v>1880</v>
      </c>
    </row>
    <row r="432" spans="2:32" x14ac:dyDescent="0.25">
      <c r="K432" t="s">
        <v>1877</v>
      </c>
      <c r="L432" s="91">
        <f>L430-L431</f>
        <v>0.13159999999999997</v>
      </c>
      <c r="M432" s="91">
        <v>0</v>
      </c>
      <c r="N432" s="91">
        <f t="shared" ref="N432" si="12">N430-N431</f>
        <v>9.509999999999999E-2</v>
      </c>
      <c r="AE432">
        <v>25</v>
      </c>
      <c r="AF432" t="s">
        <v>1881</v>
      </c>
    </row>
    <row r="433" spans="10:37" x14ac:dyDescent="0.2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25">
      <c r="K434" t="s">
        <v>1877</v>
      </c>
      <c r="L434" s="91">
        <f>L430-L433</f>
        <v>4.7599999999999976E-2</v>
      </c>
      <c r="M434" s="91">
        <v>0</v>
      </c>
      <c r="N434" s="91">
        <f t="shared" ref="N434" si="13">N430-N433</f>
        <v>0.10109999999999998</v>
      </c>
      <c r="AE434" s="84">
        <f>L429</f>
        <v>0.248</v>
      </c>
      <c r="AF434" t="s">
        <v>1883</v>
      </c>
    </row>
    <row r="435" spans="10:37" x14ac:dyDescent="0.25">
      <c r="AC435" s="232">
        <f>AC433/AE434</f>
        <v>3.0097926267281103</v>
      </c>
      <c r="AD435" s="3">
        <f>AD433/AE434</f>
        <v>2.2321428571428568</v>
      </c>
      <c r="AE435" t="s">
        <v>1884</v>
      </c>
      <c r="AK435" s="127" t="s">
        <v>1885</v>
      </c>
    </row>
    <row r="436" spans="10:37" x14ac:dyDescent="0.25">
      <c r="AC436" s="127" t="s">
        <v>1887</v>
      </c>
    </row>
    <row r="437" spans="10:37" x14ac:dyDescent="0.25">
      <c r="AC437" s="127" t="s">
        <v>1888</v>
      </c>
    </row>
    <row r="450" spans="1:25" x14ac:dyDescent="0.25">
      <c r="A450" t="s">
        <v>1893</v>
      </c>
    </row>
    <row r="451" spans="1:25" x14ac:dyDescent="0.25">
      <c r="A451" t="s">
        <v>1892</v>
      </c>
    </row>
    <row r="452" spans="1:25" x14ac:dyDescent="0.25">
      <c r="P452" t="s">
        <v>1894</v>
      </c>
      <c r="Y452" t="s">
        <v>1895</v>
      </c>
    </row>
    <row r="456" spans="1:25" x14ac:dyDescent="0.25">
      <c r="K456" t="s">
        <v>1896</v>
      </c>
    </row>
    <row r="457" spans="1:25" x14ac:dyDescent="0.25">
      <c r="K457" s="59">
        <f>AVERAGE(0.154,0.135,0.146)</f>
        <v>0.14500000000000002</v>
      </c>
    </row>
    <row r="463" spans="1:25" x14ac:dyDescent="0.25">
      <c r="B463" t="s">
        <v>1897</v>
      </c>
    </row>
    <row r="475" spans="12:15" x14ac:dyDescent="0.25">
      <c r="M475" t="s">
        <v>1901</v>
      </c>
      <c r="N475" t="s">
        <v>434</v>
      </c>
      <c r="O475" t="s">
        <v>1902</v>
      </c>
    </row>
    <row r="476" spans="12:15" x14ac:dyDescent="0.25">
      <c r="L476" t="s">
        <v>1898</v>
      </c>
      <c r="M476">
        <v>761.9</v>
      </c>
      <c r="N476">
        <v>1.075</v>
      </c>
      <c r="O476" s="201">
        <f>N476/M476</f>
        <v>1.41094631841449E-3</v>
      </c>
    </row>
    <row r="477" spans="12:15" x14ac:dyDescent="0.25">
      <c r="L477" t="s">
        <v>1899</v>
      </c>
      <c r="M477">
        <v>463.7</v>
      </c>
      <c r="N477">
        <v>0.65300000000000002</v>
      </c>
      <c r="O477" s="201">
        <f t="shared" ref="O477:O479" si="14">N477/M477</f>
        <v>1.4082380849687298E-3</v>
      </c>
    </row>
    <row r="478" spans="12:15" x14ac:dyDescent="0.25">
      <c r="L478" t="s">
        <v>423</v>
      </c>
      <c r="M478">
        <v>428.2</v>
      </c>
      <c r="N478">
        <v>1.758</v>
      </c>
      <c r="O478" s="201">
        <f t="shared" si="14"/>
        <v>4.1055581503970113E-3</v>
      </c>
    </row>
    <row r="479" spans="12:15" x14ac:dyDescent="0.25">
      <c r="L479" t="s">
        <v>1900</v>
      </c>
      <c r="M479">
        <v>252.3</v>
      </c>
      <c r="N479">
        <v>2.613</v>
      </c>
      <c r="O479" s="201">
        <f t="shared" si="14"/>
        <v>1.0356718192627824E-2</v>
      </c>
    </row>
    <row r="481" spans="1:15" x14ac:dyDescent="0.25">
      <c r="L481" s="127" t="s">
        <v>1903</v>
      </c>
    </row>
    <row r="491" spans="1:15" x14ac:dyDescent="0.25">
      <c r="A491" s="186" t="s">
        <v>1904</v>
      </c>
    </row>
    <row r="493" spans="1:15" x14ac:dyDescent="0.25">
      <c r="B493" t="s">
        <v>1905</v>
      </c>
    </row>
    <row r="494" spans="1:15" x14ac:dyDescent="0.25">
      <c r="B494" s="57" t="s">
        <v>1906</v>
      </c>
    </row>
    <row r="495" spans="1:15" x14ac:dyDescent="0.25">
      <c r="O495" t="s">
        <v>1907</v>
      </c>
    </row>
    <row r="517" spans="2:18" x14ac:dyDescent="0.25">
      <c r="P517" t="s">
        <v>1908</v>
      </c>
      <c r="Q517" t="s">
        <v>1858</v>
      </c>
    </row>
    <row r="518" spans="2:18" x14ac:dyDescent="0.25">
      <c r="O518" t="s">
        <v>1019</v>
      </c>
      <c r="P518">
        <v>21</v>
      </c>
      <c r="Q518">
        <f>P518/365*B$522</f>
        <v>2.1863013698630137E-2</v>
      </c>
    </row>
    <row r="519" spans="2:18" x14ac:dyDescent="0.25">
      <c r="O519" t="s">
        <v>1023</v>
      </c>
      <c r="P519">
        <v>22.3</v>
      </c>
      <c r="Q519" s="59">
        <f t="shared" ref="Q519:Q524" si="15">P519/365*B$522</f>
        <v>2.3216438356164385E-2</v>
      </c>
      <c r="R519" s="127" t="s">
        <v>1909</v>
      </c>
    </row>
    <row r="520" spans="2:18" x14ac:dyDescent="0.25">
      <c r="O520" t="s">
        <v>1026</v>
      </c>
      <c r="P520">
        <v>22.1</v>
      </c>
      <c r="Q520">
        <f t="shared" si="15"/>
        <v>2.3008219178082195E-2</v>
      </c>
    </row>
    <row r="521" spans="2:18" x14ac:dyDescent="0.25">
      <c r="O521" t="s">
        <v>1028</v>
      </c>
      <c r="P521">
        <v>26.3</v>
      </c>
      <c r="Q521" s="234">
        <f t="shared" si="15"/>
        <v>2.7380821917808218E-2</v>
      </c>
    </row>
    <row r="522" spans="2:18" x14ac:dyDescent="0.25">
      <c r="B522">
        <f>1-0.62</f>
        <v>0.38</v>
      </c>
      <c r="O522" t="s">
        <v>1030</v>
      </c>
      <c r="P522">
        <v>26.3</v>
      </c>
      <c r="Q522">
        <f t="shared" si="15"/>
        <v>2.7380821917808218E-2</v>
      </c>
    </row>
    <row r="523" spans="2:18" x14ac:dyDescent="0.25">
      <c r="B523" s="460" t="s">
        <v>1910</v>
      </c>
      <c r="C523" s="460"/>
      <c r="D523" s="460"/>
      <c r="E523" s="460"/>
      <c r="F523" s="460"/>
      <c r="G523" s="460"/>
      <c r="H523" s="460"/>
      <c r="I523" s="460"/>
      <c r="J523" s="460"/>
      <c r="O523" t="s">
        <v>1033</v>
      </c>
      <c r="P523">
        <v>27.1</v>
      </c>
      <c r="Q523">
        <f t="shared" si="15"/>
        <v>2.821369863013699E-2</v>
      </c>
    </row>
    <row r="524" spans="2:18" x14ac:dyDescent="0.25">
      <c r="B524" s="460"/>
      <c r="C524" s="460"/>
      <c r="D524" s="460"/>
      <c r="E524" s="460"/>
      <c r="F524" s="460"/>
      <c r="G524" s="460"/>
      <c r="H524" s="460"/>
      <c r="I524" s="460"/>
      <c r="J524" s="460"/>
      <c r="O524" t="s">
        <v>1036</v>
      </c>
      <c r="P524">
        <v>27.1</v>
      </c>
      <c r="Q524">
        <f t="shared" si="15"/>
        <v>2.821369863013699E-2</v>
      </c>
    </row>
    <row r="526" spans="2:18" x14ac:dyDescent="0.2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5" x14ac:dyDescent="0.25"/>
  <cols>
    <col min="3" max="3" width="19.85546875" bestFit="1" customWidth="1"/>
    <col min="4" max="4" width="19.85546875" customWidth="1"/>
    <col min="5" max="9" width="12.42578125" customWidth="1"/>
  </cols>
  <sheetData>
    <row r="1" spans="2:10" x14ac:dyDescent="0.25">
      <c r="B1" t="s">
        <v>771</v>
      </c>
      <c r="C1" t="s">
        <v>435</v>
      </c>
      <c r="D1" t="s">
        <v>772</v>
      </c>
      <c r="E1" t="s">
        <v>624</v>
      </c>
      <c r="F1" t="s">
        <v>268</v>
      </c>
      <c r="G1" t="s">
        <v>773</v>
      </c>
      <c r="H1" t="s">
        <v>774</v>
      </c>
      <c r="I1" t="s">
        <v>153</v>
      </c>
    </row>
    <row r="3" spans="2:10" x14ac:dyDescent="0.25">
      <c r="B3" t="s">
        <v>775</v>
      </c>
    </row>
    <row r="4" spans="2:10" s="161" customFormat="1" x14ac:dyDescent="0.25">
      <c r="B4" s="161">
        <v>77.400000000000006</v>
      </c>
      <c r="E4" s="161">
        <v>295.39999999999998</v>
      </c>
      <c r="F4" s="161">
        <v>113.8</v>
      </c>
      <c r="G4" s="161">
        <v>81</v>
      </c>
      <c r="H4" s="161">
        <v>78.099999999999994</v>
      </c>
      <c r="I4" s="161">
        <v>47.2</v>
      </c>
      <c r="J4" s="161" t="s">
        <v>776</v>
      </c>
    </row>
    <row r="5" spans="2:10" x14ac:dyDescent="0.25">
      <c r="B5" t="s">
        <v>777</v>
      </c>
    </row>
    <row r="6" spans="2:10" s="61" customFormat="1" x14ac:dyDescent="0.25">
      <c r="C6" s="61">
        <v>0.08</v>
      </c>
      <c r="D6" s="61">
        <v>0.12</v>
      </c>
      <c r="E6" s="61">
        <f>C6</f>
        <v>0.08</v>
      </c>
      <c r="F6" s="61">
        <f>D6</f>
        <v>0.12</v>
      </c>
      <c r="G6" s="61">
        <f t="shared" ref="G6:H6" si="0">F6</f>
        <v>0.12</v>
      </c>
      <c r="H6" s="61">
        <f t="shared" si="0"/>
        <v>0.12</v>
      </c>
      <c r="I6" s="61">
        <f>C6</f>
        <v>0.08</v>
      </c>
      <c r="J6" s="61" t="s">
        <v>778</v>
      </c>
    </row>
    <row r="7" spans="2:10" s="61" customFormat="1" x14ac:dyDescent="0.2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25">
      <c r="C8" s="61">
        <v>0.04</v>
      </c>
      <c r="D8" s="61">
        <v>0.15</v>
      </c>
      <c r="E8" s="61">
        <f t="shared" si="1"/>
        <v>0.04</v>
      </c>
      <c r="F8" s="61">
        <f>D8</f>
        <v>0.15</v>
      </c>
      <c r="G8" s="61">
        <f t="shared" ref="G8:H8" si="4">F8</f>
        <v>0.15</v>
      </c>
      <c r="H8" s="61">
        <f t="shared" si="4"/>
        <v>0.15</v>
      </c>
      <c r="I8" s="61">
        <f t="shared" si="3"/>
        <v>0.04</v>
      </c>
      <c r="J8" s="61" t="s">
        <v>780</v>
      </c>
    </row>
    <row r="9" spans="2:10" s="61" customFormat="1" x14ac:dyDescent="0.25">
      <c r="C9" s="61">
        <v>0.68</v>
      </c>
      <c r="D9" s="61">
        <v>0.53</v>
      </c>
      <c r="E9" s="61">
        <f t="shared" si="1"/>
        <v>0.68</v>
      </c>
      <c r="F9" s="61">
        <f>D9</f>
        <v>0.53</v>
      </c>
      <c r="G9" s="61">
        <f t="shared" ref="G9:H9" si="5">F9</f>
        <v>0.53</v>
      </c>
      <c r="H9" s="61">
        <f t="shared" si="5"/>
        <v>0.53</v>
      </c>
      <c r="I9" s="61">
        <f t="shared" si="3"/>
        <v>0.68</v>
      </c>
      <c r="J9" s="61" t="s">
        <v>781</v>
      </c>
    </row>
    <row r="10" spans="2:10" s="61" customFormat="1" x14ac:dyDescent="0.2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25">
      <c r="B12" t="s">
        <v>783</v>
      </c>
    </row>
    <row r="13" spans="2:10" x14ac:dyDescent="0.2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2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25">
      <c r="E16" t="s">
        <v>785</v>
      </c>
    </row>
    <row r="17" spans="2:9" x14ac:dyDescent="0.25">
      <c r="E17" s="127" t="s">
        <v>786</v>
      </c>
    </row>
    <row r="30" spans="2:9" x14ac:dyDescent="0.25">
      <c r="B30" t="s">
        <v>787</v>
      </c>
    </row>
    <row r="32" spans="2:9" x14ac:dyDescent="0.25">
      <c r="I32" t="s">
        <v>788</v>
      </c>
    </row>
    <row r="33" spans="2:6" ht="15.75" x14ac:dyDescent="0.25">
      <c r="B33" s="461" t="s">
        <v>789</v>
      </c>
      <c r="C33" s="461"/>
      <c r="D33" s="461"/>
      <c r="E33" s="461"/>
    </row>
    <row r="34" spans="2:6" ht="15.75" x14ac:dyDescent="0.25">
      <c r="C34" s="162" t="s">
        <v>790</v>
      </c>
      <c r="D34" s="162" t="s">
        <v>791</v>
      </c>
      <c r="E34" s="162" t="s">
        <v>792</v>
      </c>
      <c r="F34" s="162" t="s">
        <v>793</v>
      </c>
    </row>
    <row r="35" spans="2:6" ht="31.5" x14ac:dyDescent="0.25">
      <c r="C35" s="163" t="s">
        <v>794</v>
      </c>
      <c r="D35" s="164">
        <v>35256</v>
      </c>
      <c r="E35" s="164">
        <v>2938</v>
      </c>
      <c r="F35" s="161">
        <f>D35/C38</f>
        <v>1272.7797833935019</v>
      </c>
    </row>
    <row r="36" spans="2:6" ht="31.5" x14ac:dyDescent="0.25">
      <c r="C36" s="163" t="s">
        <v>795</v>
      </c>
      <c r="D36" s="164">
        <v>43536</v>
      </c>
      <c r="E36" s="164">
        <v>3628</v>
      </c>
      <c r="F36" s="161">
        <f>D36/C38</f>
        <v>1571.6967509025271</v>
      </c>
    </row>
    <row r="38" spans="2:6" ht="15.75" x14ac:dyDescent="0.25">
      <c r="B38" s="165" t="s">
        <v>796</v>
      </c>
      <c r="C38" s="165">
        <v>27.7</v>
      </c>
    </row>
    <row r="40" spans="2:6" x14ac:dyDescent="0.25">
      <c r="C40" s="127" t="s">
        <v>797</v>
      </c>
    </row>
    <row r="41" spans="2:6" x14ac:dyDescent="0.25">
      <c r="C41" s="127" t="s">
        <v>798</v>
      </c>
    </row>
  </sheetData>
  <mergeCells count="1">
    <mergeCell ref="B33:E33"/>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M1" workbookViewId="0">
      <selection activeCell="AY1" sqref="AY1"/>
    </sheetView>
  </sheetViews>
  <sheetFormatPr defaultRowHeight="15" x14ac:dyDescent="0.25"/>
  <cols>
    <col min="28" max="28" width="7" bestFit="1" customWidth="1"/>
    <col min="29" max="29" width="10.28515625" bestFit="1" customWidth="1"/>
    <col min="30" max="30" width="6.28515625" bestFit="1" customWidth="1"/>
    <col min="31" max="31" width="11.28515625" bestFit="1" customWidth="1"/>
    <col min="32" max="32" width="18.85546875" bestFit="1" customWidth="1"/>
    <col min="33" max="33" width="11.140625" bestFit="1" customWidth="1"/>
    <col min="51" max="51" width="10.28515625" bestFit="1" customWidth="1"/>
    <col min="52" max="52" width="19.7109375" bestFit="1" customWidth="1"/>
    <col min="53" max="53" width="6.28515625" bestFit="1" customWidth="1"/>
    <col min="54" max="54" width="11.28515625" bestFit="1" customWidth="1"/>
  </cols>
  <sheetData>
    <row r="1" spans="2:56" x14ac:dyDescent="0.25">
      <c r="AX1" s="404" t="s">
        <v>267</v>
      </c>
      <c r="AY1" s="404" t="s">
        <v>2836</v>
      </c>
      <c r="AZ1" s="404" t="s">
        <v>3243</v>
      </c>
      <c r="BA1" s="404" t="s">
        <v>3242</v>
      </c>
      <c r="BB1" s="404" t="s">
        <v>2844</v>
      </c>
      <c r="BC1" s="404" t="s">
        <v>2846</v>
      </c>
      <c r="BD1" s="404" t="s">
        <v>2845</v>
      </c>
    </row>
    <row r="2" spans="2:56" x14ac:dyDescent="0.25">
      <c r="B2" t="s">
        <v>838</v>
      </c>
      <c r="AX2" t="s">
        <v>269</v>
      </c>
      <c r="AY2" t="str">
        <f>_xlfn.CONCAT(AX2,BD2)</f>
        <v>JanET</v>
      </c>
      <c r="AZ2" s="412">
        <f>BA2/SUM($BA$2:$BA$13)</f>
        <v>8.2535106481912021E-2</v>
      </c>
      <c r="BA2" s="181">
        <f>(BA4-BA13)/3+BA13</f>
        <v>0.98611111111111105</v>
      </c>
      <c r="BB2">
        <v>0</v>
      </c>
      <c r="BC2" t="s">
        <v>594</v>
      </c>
      <c r="BD2" t="s">
        <v>2851</v>
      </c>
    </row>
    <row r="3" spans="2:56" ht="15.75" thickBot="1" x14ac:dyDescent="0.3">
      <c r="V3" s="172" t="s">
        <v>594</v>
      </c>
      <c r="W3" t="s">
        <v>604</v>
      </c>
      <c r="X3" t="s">
        <v>839</v>
      </c>
      <c r="Y3" t="s">
        <v>840</v>
      </c>
      <c r="AX3" t="s">
        <v>270</v>
      </c>
      <c r="AY3" t="str">
        <f t="shared" ref="AY3:AY13" si="0">_xlfn.CONCAT(AX3,BD3)</f>
        <v>FebET</v>
      </c>
      <c r="AZ3" s="412">
        <f t="shared" ref="AZ3:AZ13" si="1">BA3/SUM($BA$2:$BA$13)</f>
        <v>8.6208499953501355E-2</v>
      </c>
      <c r="BA3" s="181">
        <f>AT34</f>
        <v>1.03</v>
      </c>
      <c r="BB3">
        <v>0</v>
      </c>
      <c r="BC3" t="s">
        <v>594</v>
      </c>
      <c r="BD3" t="s">
        <v>2851</v>
      </c>
    </row>
    <row r="4" spans="2:56" x14ac:dyDescent="0.25">
      <c r="N4" t="s">
        <v>841</v>
      </c>
      <c r="U4" s="166" t="s">
        <v>267</v>
      </c>
      <c r="V4" s="167" t="s">
        <v>842</v>
      </c>
      <c r="W4" s="171" t="s">
        <v>843</v>
      </c>
      <c r="X4" s="171" t="s">
        <v>843</v>
      </c>
      <c r="Y4" s="171" t="s">
        <v>843</v>
      </c>
      <c r="AX4" t="s">
        <v>271</v>
      </c>
      <c r="AY4" t="str">
        <f t="shared" si="0"/>
        <v>MarET</v>
      </c>
      <c r="AZ4" s="412">
        <f t="shared" si="1"/>
        <v>8.74639635450572E-2</v>
      </c>
      <c r="BA4" s="181">
        <f>(BA6-BA3)/3+BA3</f>
        <v>1.0449999999999999</v>
      </c>
      <c r="BB4">
        <v>0</v>
      </c>
      <c r="BC4" t="s">
        <v>594</v>
      </c>
      <c r="BD4" t="s">
        <v>2851</v>
      </c>
    </row>
    <row r="5" spans="2:56" x14ac:dyDescent="0.25">
      <c r="N5" s="54">
        <v>0.36</v>
      </c>
      <c r="O5" t="s">
        <v>844</v>
      </c>
      <c r="U5" s="168" t="s">
        <v>845</v>
      </c>
      <c r="V5" s="173">
        <v>13</v>
      </c>
      <c r="W5">
        <v>0.4</v>
      </c>
      <c r="X5">
        <v>0.6</v>
      </c>
      <c r="Y5">
        <v>7.5</v>
      </c>
      <c r="AX5" t="s">
        <v>272</v>
      </c>
      <c r="AY5" t="str">
        <f t="shared" si="0"/>
        <v>AprET</v>
      </c>
      <c r="AZ5" s="412">
        <f t="shared" si="1"/>
        <v>8.871942713661303E-2</v>
      </c>
      <c r="BA5" s="181">
        <f>(BA6-BA3)/3+BA4</f>
        <v>1.0599999999999998</v>
      </c>
      <c r="BB5">
        <v>0</v>
      </c>
      <c r="BC5" t="s">
        <v>594</v>
      </c>
      <c r="BD5" t="s">
        <v>2851</v>
      </c>
    </row>
    <row r="6" spans="2:56" x14ac:dyDescent="0.25">
      <c r="U6" s="169" t="s">
        <v>846</v>
      </c>
      <c r="V6" s="174">
        <v>30</v>
      </c>
      <c r="W6">
        <v>1.6</v>
      </c>
      <c r="X6">
        <v>0.6</v>
      </c>
      <c r="Y6">
        <v>6.9</v>
      </c>
      <c r="AX6" t="s">
        <v>273</v>
      </c>
      <c r="AY6" t="str">
        <f t="shared" si="0"/>
        <v>MayET</v>
      </c>
      <c r="AZ6" s="412">
        <f t="shared" si="1"/>
        <v>8.9974890728168888E-2</v>
      </c>
      <c r="BA6" s="181">
        <f>AT35</f>
        <v>1.075</v>
      </c>
      <c r="BB6">
        <v>0</v>
      </c>
      <c r="BC6" t="s">
        <v>594</v>
      </c>
      <c r="BD6" t="s">
        <v>2851</v>
      </c>
    </row>
    <row r="7" spans="2:56" x14ac:dyDescent="0.25">
      <c r="N7" t="s">
        <v>847</v>
      </c>
      <c r="U7" s="168" t="s">
        <v>848</v>
      </c>
      <c r="V7" s="173">
        <v>58</v>
      </c>
      <c r="W7">
        <v>3.1</v>
      </c>
      <c r="X7">
        <v>0.8</v>
      </c>
      <c r="Y7">
        <v>3.9</v>
      </c>
      <c r="AX7" t="s">
        <v>274</v>
      </c>
      <c r="AY7" t="str">
        <f t="shared" si="0"/>
        <v>JuneET</v>
      </c>
      <c r="AZ7" s="412">
        <f t="shared" si="1"/>
        <v>8.6766483771970618E-2</v>
      </c>
      <c r="BA7" s="181">
        <f>(BA9-BA6)/3+BA6</f>
        <v>1.0366666666666666</v>
      </c>
      <c r="BB7">
        <v>0</v>
      </c>
      <c r="BC7" t="s">
        <v>594</v>
      </c>
      <c r="BD7" t="s">
        <v>2851</v>
      </c>
    </row>
    <row r="8" spans="2:56" x14ac:dyDescent="0.25">
      <c r="N8" t="s">
        <v>849</v>
      </c>
      <c r="U8" s="169" t="s">
        <v>850</v>
      </c>
      <c r="V8" s="174">
        <v>82</v>
      </c>
      <c r="W8">
        <v>6.7</v>
      </c>
      <c r="X8">
        <v>1.6</v>
      </c>
      <c r="Y8">
        <v>1.4</v>
      </c>
      <c r="AX8" t="s">
        <v>275</v>
      </c>
      <c r="AY8" t="str">
        <f t="shared" si="0"/>
        <v>JulyET</v>
      </c>
      <c r="AZ8" s="412">
        <f t="shared" si="1"/>
        <v>8.3558076815772347E-2</v>
      </c>
      <c r="BA8" s="181">
        <f>(BA9-BA6)/3+BA7</f>
        <v>0.99833333333333329</v>
      </c>
      <c r="BB8">
        <v>0</v>
      </c>
      <c r="BC8" t="s">
        <v>594</v>
      </c>
      <c r="BD8" t="s">
        <v>2851</v>
      </c>
    </row>
    <row r="9" spans="2:56" x14ac:dyDescent="0.25">
      <c r="U9" s="168" t="s">
        <v>273</v>
      </c>
      <c r="V9" s="173">
        <v>84</v>
      </c>
      <c r="W9">
        <v>7.9</v>
      </c>
      <c r="X9">
        <v>2.7</v>
      </c>
      <c r="Y9">
        <v>0.3</v>
      </c>
      <c r="AX9" t="s">
        <v>276</v>
      </c>
      <c r="AY9" t="str">
        <f t="shared" si="0"/>
        <v>AugET</v>
      </c>
      <c r="AZ9" s="412">
        <f t="shared" si="1"/>
        <v>8.0349669859574077E-2</v>
      </c>
      <c r="BA9" s="181">
        <f>AT36</f>
        <v>0.96</v>
      </c>
      <c r="BB9">
        <v>0</v>
      </c>
      <c r="BC9" t="s">
        <v>594</v>
      </c>
      <c r="BD9" t="s">
        <v>2851</v>
      </c>
    </row>
    <row r="10" spans="2:56" x14ac:dyDescent="0.25">
      <c r="N10" t="s">
        <v>851</v>
      </c>
      <c r="U10" s="169" t="s">
        <v>274</v>
      </c>
      <c r="V10" s="174">
        <v>138</v>
      </c>
      <c r="W10">
        <v>5.5</v>
      </c>
      <c r="X10">
        <v>3.7</v>
      </c>
      <c r="Y10">
        <v>0.1</v>
      </c>
      <c r="AX10" t="s">
        <v>277</v>
      </c>
      <c r="AY10" t="str">
        <f t="shared" si="0"/>
        <v>SeptET</v>
      </c>
      <c r="AZ10" s="412">
        <f t="shared" si="1"/>
        <v>7.9233702222635552E-2</v>
      </c>
      <c r="BA10" s="181">
        <f>(BA12-BA9)/3+BA9</f>
        <v>0.94666666666666666</v>
      </c>
      <c r="BB10">
        <v>0</v>
      </c>
      <c r="BC10" t="s">
        <v>594</v>
      </c>
      <c r="BD10" t="s">
        <v>2851</v>
      </c>
    </row>
    <row r="11" spans="2:56" x14ac:dyDescent="0.25">
      <c r="U11" s="168" t="s">
        <v>275</v>
      </c>
      <c r="V11" s="173">
        <v>280</v>
      </c>
      <c r="W11">
        <v>6.3</v>
      </c>
      <c r="X11">
        <v>3.3</v>
      </c>
      <c r="Y11">
        <v>0.1</v>
      </c>
      <c r="AX11" t="s">
        <v>278</v>
      </c>
      <c r="AY11" t="str">
        <f t="shared" si="0"/>
        <v>OctET</v>
      </c>
      <c r="AZ11" s="412">
        <f t="shared" si="1"/>
        <v>7.8117734585697027E-2</v>
      </c>
      <c r="BA11" s="181">
        <f>(BA12-BA9)/3+BA10</f>
        <v>0.93333333333333335</v>
      </c>
      <c r="BB11">
        <v>0</v>
      </c>
      <c r="BC11" t="s">
        <v>594</v>
      </c>
      <c r="BD11" t="s">
        <v>2851</v>
      </c>
    </row>
    <row r="12" spans="2:56" x14ac:dyDescent="0.25">
      <c r="U12" s="169" t="s">
        <v>852</v>
      </c>
      <c r="V12" s="174">
        <v>290</v>
      </c>
      <c r="W12">
        <v>8.6999999999999993</v>
      </c>
      <c r="X12">
        <v>3</v>
      </c>
      <c r="Y12">
        <v>0.1</v>
      </c>
      <c r="AX12" t="s">
        <v>279</v>
      </c>
      <c r="AY12" t="str">
        <f t="shared" si="0"/>
        <v>NovET</v>
      </c>
      <c r="AZ12" s="412">
        <f t="shared" si="1"/>
        <v>7.7001766948758502E-2</v>
      </c>
      <c r="BA12" s="181">
        <f>AT37</f>
        <v>0.92</v>
      </c>
      <c r="BB12">
        <v>0</v>
      </c>
      <c r="BC12" t="s">
        <v>594</v>
      </c>
      <c r="BD12" t="s">
        <v>2851</v>
      </c>
    </row>
    <row r="13" spans="2:56" ht="24" x14ac:dyDescent="0.25">
      <c r="U13" s="168" t="s">
        <v>853</v>
      </c>
      <c r="V13" s="173">
        <v>149</v>
      </c>
      <c r="W13">
        <v>6.7</v>
      </c>
      <c r="X13">
        <v>1.6</v>
      </c>
      <c r="Y13">
        <v>0.3</v>
      </c>
      <c r="AX13" t="s">
        <v>280</v>
      </c>
      <c r="AY13" t="str">
        <f t="shared" si="0"/>
        <v>DecET</v>
      </c>
      <c r="AZ13" s="412">
        <f t="shared" si="1"/>
        <v>8.0070677950339453E-2</v>
      </c>
      <c r="BA13" s="181">
        <f>(BA3-BA12)/3+BA12</f>
        <v>0.95666666666666667</v>
      </c>
      <c r="BB13">
        <v>0</v>
      </c>
      <c r="BC13" t="s">
        <v>594</v>
      </c>
      <c r="BD13" t="s">
        <v>2851</v>
      </c>
    </row>
    <row r="14" spans="2:56" x14ac:dyDescent="0.25">
      <c r="U14" s="169" t="s">
        <v>854</v>
      </c>
      <c r="V14" s="174">
        <v>27</v>
      </c>
      <c r="W14">
        <v>6.3</v>
      </c>
      <c r="X14">
        <v>0.1</v>
      </c>
      <c r="Y14">
        <v>1.6</v>
      </c>
    </row>
    <row r="15" spans="2:56" x14ac:dyDescent="0.25">
      <c r="U15" s="168" t="s">
        <v>855</v>
      </c>
      <c r="V15" s="173">
        <v>7</v>
      </c>
      <c r="W15">
        <v>3.5</v>
      </c>
      <c r="X15">
        <v>0</v>
      </c>
      <c r="Y15">
        <v>3.7</v>
      </c>
    </row>
    <row r="16" spans="2:56" ht="24.75" thickBot="1" x14ac:dyDescent="0.3">
      <c r="U16" s="170" t="s">
        <v>856</v>
      </c>
      <c r="V16" s="175">
        <v>7</v>
      </c>
      <c r="W16">
        <v>1.6</v>
      </c>
      <c r="X16">
        <v>0.7</v>
      </c>
      <c r="Y16">
        <v>7.3</v>
      </c>
    </row>
    <row r="21" spans="2:20" x14ac:dyDescent="0.25">
      <c r="B21" t="s">
        <v>857</v>
      </c>
    </row>
    <row r="30" spans="2:20" x14ac:dyDescent="0.25">
      <c r="T30" t="s">
        <v>858</v>
      </c>
    </row>
    <row r="34" spans="13:49" x14ac:dyDescent="0.25">
      <c r="AT34">
        <v>1.03</v>
      </c>
      <c r="AU34" t="s">
        <v>859</v>
      </c>
    </row>
    <row r="35" spans="13:49" x14ac:dyDescent="0.25">
      <c r="AT35">
        <v>1.075</v>
      </c>
      <c r="AU35" t="s">
        <v>860</v>
      </c>
    </row>
    <row r="36" spans="13:49" x14ac:dyDescent="0.25">
      <c r="AT36">
        <v>0.96</v>
      </c>
      <c r="AU36" t="s">
        <v>861</v>
      </c>
    </row>
    <row r="37" spans="13:49" x14ac:dyDescent="0.25">
      <c r="AT37">
        <v>0.92</v>
      </c>
      <c r="AU37" t="s">
        <v>862</v>
      </c>
    </row>
    <row r="38" spans="13:49" x14ac:dyDescent="0.25">
      <c r="M38" t="s">
        <v>863</v>
      </c>
    </row>
    <row r="39" spans="13:49" x14ac:dyDescent="0.25">
      <c r="M39" t="s">
        <v>864</v>
      </c>
      <c r="AT39">
        <f>(AT35-AT37)/AT37</f>
        <v>0.16847826086956511</v>
      </c>
      <c r="AU39" t="s">
        <v>865</v>
      </c>
    </row>
    <row r="41" spans="13:49" x14ac:dyDescent="0.25">
      <c r="M41" t="s">
        <v>841</v>
      </c>
      <c r="AU41" t="s">
        <v>866</v>
      </c>
    </row>
    <row r="42" spans="13:49" x14ac:dyDescent="0.25">
      <c r="M42" s="84" t="s">
        <v>867</v>
      </c>
      <c r="AT42" t="s">
        <v>805</v>
      </c>
      <c r="AU42" t="s">
        <v>868</v>
      </c>
    </row>
    <row r="43" spans="13:49" x14ac:dyDescent="0.25">
      <c r="AT43" t="s">
        <v>869</v>
      </c>
      <c r="AU43" t="s">
        <v>870</v>
      </c>
    </row>
    <row r="44" spans="13:49" x14ac:dyDescent="0.25">
      <c r="M44" t="s">
        <v>871</v>
      </c>
      <c r="AT44" t="s">
        <v>872</v>
      </c>
      <c r="AU44" t="s">
        <v>873</v>
      </c>
      <c r="AV44" s="61">
        <f>55/115</f>
        <v>0.47826086956521741</v>
      </c>
      <c r="AW44" t="s">
        <v>874</v>
      </c>
    </row>
    <row r="45" spans="13:49" x14ac:dyDescent="0.25">
      <c r="M45" t="s">
        <v>875</v>
      </c>
      <c r="AW45" t="s">
        <v>876</v>
      </c>
    </row>
    <row r="46" spans="13:49" x14ac:dyDescent="0.25">
      <c r="M46" t="s">
        <v>877</v>
      </c>
    </row>
    <row r="53" spans="3:15" x14ac:dyDescent="0.25">
      <c r="C53" t="s">
        <v>878</v>
      </c>
    </row>
    <row r="55" spans="3:15" x14ac:dyDescent="0.25">
      <c r="O55" t="s">
        <v>879</v>
      </c>
    </row>
    <row r="57" spans="3:15" x14ac:dyDescent="0.25">
      <c r="O57" t="s">
        <v>880</v>
      </c>
    </row>
    <row r="59" spans="3:15" x14ac:dyDescent="0.25">
      <c r="O59" t="s">
        <v>881</v>
      </c>
    </row>
    <row r="60" spans="3:15" x14ac:dyDescent="0.25">
      <c r="O60" t="s">
        <v>882</v>
      </c>
    </row>
    <row r="62" spans="3:15" x14ac:dyDescent="0.2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F37"/>
  <sheetViews>
    <sheetView workbookViewId="0">
      <selection activeCell="F11" sqref="F11"/>
    </sheetView>
  </sheetViews>
  <sheetFormatPr defaultRowHeight="15" x14ac:dyDescent="0.25"/>
  <cols>
    <col min="1" max="1" width="7" bestFit="1" customWidth="1"/>
    <col min="2" max="2" width="10.28515625" bestFit="1" customWidth="1"/>
    <col min="3" max="3" width="9.140625" bestFit="1" customWidth="1"/>
    <col min="4" max="4" width="11.28515625" bestFit="1" customWidth="1"/>
    <col min="5" max="5" width="18.85546875" bestFit="1" customWidth="1"/>
    <col min="6" max="6" width="11.140625" bestFit="1" customWidth="1"/>
  </cols>
  <sheetData>
    <row r="1" spans="1:6" x14ac:dyDescent="0.25">
      <c r="A1" s="404" t="s">
        <v>267</v>
      </c>
      <c r="B1" s="404" t="s">
        <v>2836</v>
      </c>
      <c r="C1" s="404" t="s">
        <v>3240</v>
      </c>
      <c r="D1" s="404" t="s">
        <v>2844</v>
      </c>
      <c r="E1" s="404" t="s">
        <v>2846</v>
      </c>
      <c r="F1" s="404" t="s">
        <v>2845</v>
      </c>
    </row>
    <row r="2" spans="1:6" x14ac:dyDescent="0.25">
      <c r="A2" t="s">
        <v>269</v>
      </c>
      <c r="B2" t="str">
        <f t="shared" ref="B2:B37" si="0">_xlfn.CONCAT(A2,F2)</f>
        <v>JanET</v>
      </c>
      <c r="C2" s="201">
        <v>9.3468292987793397E-2</v>
      </c>
      <c r="D2">
        <v>0</v>
      </c>
      <c r="E2" t="s">
        <v>594</v>
      </c>
      <c r="F2" t="s">
        <v>2851</v>
      </c>
    </row>
    <row r="3" spans="1:6" x14ac:dyDescent="0.25">
      <c r="A3" t="s">
        <v>270</v>
      </c>
      <c r="B3" t="str">
        <f t="shared" si="0"/>
        <v>FebET</v>
      </c>
      <c r="C3" s="201">
        <v>8.70935409593733E-2</v>
      </c>
      <c r="D3">
        <v>0</v>
      </c>
      <c r="E3" t="s">
        <v>594</v>
      </c>
      <c r="F3" t="s">
        <v>2851</v>
      </c>
    </row>
    <row r="4" spans="1:6" x14ac:dyDescent="0.25">
      <c r="A4" t="s">
        <v>271</v>
      </c>
      <c r="B4" t="str">
        <f t="shared" si="0"/>
        <v>MarET</v>
      </c>
      <c r="C4" s="201">
        <v>8.8412160129692496E-2</v>
      </c>
      <c r="D4">
        <v>0</v>
      </c>
      <c r="E4" t="s">
        <v>594</v>
      </c>
      <c r="F4" t="s">
        <v>2851</v>
      </c>
    </row>
    <row r="5" spans="1:6" x14ac:dyDescent="0.25">
      <c r="A5" t="s">
        <v>272</v>
      </c>
      <c r="B5" t="str">
        <f t="shared" si="0"/>
        <v>AprET</v>
      </c>
      <c r="C5" s="201">
        <v>8.4403739867652303E-2</v>
      </c>
      <c r="D5">
        <v>0</v>
      </c>
      <c r="E5" t="s">
        <v>594</v>
      </c>
      <c r="F5" t="s">
        <v>2851</v>
      </c>
    </row>
    <row r="6" spans="1:6" x14ac:dyDescent="0.25">
      <c r="A6" t="s">
        <v>273</v>
      </c>
      <c r="B6" t="str">
        <f t="shared" si="0"/>
        <v>MayET</v>
      </c>
      <c r="C6" s="201">
        <v>8.8117442317258002E-2</v>
      </c>
      <c r="D6">
        <v>0</v>
      </c>
      <c r="E6" t="s">
        <v>594</v>
      </c>
      <c r="F6" t="s">
        <v>2851</v>
      </c>
    </row>
    <row r="7" spans="1:6" x14ac:dyDescent="0.25">
      <c r="A7" t="s">
        <v>274</v>
      </c>
      <c r="B7" t="str">
        <f t="shared" si="0"/>
        <v>JuneET</v>
      </c>
      <c r="C7" s="201">
        <v>8.6393880468918605E-2</v>
      </c>
      <c r="D7">
        <v>0</v>
      </c>
      <c r="E7" t="s">
        <v>594</v>
      </c>
      <c r="F7" t="s">
        <v>2851</v>
      </c>
    </row>
    <row r="8" spans="1:6" x14ac:dyDescent="0.25">
      <c r="A8" t="s">
        <v>275</v>
      </c>
      <c r="B8" t="str">
        <f t="shared" si="0"/>
        <v>JulyET</v>
      </c>
      <c r="C8" s="201">
        <v>8.5205006727096494E-2</v>
      </c>
      <c r="D8">
        <v>0</v>
      </c>
      <c r="E8" t="s">
        <v>594</v>
      </c>
      <c r="F8" t="s">
        <v>2851</v>
      </c>
    </row>
    <row r="9" spans="1:6" x14ac:dyDescent="0.25">
      <c r="A9" t="s">
        <v>276</v>
      </c>
      <c r="B9" t="str">
        <f t="shared" si="0"/>
        <v>AugET</v>
      </c>
      <c r="C9" s="201">
        <v>9.1867766222212294E-2</v>
      </c>
      <c r="D9">
        <v>0</v>
      </c>
      <c r="E9" t="s">
        <v>594</v>
      </c>
      <c r="F9" t="s">
        <v>2851</v>
      </c>
    </row>
    <row r="10" spans="1:6" x14ac:dyDescent="0.25">
      <c r="A10" t="s">
        <v>277</v>
      </c>
      <c r="B10" t="str">
        <f t="shared" si="0"/>
        <v>SeptET</v>
      </c>
      <c r="C10" s="201">
        <v>8.3208753466405896E-2</v>
      </c>
      <c r="D10">
        <v>0</v>
      </c>
      <c r="E10" t="s">
        <v>594</v>
      </c>
      <c r="F10" t="s">
        <v>2851</v>
      </c>
    </row>
    <row r="11" spans="1:6" x14ac:dyDescent="0.25">
      <c r="A11" t="s">
        <v>278</v>
      </c>
      <c r="B11" t="str">
        <f t="shared" si="0"/>
        <v>OctET</v>
      </c>
      <c r="C11" s="201">
        <v>7.3805667224914301E-2</v>
      </c>
      <c r="D11">
        <v>0</v>
      </c>
      <c r="E11" t="s">
        <v>594</v>
      </c>
      <c r="F11" t="s">
        <v>2851</v>
      </c>
    </row>
    <row r="12" spans="1:6" x14ac:dyDescent="0.25">
      <c r="A12" t="s">
        <v>279</v>
      </c>
      <c r="B12" t="str">
        <f t="shared" si="0"/>
        <v>NovET</v>
      </c>
      <c r="C12" s="201">
        <v>7.5192895334018697E-2</v>
      </c>
      <c r="D12">
        <v>0</v>
      </c>
      <c r="E12" t="s">
        <v>594</v>
      </c>
      <c r="F12" t="s">
        <v>2851</v>
      </c>
    </row>
    <row r="13" spans="1:6" x14ac:dyDescent="0.25">
      <c r="A13" t="s">
        <v>280</v>
      </c>
      <c r="B13" t="str">
        <f t="shared" si="0"/>
        <v>DecET</v>
      </c>
      <c r="C13" s="201">
        <v>6.2830854294664104E-2</v>
      </c>
      <c r="D13">
        <v>0</v>
      </c>
      <c r="E13" t="s">
        <v>594</v>
      </c>
      <c r="F13" t="s">
        <v>2851</v>
      </c>
    </row>
    <row r="14" spans="1:6" x14ac:dyDescent="0.25">
      <c r="A14" t="s">
        <v>269</v>
      </c>
      <c r="B14" t="str">
        <f t="shared" si="0"/>
        <v>JanETU</v>
      </c>
      <c r="C14" s="201">
        <v>7.6408043258177794E-2</v>
      </c>
      <c r="D14">
        <v>0.5</v>
      </c>
      <c r="E14" t="s">
        <v>336</v>
      </c>
      <c r="F14" t="s">
        <v>2869</v>
      </c>
    </row>
    <row r="15" spans="1:6" x14ac:dyDescent="0.25">
      <c r="A15" t="s">
        <v>270</v>
      </c>
      <c r="B15" t="str">
        <f t="shared" si="0"/>
        <v>FebETU</v>
      </c>
      <c r="C15" s="201">
        <v>9.1690279136459801E-2</v>
      </c>
      <c r="D15">
        <v>0.5</v>
      </c>
      <c r="E15" t="s">
        <v>336</v>
      </c>
      <c r="F15" t="s">
        <v>2869</v>
      </c>
    </row>
    <row r="16" spans="1:6" x14ac:dyDescent="0.25">
      <c r="A16" t="s">
        <v>271</v>
      </c>
      <c r="B16" t="str">
        <f t="shared" si="0"/>
        <v>MarETU</v>
      </c>
      <c r="C16" s="201">
        <v>8.9547495163188606E-2</v>
      </c>
      <c r="D16">
        <v>0.5</v>
      </c>
      <c r="E16" t="s">
        <v>336</v>
      </c>
      <c r="F16" t="s">
        <v>2869</v>
      </c>
    </row>
    <row r="17" spans="1:6" x14ac:dyDescent="0.25">
      <c r="A17" t="s">
        <v>272</v>
      </c>
      <c r="B17" t="str">
        <f t="shared" si="0"/>
        <v>AprETU</v>
      </c>
      <c r="C17" s="201">
        <v>9.2176047325894406E-2</v>
      </c>
      <c r="D17">
        <v>0.5</v>
      </c>
      <c r="E17" t="s">
        <v>336</v>
      </c>
      <c r="F17" t="s">
        <v>2869</v>
      </c>
    </row>
    <row r="18" spans="1:6" x14ac:dyDescent="0.25">
      <c r="A18" t="s">
        <v>273</v>
      </c>
      <c r="B18" t="str">
        <f t="shared" si="0"/>
        <v>MayETU</v>
      </c>
      <c r="C18" s="201">
        <v>6.4782227209412901E-2</v>
      </c>
      <c r="D18">
        <v>0.5</v>
      </c>
      <c r="E18" t="s">
        <v>336</v>
      </c>
      <c r="F18" t="s">
        <v>2869</v>
      </c>
    </row>
    <row r="19" spans="1:6" x14ac:dyDescent="0.25">
      <c r="A19" t="s">
        <v>274</v>
      </c>
      <c r="B19" t="str">
        <f t="shared" si="0"/>
        <v>JuneETU</v>
      </c>
      <c r="C19" s="201">
        <v>8.8030508513506203E-2</v>
      </c>
      <c r="D19">
        <v>0.5</v>
      </c>
      <c r="E19" t="s">
        <v>336</v>
      </c>
      <c r="F19" t="s">
        <v>2869</v>
      </c>
    </row>
    <row r="20" spans="1:6" x14ac:dyDescent="0.25">
      <c r="A20" t="s">
        <v>275</v>
      </c>
      <c r="B20" t="str">
        <f t="shared" si="0"/>
        <v>JulyETU</v>
      </c>
      <c r="C20" s="201">
        <v>8.9732339850653597E-2</v>
      </c>
      <c r="D20">
        <v>0.5</v>
      </c>
      <c r="E20" t="s">
        <v>336</v>
      </c>
      <c r="F20" t="s">
        <v>2869</v>
      </c>
    </row>
    <row r="21" spans="1:6" x14ac:dyDescent="0.25">
      <c r="A21" t="s">
        <v>276</v>
      </c>
      <c r="B21" t="str">
        <f t="shared" si="0"/>
        <v>AugETU</v>
      </c>
      <c r="C21" s="201">
        <v>9.5015425914235896E-2</v>
      </c>
      <c r="D21">
        <v>0.5</v>
      </c>
      <c r="E21" t="s">
        <v>336</v>
      </c>
      <c r="F21" t="s">
        <v>2869</v>
      </c>
    </row>
    <row r="22" spans="1:6" x14ac:dyDescent="0.25">
      <c r="A22" t="s">
        <v>277</v>
      </c>
      <c r="B22" t="str">
        <f t="shared" si="0"/>
        <v>SeptETU</v>
      </c>
      <c r="C22" s="201">
        <v>7.9092727755465206E-2</v>
      </c>
      <c r="D22">
        <v>0.5</v>
      </c>
      <c r="E22" t="s">
        <v>336</v>
      </c>
      <c r="F22" t="s">
        <v>2869</v>
      </c>
    </row>
    <row r="23" spans="1:6" x14ac:dyDescent="0.25">
      <c r="A23" t="s">
        <v>278</v>
      </c>
      <c r="B23" t="str">
        <f t="shared" si="0"/>
        <v>OctETU</v>
      </c>
      <c r="C23" s="201">
        <v>8.0252051237286098E-2</v>
      </c>
      <c r="D23">
        <v>0.5</v>
      </c>
      <c r="E23" t="s">
        <v>336</v>
      </c>
      <c r="F23" t="s">
        <v>2869</v>
      </c>
    </row>
    <row r="24" spans="1:6" x14ac:dyDescent="0.25">
      <c r="A24" t="s">
        <v>279</v>
      </c>
      <c r="B24" t="str">
        <f t="shared" si="0"/>
        <v>NovETU</v>
      </c>
      <c r="C24" s="201">
        <v>7.1049271147846205E-2</v>
      </c>
      <c r="D24">
        <v>0.5</v>
      </c>
      <c r="E24" t="s">
        <v>336</v>
      </c>
      <c r="F24" t="s">
        <v>2869</v>
      </c>
    </row>
    <row r="25" spans="1:6" x14ac:dyDescent="0.25">
      <c r="A25" t="s">
        <v>280</v>
      </c>
      <c r="B25" t="str">
        <f t="shared" si="0"/>
        <v>DecETU</v>
      </c>
      <c r="C25" s="201">
        <v>8.2223583487873203E-2</v>
      </c>
      <c r="D25">
        <v>0.5</v>
      </c>
      <c r="E25" t="s">
        <v>336</v>
      </c>
      <c r="F25" t="s">
        <v>2869</v>
      </c>
    </row>
    <row r="26" spans="1:6" x14ac:dyDescent="0.25">
      <c r="A26" t="s">
        <v>269</v>
      </c>
      <c r="B26" t="str">
        <f t="shared" si="0"/>
        <v>JanETR</v>
      </c>
      <c r="C26" s="201">
        <v>9.5713728266083806E-2</v>
      </c>
      <c r="D26">
        <v>0.5</v>
      </c>
      <c r="E26" t="s">
        <v>84</v>
      </c>
      <c r="F26" t="s">
        <v>2868</v>
      </c>
    </row>
    <row r="27" spans="1:6" x14ac:dyDescent="0.25">
      <c r="A27" t="s">
        <v>270</v>
      </c>
      <c r="B27" t="str">
        <f t="shared" si="0"/>
        <v>FebETR</v>
      </c>
      <c r="C27" s="201">
        <v>8.6488527654674893E-2</v>
      </c>
      <c r="D27">
        <v>0.5</v>
      </c>
      <c r="E27" t="s">
        <v>84</v>
      </c>
      <c r="F27" t="s">
        <v>2868</v>
      </c>
    </row>
    <row r="28" spans="1:6" x14ac:dyDescent="0.25">
      <c r="A28" t="s">
        <v>271</v>
      </c>
      <c r="B28" t="str">
        <f t="shared" si="0"/>
        <v>MarETR</v>
      </c>
      <c r="C28" s="201">
        <v>8.8262729647882801E-2</v>
      </c>
      <c r="D28">
        <v>0.5</v>
      </c>
      <c r="E28" t="s">
        <v>84</v>
      </c>
      <c r="F28" t="s">
        <v>2868</v>
      </c>
    </row>
    <row r="29" spans="1:6" x14ac:dyDescent="0.25">
      <c r="A29" t="s">
        <v>272</v>
      </c>
      <c r="B29" t="str">
        <f t="shared" si="0"/>
        <v>AprETR</v>
      </c>
      <c r="C29" s="201">
        <v>8.3380764610135397E-2</v>
      </c>
      <c r="D29">
        <v>0.5</v>
      </c>
      <c r="E29" t="s">
        <v>84</v>
      </c>
      <c r="F29" t="s">
        <v>2868</v>
      </c>
    </row>
    <row r="30" spans="1:6" x14ac:dyDescent="0.25">
      <c r="A30" t="s">
        <v>273</v>
      </c>
      <c r="B30" t="str">
        <f t="shared" si="0"/>
        <v>MayETR</v>
      </c>
      <c r="C30" s="201">
        <v>9.1188775742037306E-2</v>
      </c>
      <c r="D30">
        <v>0.5</v>
      </c>
      <c r="E30" t="s">
        <v>84</v>
      </c>
      <c r="F30" t="s">
        <v>2868</v>
      </c>
    </row>
    <row r="31" spans="1:6" x14ac:dyDescent="0.25">
      <c r="A31" t="s">
        <v>274</v>
      </c>
      <c r="B31" t="str">
        <f t="shared" si="0"/>
        <v>JuneETR</v>
      </c>
      <c r="C31" s="201">
        <v>8.6178470823280298E-2</v>
      </c>
      <c r="D31">
        <v>0.5</v>
      </c>
      <c r="E31" t="s">
        <v>84</v>
      </c>
      <c r="F31" t="s">
        <v>2868</v>
      </c>
    </row>
    <row r="32" spans="1:6" x14ac:dyDescent="0.25">
      <c r="A32" t="s">
        <v>275</v>
      </c>
      <c r="B32" t="str">
        <f t="shared" si="0"/>
        <v>JulyETR</v>
      </c>
      <c r="C32" s="201">
        <v>8.4609128374005305E-2</v>
      </c>
      <c r="D32">
        <v>0.5</v>
      </c>
      <c r="E32" t="s">
        <v>84</v>
      </c>
      <c r="F32" t="s">
        <v>2868</v>
      </c>
    </row>
    <row r="33" spans="1:6" x14ac:dyDescent="0.25">
      <c r="A33" t="s">
        <v>276</v>
      </c>
      <c r="B33" t="str">
        <f t="shared" si="0"/>
        <v>AugETR</v>
      </c>
      <c r="C33" s="201">
        <v>9.1453477672599107E-2</v>
      </c>
      <c r="D33">
        <v>0.5</v>
      </c>
      <c r="E33" t="s">
        <v>84</v>
      </c>
      <c r="F33" t="s">
        <v>2868</v>
      </c>
    </row>
    <row r="34" spans="1:6" x14ac:dyDescent="0.25">
      <c r="A34" t="s">
        <v>277</v>
      </c>
      <c r="B34" t="str">
        <f t="shared" si="0"/>
        <v>SeptETR</v>
      </c>
      <c r="C34" s="201">
        <v>8.3750496376631497E-2</v>
      </c>
      <c r="D34">
        <v>0.5</v>
      </c>
      <c r="E34" t="s">
        <v>84</v>
      </c>
      <c r="F34" t="s">
        <v>2868</v>
      </c>
    </row>
    <row r="35" spans="1:6" x14ac:dyDescent="0.25">
      <c r="A35" t="s">
        <v>278</v>
      </c>
      <c r="B35" t="str">
        <f t="shared" si="0"/>
        <v>OctETR</v>
      </c>
      <c r="C35" s="201">
        <v>7.2957207307375205E-2</v>
      </c>
      <c r="D35">
        <v>0.5</v>
      </c>
      <c r="E35" t="s">
        <v>84</v>
      </c>
      <c r="F35" t="s">
        <v>2868</v>
      </c>
    </row>
    <row r="36" spans="1:6" x14ac:dyDescent="0.25">
      <c r="A36" t="s">
        <v>279</v>
      </c>
      <c r="B36" t="str">
        <f t="shared" si="0"/>
        <v>NovETR</v>
      </c>
      <c r="C36" s="201">
        <v>7.5738270699272497E-2</v>
      </c>
      <c r="D36">
        <v>0.5</v>
      </c>
      <c r="E36" t="s">
        <v>84</v>
      </c>
      <c r="F36" t="s">
        <v>2868</v>
      </c>
    </row>
    <row r="37" spans="1:6" x14ac:dyDescent="0.25">
      <c r="A37" t="s">
        <v>280</v>
      </c>
      <c r="B37" t="str">
        <f t="shared" si="0"/>
        <v>DecETR</v>
      </c>
      <c r="C37" s="201">
        <v>6.0278422826021999E-2</v>
      </c>
      <c r="D37">
        <v>0.5</v>
      </c>
      <c r="E37" t="s">
        <v>84</v>
      </c>
      <c r="F37" t="s">
        <v>2868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G13"/>
  <sheetViews>
    <sheetView workbookViewId="0">
      <selection activeCell="F15" sqref="F15"/>
    </sheetView>
  </sheetViews>
  <sheetFormatPr defaultRowHeight="15" x14ac:dyDescent="0.25"/>
  <cols>
    <col min="1" max="1" width="7" bestFit="1" customWidth="1"/>
    <col min="2" max="2" width="10.28515625" bestFit="1" customWidth="1"/>
    <col min="3" max="3" width="25.28515625" bestFit="1" customWidth="1"/>
    <col min="4" max="4" width="11.7109375" bestFit="1" customWidth="1"/>
    <col min="5" max="5" width="11.28515625" bestFit="1" customWidth="1"/>
    <col min="6" max="6" width="18.85546875" bestFit="1" customWidth="1"/>
    <col min="7" max="7" width="11.140625" bestFit="1" customWidth="1"/>
  </cols>
  <sheetData>
    <row r="1" spans="1:7" x14ac:dyDescent="0.25">
      <c r="A1" s="404" t="s">
        <v>267</v>
      </c>
      <c r="B1" s="404" t="s">
        <v>2836</v>
      </c>
      <c r="C1" s="404" t="s">
        <v>3251</v>
      </c>
      <c r="D1" s="404" t="s">
        <v>3249</v>
      </c>
      <c r="E1" s="404" t="s">
        <v>2844</v>
      </c>
      <c r="F1" s="404" t="s">
        <v>2846</v>
      </c>
      <c r="G1" s="404" t="s">
        <v>2845</v>
      </c>
    </row>
    <row r="2" spans="1:7" x14ac:dyDescent="0.25">
      <c r="A2" t="s">
        <v>269</v>
      </c>
      <c r="B2" t="str">
        <f>_xlfn.CONCAT(A2,G2)</f>
        <v>JanET07</v>
      </c>
      <c r="C2" s="413">
        <f>D2/SUM($D$2:$D$13)</f>
        <v>9.7892720259538907E-2</v>
      </c>
      <c r="D2" s="433">
        <v>1.17919491561408</v>
      </c>
      <c r="E2">
        <v>1</v>
      </c>
      <c r="F2" t="s">
        <v>3250</v>
      </c>
      <c r="G2" t="s">
        <v>2880</v>
      </c>
    </row>
    <row r="3" spans="1:7" x14ac:dyDescent="0.25">
      <c r="A3" t="s">
        <v>270</v>
      </c>
      <c r="B3" t="str">
        <f>_xlfn.CONCAT(A3,G3)</f>
        <v>FebET07</v>
      </c>
      <c r="C3" s="413">
        <f t="shared" ref="C3:C13" si="0">D3/SUM($D$2:$D$13)</f>
        <v>0.11145199066061744</v>
      </c>
      <c r="D3" s="433">
        <v>1.3425270068461681</v>
      </c>
      <c r="E3">
        <v>1</v>
      </c>
      <c r="F3" t="s">
        <v>3250</v>
      </c>
      <c r="G3" t="s">
        <v>2880</v>
      </c>
    </row>
    <row r="4" spans="1:7" x14ac:dyDescent="0.25">
      <c r="A4" t="s">
        <v>271</v>
      </c>
      <c r="B4" t="str">
        <f t="shared" ref="B4:B13" si="1">_xlfn.CONCAT(A4,G4)</f>
        <v>MarET07</v>
      </c>
      <c r="C4" s="413">
        <f t="shared" si="0"/>
        <v>0.12678985220161312</v>
      </c>
      <c r="D4" s="433">
        <v>1.5272836291729697</v>
      </c>
      <c r="E4">
        <v>1</v>
      </c>
      <c r="F4" t="s">
        <v>3250</v>
      </c>
      <c r="G4" t="s">
        <v>2880</v>
      </c>
    </row>
    <row r="5" spans="1:7" x14ac:dyDescent="0.25">
      <c r="A5" t="s">
        <v>272</v>
      </c>
      <c r="B5" t="str">
        <f t="shared" si="1"/>
        <v>AprET07</v>
      </c>
      <c r="C5" s="413">
        <f t="shared" si="0"/>
        <v>0.11608174608550521</v>
      </c>
      <c r="D5" s="433">
        <v>1.3982960573239782</v>
      </c>
      <c r="E5">
        <v>1</v>
      </c>
      <c r="F5" t="s">
        <v>3250</v>
      </c>
      <c r="G5" t="s">
        <v>2880</v>
      </c>
    </row>
    <row r="6" spans="1:7" x14ac:dyDescent="0.25">
      <c r="A6" t="s">
        <v>273</v>
      </c>
      <c r="B6" t="str">
        <f t="shared" si="1"/>
        <v>MayET07</v>
      </c>
      <c r="C6" s="413">
        <f t="shared" si="0"/>
        <v>9.710943265680623E-2</v>
      </c>
      <c r="D6" s="433">
        <v>1.1697595995235976</v>
      </c>
      <c r="E6">
        <v>1</v>
      </c>
      <c r="F6" t="s">
        <v>3250</v>
      </c>
      <c r="G6" t="s">
        <v>2880</v>
      </c>
    </row>
    <row r="7" spans="1:7" x14ac:dyDescent="0.25">
      <c r="A7" t="s">
        <v>274</v>
      </c>
      <c r="B7" t="str">
        <f t="shared" si="1"/>
        <v>JuneET07</v>
      </c>
      <c r="C7" s="413">
        <f t="shared" si="0"/>
        <v>7.3740198772910687E-2</v>
      </c>
      <c r="D7" s="433">
        <v>0.88825877183563995</v>
      </c>
      <c r="E7">
        <v>1</v>
      </c>
      <c r="F7" t="s">
        <v>3250</v>
      </c>
      <c r="G7" t="s">
        <v>2880</v>
      </c>
    </row>
    <row r="8" spans="1:7" x14ac:dyDescent="0.25">
      <c r="A8" t="s">
        <v>275</v>
      </c>
      <c r="B8" t="str">
        <f t="shared" si="1"/>
        <v>JulyET07</v>
      </c>
      <c r="C8" s="413">
        <f t="shared" si="0"/>
        <v>5.6152135281385754E-2</v>
      </c>
      <c r="D8" s="433">
        <v>0.67639669476068109</v>
      </c>
      <c r="E8">
        <v>1</v>
      </c>
      <c r="F8" t="s">
        <v>3250</v>
      </c>
      <c r="G8" t="s">
        <v>2880</v>
      </c>
    </row>
    <row r="9" spans="1:7" x14ac:dyDescent="0.25">
      <c r="A9" t="s">
        <v>276</v>
      </c>
      <c r="B9" t="str">
        <f t="shared" si="1"/>
        <v>AugET07</v>
      </c>
      <c r="C9" s="413">
        <f t="shared" si="0"/>
        <v>5.7572990687490763E-2</v>
      </c>
      <c r="D9" s="433">
        <v>0.69351201718976174</v>
      </c>
      <c r="E9">
        <v>1</v>
      </c>
      <c r="F9" t="s">
        <v>3250</v>
      </c>
      <c r="G9" t="s">
        <v>2880</v>
      </c>
    </row>
    <row r="10" spans="1:7" x14ac:dyDescent="0.25">
      <c r="A10" t="s">
        <v>277</v>
      </c>
      <c r="B10" t="str">
        <f t="shared" si="1"/>
        <v>SeptET07</v>
      </c>
      <c r="C10" s="413">
        <f t="shared" si="0"/>
        <v>5.5517049192932967E-2</v>
      </c>
      <c r="D10" s="433">
        <v>0.66874658263288178</v>
      </c>
      <c r="E10">
        <v>1</v>
      </c>
      <c r="F10" t="s">
        <v>3250</v>
      </c>
      <c r="G10" t="s">
        <v>2880</v>
      </c>
    </row>
    <row r="11" spans="1:7" x14ac:dyDescent="0.25">
      <c r="A11" t="s">
        <v>278</v>
      </c>
      <c r="B11" t="str">
        <f t="shared" si="1"/>
        <v>OctET07</v>
      </c>
      <c r="C11" s="413">
        <f t="shared" si="0"/>
        <v>5.6351548258912781E-2</v>
      </c>
      <c r="D11" s="433">
        <v>0.67879878113221004</v>
      </c>
      <c r="E11">
        <v>1</v>
      </c>
      <c r="F11" t="s">
        <v>3250</v>
      </c>
      <c r="G11" t="s">
        <v>2880</v>
      </c>
    </row>
    <row r="12" spans="1:7" x14ac:dyDescent="0.25">
      <c r="A12" t="s">
        <v>279</v>
      </c>
      <c r="B12" t="str">
        <f t="shared" si="1"/>
        <v>NovET07</v>
      </c>
      <c r="C12" s="413">
        <f t="shared" si="0"/>
        <v>6.8327289554465973E-2</v>
      </c>
      <c r="D12" s="433">
        <v>0.82305601710425713</v>
      </c>
      <c r="E12">
        <v>1</v>
      </c>
      <c r="F12" t="s">
        <v>3250</v>
      </c>
      <c r="G12" t="s">
        <v>2880</v>
      </c>
    </row>
    <row r="13" spans="1:7" x14ac:dyDescent="0.25">
      <c r="A13" t="s">
        <v>280</v>
      </c>
      <c r="B13" t="str">
        <f t="shared" si="1"/>
        <v>DecET07</v>
      </c>
      <c r="C13" s="413">
        <f t="shared" si="0"/>
        <v>8.3013046387820241E-2</v>
      </c>
      <c r="D13" s="433">
        <v>0.99995752463130572</v>
      </c>
      <c r="E13">
        <v>1</v>
      </c>
      <c r="F13" t="s">
        <v>3250</v>
      </c>
      <c r="G13" t="s">
        <v>2880</v>
      </c>
    </row>
  </sheetData>
  <phoneticPr fontId="37"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A1" zoomScale="80" zoomScaleNormal="80" workbookViewId="0">
      <selection activeCell="AV3" sqref="AV3"/>
    </sheetView>
  </sheetViews>
  <sheetFormatPr defaultRowHeight="15" x14ac:dyDescent="0.25"/>
  <cols>
    <col min="11" max="13" width="9.28515625" bestFit="1" customWidth="1"/>
    <col min="14" max="14" width="8.85546875" bestFit="1" customWidth="1"/>
    <col min="15" max="17" width="9.28515625" bestFit="1" customWidth="1"/>
    <col min="43" max="43" width="7.28515625" bestFit="1" customWidth="1"/>
    <col min="44" max="44" width="10.7109375" bestFit="1" customWidth="1"/>
    <col min="45" max="45" width="11.140625" bestFit="1" customWidth="1"/>
    <col min="46" max="46" width="11.42578125" bestFit="1" customWidth="1"/>
    <col min="47" max="47" width="19.140625" bestFit="1" customWidth="1"/>
    <col min="48" max="48" width="11.42578125" bestFit="1" customWidth="1"/>
  </cols>
  <sheetData>
    <row r="1" spans="1:48" x14ac:dyDescent="0.25">
      <c r="A1" s="57" t="s">
        <v>884</v>
      </c>
      <c r="AQ1" s="404" t="s">
        <v>267</v>
      </c>
      <c r="AR1" s="404" t="s">
        <v>2836</v>
      </c>
      <c r="AS1" s="404" t="s">
        <v>3239</v>
      </c>
      <c r="AT1" s="404" t="s">
        <v>2844</v>
      </c>
      <c r="AU1" s="404" t="s">
        <v>2846</v>
      </c>
      <c r="AV1" s="404" t="s">
        <v>2845</v>
      </c>
    </row>
    <row r="2" spans="1:48" x14ac:dyDescent="0.25">
      <c r="AQ2" t="s">
        <v>269</v>
      </c>
      <c r="AR2" t="str">
        <f>_xlfn.CONCAT(AQ2,AV2)</f>
        <v>JanETR</v>
      </c>
      <c r="AS2" s="3">
        <f>AM21</f>
        <v>6.6936482067843195E-2</v>
      </c>
      <c r="AT2">
        <v>0.5</v>
      </c>
      <c r="AU2" t="s">
        <v>84</v>
      </c>
      <c r="AV2" t="s">
        <v>2868</v>
      </c>
    </row>
    <row r="3" spans="1:48" x14ac:dyDescent="0.25">
      <c r="AQ3" t="s">
        <v>270</v>
      </c>
      <c r="AR3" t="str">
        <f t="shared" ref="AR3:AR13" si="0">_xlfn.CONCAT(AQ3,AV3)</f>
        <v>FebETR</v>
      </c>
      <c r="AS3" s="3">
        <f t="shared" ref="AS3:AS13" si="1">AM22</f>
        <v>6.4084654318813022E-2</v>
      </c>
      <c r="AT3">
        <v>0.5</v>
      </c>
      <c r="AU3" t="s">
        <v>84</v>
      </c>
      <c r="AV3" t="s">
        <v>2868</v>
      </c>
    </row>
    <row r="4" spans="1:48" x14ac:dyDescent="0.2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2868</v>
      </c>
    </row>
    <row r="5" spans="1:48" x14ac:dyDescent="0.2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2868</v>
      </c>
    </row>
    <row r="6" spans="1:48" x14ac:dyDescent="0.2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2868</v>
      </c>
    </row>
    <row r="7" spans="1:48" x14ac:dyDescent="0.2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2868</v>
      </c>
    </row>
    <row r="8" spans="1:48" x14ac:dyDescent="0.2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2868</v>
      </c>
    </row>
    <row r="9" spans="1:48" x14ac:dyDescent="0.2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2868</v>
      </c>
    </row>
    <row r="10" spans="1:48" x14ac:dyDescent="0.2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2868</v>
      </c>
    </row>
    <row r="11" spans="1:48" x14ac:dyDescent="0.2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2868</v>
      </c>
    </row>
    <row r="12" spans="1:48" x14ac:dyDescent="0.2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2868</v>
      </c>
    </row>
    <row r="13" spans="1:48" x14ac:dyDescent="0.2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2868</v>
      </c>
    </row>
    <row r="14" spans="1:48" x14ac:dyDescent="0.2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2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2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25">
      <c r="U17" s="89"/>
    </row>
    <row r="18" spans="2:41" x14ac:dyDescent="0.25">
      <c r="B18" t="s">
        <v>892</v>
      </c>
    </row>
    <row r="20" spans="2:41" x14ac:dyDescent="0.2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1992</v>
      </c>
      <c r="AO20" t="s">
        <v>1993</v>
      </c>
    </row>
    <row r="21" spans="2:41" x14ac:dyDescent="0.2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2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2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2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2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2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2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2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2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2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2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2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25">
      <c r="AO34" s="3">
        <f>AVERAGE(AO21:AO32)</f>
        <v>0.22783777012354597</v>
      </c>
    </row>
    <row r="36" spans="2:41" x14ac:dyDescent="0.25">
      <c r="AO36" s="154" t="s">
        <v>1994</v>
      </c>
    </row>
    <row r="37" spans="2:41" x14ac:dyDescent="0.25">
      <c r="AO37" s="154" t="s">
        <v>1996</v>
      </c>
    </row>
    <row r="38" spans="2:41" x14ac:dyDescent="0.25">
      <c r="B38" s="57" t="s">
        <v>903</v>
      </c>
      <c r="AO38" s="154" t="s">
        <v>1995</v>
      </c>
    </row>
    <row r="40" spans="2:41" x14ac:dyDescent="0.25">
      <c r="AO40" s="154" t="s">
        <v>1997</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topLeftCell="Q1" workbookViewId="0">
      <selection activeCell="AD13" sqref="AD13"/>
    </sheetView>
  </sheetViews>
  <sheetFormatPr defaultRowHeight="15" x14ac:dyDescent="0.25"/>
  <cols>
    <col min="20" max="20" width="10.140625" customWidth="1"/>
    <col min="23" max="26" width="9" customWidth="1"/>
    <col min="28" max="28" width="7" bestFit="1" customWidth="1"/>
    <col min="29" max="29" width="10.28515625" bestFit="1" customWidth="1"/>
    <col min="30" max="30" width="8" bestFit="1" customWidth="1"/>
    <col min="31" max="31" width="11.28515625" bestFit="1" customWidth="1"/>
    <col min="32" max="32" width="18.85546875" bestFit="1" customWidth="1"/>
    <col min="33" max="33" width="11.140625" bestFit="1" customWidth="1"/>
  </cols>
  <sheetData>
    <row r="1" spans="1:33" x14ac:dyDescent="0.25">
      <c r="A1" t="s">
        <v>904</v>
      </c>
      <c r="AB1" s="404" t="s">
        <v>267</v>
      </c>
      <c r="AC1" s="404" t="s">
        <v>2836</v>
      </c>
      <c r="AD1" s="404" t="s">
        <v>3241</v>
      </c>
      <c r="AE1" s="404" t="s">
        <v>2844</v>
      </c>
      <c r="AF1" s="404" t="s">
        <v>2846</v>
      </c>
      <c r="AG1" s="404" t="s">
        <v>2845</v>
      </c>
    </row>
    <row r="2" spans="1:33" x14ac:dyDescent="0.25">
      <c r="A2" t="s">
        <v>905</v>
      </c>
      <c r="AB2" t="s">
        <v>269</v>
      </c>
      <c r="AC2" t="str">
        <f>_xlfn.CONCAT(AB2,AG2)</f>
        <v>JanET</v>
      </c>
      <c r="AD2" s="3">
        <f>Y13/SUM($Y$13:$Y$24)</f>
        <v>0.16488222698072805</v>
      </c>
      <c r="AE2">
        <v>0</v>
      </c>
      <c r="AF2" t="s">
        <v>594</v>
      </c>
      <c r="AG2" t="s">
        <v>2851</v>
      </c>
    </row>
    <row r="3" spans="1:33" x14ac:dyDescent="0.25">
      <c r="AB3" t="s">
        <v>270</v>
      </c>
      <c r="AC3" t="str">
        <f t="shared" ref="AC3:AC13" si="0">_xlfn.CONCAT(AB3,AG3)</f>
        <v>FebET</v>
      </c>
      <c r="AD3" s="3">
        <f t="shared" ref="AD3:AD13" si="1">Y14/SUM($Y$13:$Y$24)</f>
        <v>6.852248394004283E-2</v>
      </c>
      <c r="AE3">
        <v>0</v>
      </c>
      <c r="AF3" t="s">
        <v>594</v>
      </c>
      <c r="AG3" t="s">
        <v>2851</v>
      </c>
    </row>
    <row r="4" spans="1:33" x14ac:dyDescent="0.25">
      <c r="L4" s="71" t="s">
        <v>906</v>
      </c>
      <c r="AB4" t="s">
        <v>271</v>
      </c>
      <c r="AC4" t="str">
        <f t="shared" si="0"/>
        <v>MarET</v>
      </c>
      <c r="AD4" s="3">
        <f t="shared" si="1"/>
        <v>1.9271948608137045E-2</v>
      </c>
      <c r="AE4">
        <v>0</v>
      </c>
      <c r="AF4" t="s">
        <v>594</v>
      </c>
      <c r="AG4" t="s">
        <v>2851</v>
      </c>
    </row>
    <row r="5" spans="1:33" x14ac:dyDescent="0.25">
      <c r="L5" t="s">
        <v>907</v>
      </c>
      <c r="AB5" t="s">
        <v>272</v>
      </c>
      <c r="AC5" t="str">
        <f t="shared" si="0"/>
        <v>AprET</v>
      </c>
      <c r="AD5" s="3">
        <f t="shared" si="1"/>
        <v>1.9271948608137045E-2</v>
      </c>
      <c r="AE5">
        <v>0</v>
      </c>
      <c r="AF5" t="s">
        <v>594</v>
      </c>
      <c r="AG5" t="s">
        <v>2851</v>
      </c>
    </row>
    <row r="6" spans="1:33" x14ac:dyDescent="0.25">
      <c r="L6" t="s">
        <v>908</v>
      </c>
      <c r="AB6" t="s">
        <v>273</v>
      </c>
      <c r="AC6" t="str">
        <f t="shared" si="0"/>
        <v>MayET</v>
      </c>
      <c r="AD6" s="3">
        <f t="shared" si="1"/>
        <v>2.9978586723768741E-2</v>
      </c>
      <c r="AE6">
        <v>0</v>
      </c>
      <c r="AF6" t="s">
        <v>594</v>
      </c>
      <c r="AG6" t="s">
        <v>2851</v>
      </c>
    </row>
    <row r="7" spans="1:33" x14ac:dyDescent="0.25">
      <c r="L7" t="s">
        <v>909</v>
      </c>
      <c r="AB7" t="s">
        <v>274</v>
      </c>
      <c r="AC7" t="str">
        <f t="shared" si="0"/>
        <v>JuneET</v>
      </c>
      <c r="AD7" s="3">
        <f t="shared" si="1"/>
        <v>2.9978586723768744E-2</v>
      </c>
      <c r="AE7">
        <v>0</v>
      </c>
      <c r="AF7" t="s">
        <v>594</v>
      </c>
      <c r="AG7" t="s">
        <v>2851</v>
      </c>
    </row>
    <row r="8" spans="1:33" x14ac:dyDescent="0.25">
      <c r="L8" t="s">
        <v>910</v>
      </c>
      <c r="AB8" t="s">
        <v>275</v>
      </c>
      <c r="AC8" t="str">
        <f t="shared" si="0"/>
        <v>JulyET</v>
      </c>
      <c r="AD8" s="3">
        <f t="shared" si="1"/>
        <v>3.8543897216274096E-2</v>
      </c>
      <c r="AE8">
        <v>0</v>
      </c>
      <c r="AF8" t="s">
        <v>594</v>
      </c>
      <c r="AG8" t="s">
        <v>2851</v>
      </c>
    </row>
    <row r="9" spans="1:33" x14ac:dyDescent="0.25">
      <c r="U9" s="462" t="s">
        <v>911</v>
      </c>
      <c r="V9" s="462"/>
      <c r="W9" s="462" t="s">
        <v>912</v>
      </c>
      <c r="X9" s="462"/>
      <c r="Y9" s="462" t="s">
        <v>913</v>
      </c>
      <c r="Z9" s="462"/>
      <c r="AB9" t="s">
        <v>276</v>
      </c>
      <c r="AC9" t="str">
        <f t="shared" si="0"/>
        <v>AugET</v>
      </c>
      <c r="AD9" s="3">
        <f t="shared" si="1"/>
        <v>6.852248394004283E-2</v>
      </c>
      <c r="AE9">
        <v>0</v>
      </c>
      <c r="AF9" t="s">
        <v>594</v>
      </c>
      <c r="AG9" t="s">
        <v>2851</v>
      </c>
    </row>
    <row r="10" spans="1:33" ht="14.45" customHeight="1" x14ac:dyDescent="0.25">
      <c r="M10" t="s">
        <v>914</v>
      </c>
      <c r="N10" t="s">
        <v>812</v>
      </c>
      <c r="O10" t="s">
        <v>915</v>
      </c>
      <c r="U10" s="462"/>
      <c r="V10" s="462"/>
      <c r="W10" s="462"/>
      <c r="X10" s="462"/>
      <c r="Y10" s="462"/>
      <c r="Z10" s="462"/>
      <c r="AB10" t="s">
        <v>277</v>
      </c>
      <c r="AC10" t="str">
        <f t="shared" si="0"/>
        <v>SeptET</v>
      </c>
      <c r="AD10" s="3">
        <f t="shared" si="1"/>
        <v>0.10706638115631693</v>
      </c>
      <c r="AE10">
        <v>0</v>
      </c>
      <c r="AF10" t="s">
        <v>594</v>
      </c>
      <c r="AG10" t="s">
        <v>2851</v>
      </c>
    </row>
    <row r="11" spans="1:33" x14ac:dyDescent="0.25">
      <c r="M11" t="s">
        <v>916</v>
      </c>
      <c r="U11" s="462"/>
      <c r="V11" s="462"/>
      <c r="W11" s="462"/>
      <c r="X11" s="462"/>
      <c r="Y11" s="462"/>
      <c r="Z11" s="462"/>
      <c r="AB11" t="s">
        <v>278</v>
      </c>
      <c r="AC11" t="str">
        <f t="shared" si="0"/>
        <v>OctET</v>
      </c>
      <c r="AD11" s="3">
        <f t="shared" si="1"/>
        <v>0.15417558886509636</v>
      </c>
      <c r="AE11">
        <v>0</v>
      </c>
      <c r="AF11" t="s">
        <v>594</v>
      </c>
      <c r="AG11" t="s">
        <v>2851</v>
      </c>
    </row>
    <row r="12" spans="1:33" ht="15.75" thickBot="1" x14ac:dyDescent="0.3">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2851</v>
      </c>
    </row>
    <row r="13" spans="1:33" x14ac:dyDescent="0.2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2851</v>
      </c>
    </row>
    <row r="14" spans="1:33" x14ac:dyDescent="0.2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2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2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2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2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2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2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2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2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2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5.75" thickBot="1" x14ac:dyDescent="0.3">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25">
      <c r="L25" t="s">
        <v>270</v>
      </c>
      <c r="M25" s="61">
        <f t="shared" ref="M25:N35" si="16">M13</f>
        <v>0.32</v>
      </c>
      <c r="N25" s="61">
        <f t="shared" si="16"/>
        <v>0.8</v>
      </c>
    </row>
    <row r="26" spans="12:26" x14ac:dyDescent="0.25">
      <c r="L26" t="s">
        <v>271</v>
      </c>
      <c r="M26" s="61">
        <f t="shared" si="16"/>
        <v>0.09</v>
      </c>
      <c r="N26" s="61">
        <f t="shared" si="16"/>
        <v>0.2</v>
      </c>
      <c r="T26" s="154" t="s">
        <v>919</v>
      </c>
    </row>
    <row r="27" spans="12:26" x14ac:dyDescent="0.25">
      <c r="L27" t="s">
        <v>272</v>
      </c>
      <c r="M27" s="61">
        <f t="shared" si="16"/>
        <v>0.09</v>
      </c>
      <c r="N27" s="61">
        <f t="shared" si="16"/>
        <v>0.2</v>
      </c>
      <c r="T27" s="154" t="s">
        <v>920</v>
      </c>
    </row>
    <row r="28" spans="12:26" x14ac:dyDescent="0.25">
      <c r="L28" t="s">
        <v>273</v>
      </c>
      <c r="M28" s="61">
        <f t="shared" si="16"/>
        <v>0.14000000000000001</v>
      </c>
      <c r="N28" s="61">
        <f t="shared" si="16"/>
        <v>0.2</v>
      </c>
    </row>
    <row r="29" spans="12:26" x14ac:dyDescent="0.25">
      <c r="L29" t="s">
        <v>274</v>
      </c>
      <c r="M29" s="61">
        <f t="shared" si="16"/>
        <v>0.14000000000000001</v>
      </c>
      <c r="N29" s="61">
        <f t="shared" si="16"/>
        <v>0</v>
      </c>
    </row>
    <row r="30" spans="12:26" x14ac:dyDescent="0.25">
      <c r="L30" t="s">
        <v>275</v>
      </c>
      <c r="M30" s="61">
        <f t="shared" si="16"/>
        <v>0.18</v>
      </c>
      <c r="N30" s="61">
        <f t="shared" si="16"/>
        <v>0</v>
      </c>
    </row>
    <row r="31" spans="12:26" x14ac:dyDescent="0.25">
      <c r="L31" t="s">
        <v>276</v>
      </c>
      <c r="M31" s="61">
        <f t="shared" si="16"/>
        <v>0.32</v>
      </c>
      <c r="N31" s="61">
        <f t="shared" si="16"/>
        <v>0.2</v>
      </c>
    </row>
    <row r="32" spans="12:26" x14ac:dyDescent="0.25">
      <c r="L32" t="s">
        <v>277</v>
      </c>
      <c r="M32" s="61">
        <f t="shared" si="16"/>
        <v>0.5</v>
      </c>
      <c r="N32" s="61">
        <f t="shared" si="16"/>
        <v>0.4</v>
      </c>
    </row>
    <row r="33" spans="12:14" x14ac:dyDescent="0.25">
      <c r="L33" t="s">
        <v>278</v>
      </c>
      <c r="M33" s="61">
        <f t="shared" si="16"/>
        <v>0.72</v>
      </c>
      <c r="N33" s="61">
        <f t="shared" si="16"/>
        <v>0.6</v>
      </c>
    </row>
    <row r="34" spans="12:14" x14ac:dyDescent="0.25">
      <c r="L34" t="s">
        <v>279</v>
      </c>
      <c r="M34" s="61">
        <f t="shared" si="16"/>
        <v>0.68</v>
      </c>
      <c r="N34" s="61">
        <f t="shared" si="16"/>
        <v>0.6</v>
      </c>
    </row>
    <row r="35" spans="12:14" x14ac:dyDescent="0.2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5" x14ac:dyDescent="0.25"/>
  <sheetData>
    <row r="1" spans="1:17" x14ac:dyDescent="0.2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2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2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2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2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2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2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2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2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2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2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2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25">
      <c r="A13" s="119"/>
      <c r="B13" s="119"/>
      <c r="C13" s="119"/>
      <c r="D13" s="119"/>
      <c r="E13" s="119"/>
      <c r="F13" s="119"/>
      <c r="G13" s="119"/>
      <c r="H13" s="119"/>
      <c r="I13" s="119"/>
      <c r="J13" s="119"/>
      <c r="K13" s="119"/>
      <c r="L13" s="119"/>
      <c r="M13" s="119"/>
      <c r="N13" s="119"/>
      <c r="O13" s="119"/>
      <c r="P13" s="119"/>
    </row>
    <row r="14" spans="1:17" x14ac:dyDescent="0.2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2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2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2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2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2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2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2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2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2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2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2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5" x14ac:dyDescent="0.25"/>
  <sheetData>
    <row r="3" spans="21:21" x14ac:dyDescent="0.25">
      <c r="U3" t="s">
        <v>788</v>
      </c>
    </row>
    <row r="25" spans="2:54" x14ac:dyDescent="0.25">
      <c r="B25" t="s">
        <v>930</v>
      </c>
      <c r="W25" t="s">
        <v>932</v>
      </c>
    </row>
    <row r="26" spans="2:54" x14ac:dyDescent="0.25">
      <c r="W26" t="s">
        <v>940</v>
      </c>
      <c r="AG26" t="s">
        <v>941</v>
      </c>
      <c r="AR26" t="s">
        <v>944</v>
      </c>
    </row>
    <row r="30" spans="2:54" x14ac:dyDescent="0.25">
      <c r="AY30" t="s">
        <v>1762</v>
      </c>
      <c r="AZ30" t="s">
        <v>1763</v>
      </c>
      <c r="BA30" t="s">
        <v>332</v>
      </c>
      <c r="BB30" t="s">
        <v>1764</v>
      </c>
    </row>
    <row r="31" spans="2:54" x14ac:dyDescent="0.25">
      <c r="AX31">
        <v>2008</v>
      </c>
      <c r="AY31" s="54">
        <v>0.75</v>
      </c>
      <c r="AZ31" s="54">
        <v>0.25</v>
      </c>
    </row>
    <row r="32" spans="2:54" x14ac:dyDescent="0.25">
      <c r="AX32">
        <v>2010</v>
      </c>
      <c r="AY32" s="54">
        <v>0.7</v>
      </c>
      <c r="AZ32" s="54">
        <v>0.3</v>
      </c>
    </row>
    <row r="33" spans="2:54" x14ac:dyDescent="0.25">
      <c r="AX33">
        <v>2014</v>
      </c>
      <c r="AY33" s="54">
        <v>0.37</v>
      </c>
      <c r="AZ33" s="54">
        <v>0.51</v>
      </c>
      <c r="BA33" s="54">
        <f>1-AZ33-AY33</f>
        <v>0.12</v>
      </c>
    </row>
    <row r="34" spans="2:54" x14ac:dyDescent="0.25">
      <c r="AX34">
        <v>2017</v>
      </c>
      <c r="AY34" s="54">
        <v>0.36</v>
      </c>
      <c r="AZ34" s="54">
        <v>0.44</v>
      </c>
      <c r="BA34" s="54">
        <f>1-AZ34-AY34-BB34</f>
        <v>0.12000000000000006</v>
      </c>
      <c r="BB34" s="54">
        <v>0.08</v>
      </c>
    </row>
    <row r="37" spans="2:54" x14ac:dyDescent="0.25">
      <c r="B37" t="s">
        <v>799</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5" x14ac:dyDescent="0.25"/>
  <sheetData>
    <row r="1" spans="1:90" x14ac:dyDescent="0.25">
      <c r="A1" t="s">
        <v>931</v>
      </c>
      <c r="K1" t="s">
        <v>932</v>
      </c>
      <c r="U1" t="s">
        <v>933</v>
      </c>
      <c r="AD1" t="s">
        <v>934</v>
      </c>
      <c r="AO1" t="s">
        <v>935</v>
      </c>
      <c r="BC1" t="s">
        <v>936</v>
      </c>
      <c r="BO1" t="s">
        <v>937</v>
      </c>
      <c r="BY1" t="s">
        <v>938</v>
      </c>
      <c r="CL1" t="s">
        <v>939</v>
      </c>
    </row>
    <row r="2" spans="1:90" x14ac:dyDescent="0.25">
      <c r="K2" s="57" t="s">
        <v>940</v>
      </c>
      <c r="U2" s="57" t="s">
        <v>941</v>
      </c>
      <c r="AD2" t="s">
        <v>942</v>
      </c>
      <c r="AO2" t="s">
        <v>943</v>
      </c>
      <c r="BC2" t="s">
        <v>944</v>
      </c>
      <c r="BO2" t="s">
        <v>945</v>
      </c>
      <c r="BY2" t="s">
        <v>946</v>
      </c>
      <c r="CL2" t="s">
        <v>947</v>
      </c>
    </row>
    <row r="10" spans="1:90" x14ac:dyDescent="0.25">
      <c r="AO10" t="s">
        <v>948</v>
      </c>
    </row>
    <row r="20" spans="1:30" x14ac:dyDescent="0.25">
      <c r="AD20" t="s">
        <v>949</v>
      </c>
    </row>
    <row r="21" spans="1:30" x14ac:dyDescent="0.25">
      <c r="AD21" t="s">
        <v>950</v>
      </c>
    </row>
    <row r="29" spans="1:30" x14ac:dyDescent="0.25">
      <c r="A29" t="s">
        <v>951</v>
      </c>
    </row>
    <row r="30" spans="1:30" x14ac:dyDescent="0.25">
      <c r="B30" s="53" t="s">
        <v>952</v>
      </c>
    </row>
    <row r="31" spans="1:30" x14ac:dyDescent="0.25">
      <c r="B31" s="53" t="s">
        <v>953</v>
      </c>
    </row>
    <row r="32" spans="1:30" x14ac:dyDescent="0.25">
      <c r="B32" s="53" t="s">
        <v>954</v>
      </c>
    </row>
    <row r="33" spans="1:2" x14ac:dyDescent="0.25">
      <c r="A33" t="s">
        <v>955</v>
      </c>
    </row>
    <row r="35" spans="1:2" x14ac:dyDescent="0.25">
      <c r="A35" t="s">
        <v>956</v>
      </c>
    </row>
    <row r="36" spans="1:2" x14ac:dyDescent="0.25">
      <c r="B36" s="53" t="s">
        <v>957</v>
      </c>
    </row>
    <row r="38" spans="1:2" x14ac:dyDescent="0.25">
      <c r="A38" t="s">
        <v>958</v>
      </c>
    </row>
    <row r="39" spans="1:2" x14ac:dyDescent="0.25">
      <c r="B39" s="53" t="s">
        <v>959</v>
      </c>
    </row>
    <row r="40" spans="1:2" x14ac:dyDescent="0.25">
      <c r="B40" s="53" t="s">
        <v>960</v>
      </c>
    </row>
    <row r="41" spans="1:2" x14ac:dyDescent="0.25">
      <c r="B41" s="53" t="s">
        <v>961</v>
      </c>
    </row>
    <row r="42" spans="1:2" x14ac:dyDescent="0.25">
      <c r="A42" t="s">
        <v>962</v>
      </c>
    </row>
    <row r="43" spans="1:2" x14ac:dyDescent="0.25">
      <c r="B43" s="53" t="s">
        <v>963</v>
      </c>
    </row>
    <row r="44" spans="1:2" x14ac:dyDescent="0.25">
      <c r="B44" s="53" t="s">
        <v>964</v>
      </c>
    </row>
    <row r="46" spans="1:2" x14ac:dyDescent="0.25">
      <c r="A46" t="s">
        <v>965</v>
      </c>
    </row>
    <row r="47" spans="1:2" x14ac:dyDescent="0.2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5" x14ac:dyDescent="0.25"/>
  <sheetData>
    <row r="1" spans="2:24" x14ac:dyDescent="0.25">
      <c r="B1" t="s">
        <v>967</v>
      </c>
      <c r="M1" t="s">
        <v>968</v>
      </c>
      <c r="X1" t="s">
        <v>969</v>
      </c>
    </row>
    <row r="2" spans="2:24" x14ac:dyDescent="0.25">
      <c r="B2" t="s">
        <v>944</v>
      </c>
      <c r="M2" t="s">
        <v>940</v>
      </c>
      <c r="X2" t="s">
        <v>970</v>
      </c>
    </row>
    <row r="3" spans="2:24" x14ac:dyDescent="0.25">
      <c r="B3" s="52" t="s">
        <v>971</v>
      </c>
    </row>
    <row r="6" spans="2:24" x14ac:dyDescent="0.25">
      <c r="H6" s="52" t="s">
        <v>972</v>
      </c>
    </row>
    <row r="17" spans="13:24" x14ac:dyDescent="0.25">
      <c r="M17" t="s">
        <v>973</v>
      </c>
    </row>
    <row r="18" spans="13:24" x14ac:dyDescent="0.25">
      <c r="M18" t="s">
        <v>504</v>
      </c>
    </row>
    <row r="30" spans="13:24" x14ac:dyDescent="0.25">
      <c r="X30" t="s">
        <v>974</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I10" sqref="I10"/>
    </sheetView>
  </sheetViews>
  <sheetFormatPr defaultColWidth="9.85546875" defaultRowHeight="15" x14ac:dyDescent="0.25"/>
  <cols>
    <col min="1" max="1" width="9.28515625" bestFit="1" customWidth="1"/>
    <col min="2" max="2" width="10.42578125" customWidth="1"/>
    <col min="3" max="29" width="10.5703125" bestFit="1" customWidth="1"/>
    <col min="30" max="33" width="9" bestFit="1" customWidth="1"/>
    <col min="34" max="34" width="10.5703125" bestFit="1" customWidth="1"/>
    <col min="35" max="38" width="9" bestFit="1" customWidth="1"/>
    <col min="39" max="39" width="10.5703125" bestFit="1" customWidth="1"/>
    <col min="40" max="43" width="9" bestFit="1" customWidth="1"/>
    <col min="44" max="44" width="10.5703125" bestFit="1" customWidth="1"/>
    <col min="45" max="48" width="9" bestFit="1" customWidth="1"/>
    <col min="49" max="49" width="10.5703125" bestFit="1" customWidth="1"/>
    <col min="50" max="53" width="9" bestFit="1" customWidth="1"/>
    <col min="54" max="54" width="10.5703125" bestFit="1" customWidth="1"/>
    <col min="55" max="58" width="9" bestFit="1" customWidth="1"/>
    <col min="59" max="59" width="10.5703125" bestFit="1" customWidth="1"/>
    <col min="60" max="63" width="9" bestFit="1" customWidth="1"/>
    <col min="64" max="64" width="10.5703125" bestFit="1" customWidth="1"/>
    <col min="65" max="76" width="9" bestFit="1" customWidth="1"/>
    <col min="77" max="78" width="8" bestFit="1" customWidth="1"/>
    <col min="79" max="79" width="9" bestFit="1" customWidth="1"/>
    <col min="80" max="82" width="8" bestFit="1" customWidth="1"/>
    <col min="83" max="83" width="8.5703125" bestFit="1" customWidth="1"/>
    <col min="84" max="84" width="9" bestFit="1" customWidth="1"/>
    <col min="85" max="91" width="8" bestFit="1" customWidth="1"/>
    <col min="92" max="93" width="7" bestFit="1" customWidth="1"/>
    <col min="94" max="94" width="8" bestFit="1" customWidth="1"/>
    <col min="95" max="97" width="7" bestFit="1" customWidth="1"/>
    <col min="98" max="98" width="5.42578125" bestFit="1" customWidth="1"/>
    <col min="99" max="99" width="7" bestFit="1" customWidth="1"/>
    <col min="100" max="102" width="5.42578125" bestFit="1" customWidth="1"/>
    <col min="103" max="103" width="11.5703125" bestFit="1" customWidth="1"/>
    <col min="104" max="104" width="12.5703125" bestFit="1" customWidth="1"/>
  </cols>
  <sheetData>
    <row r="1" spans="1:104" x14ac:dyDescent="0.25">
      <c r="B1" t="s">
        <v>976</v>
      </c>
    </row>
    <row r="2" spans="1:104" s="48" customFormat="1" x14ac:dyDescent="0.2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25">
      <c r="A3" s="48" t="s">
        <v>979</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25">
      <c r="A4" s="48" t="s">
        <v>980</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25">
      <c r="B5" s="127" t="s">
        <v>1927</v>
      </c>
    </row>
    <row r="7" spans="1:104" x14ac:dyDescent="0.25">
      <c r="D7" s="53" t="s">
        <v>981</v>
      </c>
      <c r="I7" s="53" t="s">
        <v>982</v>
      </c>
      <c r="N7" s="53" t="s">
        <v>983</v>
      </c>
      <c r="S7" s="53" t="s">
        <v>664</v>
      </c>
      <c r="X7" s="53" t="s">
        <v>665</v>
      </c>
      <c r="AC7" s="53" t="s">
        <v>667</v>
      </c>
      <c r="AH7" t="s">
        <v>670</v>
      </c>
      <c r="AM7" s="53" t="s">
        <v>672</v>
      </c>
      <c r="AR7" s="53" t="s">
        <v>674</v>
      </c>
      <c r="AW7" t="s">
        <v>676</v>
      </c>
      <c r="BB7" t="s">
        <v>984</v>
      </c>
      <c r="BG7" t="s">
        <v>985</v>
      </c>
      <c r="BL7" t="s">
        <v>986</v>
      </c>
      <c r="BQ7" t="s">
        <v>987</v>
      </c>
      <c r="BV7" t="s">
        <v>988</v>
      </c>
      <c r="CA7" t="s">
        <v>989</v>
      </c>
      <c r="CF7" t="s">
        <v>990</v>
      </c>
      <c r="CK7" t="s">
        <v>991</v>
      </c>
      <c r="CP7" t="s">
        <v>992</v>
      </c>
      <c r="CU7" t="s">
        <v>993</v>
      </c>
      <c r="CX7" t="s">
        <v>994</v>
      </c>
    </row>
    <row r="8" spans="1:104" x14ac:dyDescent="0.2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25">
      <c r="A9" t="s">
        <v>995</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2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2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2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25">
      <c r="D13" s="6"/>
      <c r="I13" s="6"/>
      <c r="N13" s="6"/>
      <c r="S13" s="6"/>
      <c r="X13" s="6"/>
      <c r="AC13" s="6"/>
      <c r="AH13" s="6"/>
      <c r="AM13" s="6"/>
      <c r="AR13" s="6"/>
      <c r="AW13" s="6"/>
      <c r="BB13" s="6"/>
      <c r="BG13" s="6"/>
      <c r="BL13" s="6"/>
      <c r="BQ13" s="6"/>
      <c r="BV13" s="6"/>
      <c r="CA13" s="6"/>
      <c r="CF13" s="6"/>
      <c r="CK13" s="6"/>
      <c r="CP13" s="6"/>
      <c r="CU13" s="6"/>
      <c r="CZ13" s="6"/>
    </row>
    <row r="14" spans="1:104" x14ac:dyDescent="0.25">
      <c r="D14" s="6"/>
      <c r="I14" s="6"/>
      <c r="N14" s="6"/>
      <c r="S14" s="6"/>
      <c r="X14" s="6"/>
      <c r="AC14" s="6"/>
      <c r="AH14" s="6"/>
      <c r="AM14" s="6"/>
      <c r="AR14" s="6"/>
      <c r="AW14" s="6"/>
      <c r="BB14" s="6"/>
      <c r="BG14" s="6"/>
      <c r="BL14" s="6"/>
      <c r="BQ14" s="6"/>
      <c r="BV14" s="6"/>
      <c r="CA14" s="6"/>
      <c r="CF14" s="6"/>
      <c r="CK14" s="6"/>
      <c r="CP14" s="6"/>
      <c r="CU14" s="6"/>
      <c r="CZ14" s="6"/>
    </row>
    <row r="15" spans="1:104" x14ac:dyDescent="0.25">
      <c r="D15" s="53" t="s">
        <v>981</v>
      </c>
      <c r="I15" s="53" t="s">
        <v>982</v>
      </c>
      <c r="N15" s="53" t="s">
        <v>983</v>
      </c>
      <c r="S15" s="53" t="s">
        <v>664</v>
      </c>
      <c r="X15" s="53" t="s">
        <v>665</v>
      </c>
      <c r="AC15" s="53" t="s">
        <v>667</v>
      </c>
      <c r="AH15" t="s">
        <v>670</v>
      </c>
      <c r="AM15" s="53" t="s">
        <v>672</v>
      </c>
      <c r="AR15" s="53" t="s">
        <v>674</v>
      </c>
      <c r="AW15" t="s">
        <v>676</v>
      </c>
      <c r="BB15" t="s">
        <v>984</v>
      </c>
      <c r="BG15" t="s">
        <v>985</v>
      </c>
      <c r="BL15" t="s">
        <v>986</v>
      </c>
      <c r="BQ15" t="s">
        <v>987</v>
      </c>
      <c r="BV15" t="s">
        <v>988</v>
      </c>
      <c r="CA15" t="s">
        <v>989</v>
      </c>
      <c r="CF15" t="s">
        <v>990</v>
      </c>
      <c r="CK15" t="s">
        <v>991</v>
      </c>
      <c r="CP15" t="s">
        <v>992</v>
      </c>
      <c r="CU15" t="s">
        <v>993</v>
      </c>
      <c r="CX15" t="s">
        <v>994</v>
      </c>
    </row>
    <row r="16" spans="1:104" x14ac:dyDescent="0.2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25">
      <c r="A17" t="s">
        <v>995</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2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2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2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25">
      <c r="D21" s="6"/>
      <c r="I21" s="6"/>
      <c r="N21" s="6"/>
      <c r="S21" s="6"/>
      <c r="X21" s="6"/>
      <c r="AC21" s="6"/>
      <c r="AH21" s="6"/>
      <c r="AM21" s="6"/>
      <c r="AR21" s="6"/>
      <c r="AW21" s="6"/>
      <c r="BB21" s="6"/>
      <c r="BG21" s="6"/>
      <c r="BL21" s="6"/>
      <c r="BQ21" s="6"/>
      <c r="BV21" s="6"/>
      <c r="CA21" s="6"/>
      <c r="CF21" s="6"/>
      <c r="CK21" s="6"/>
      <c r="CP21" s="6"/>
      <c r="CU21" s="6"/>
      <c r="CZ21" s="6"/>
    </row>
    <row r="22" spans="1:104" x14ac:dyDescent="0.25">
      <c r="B22" s="6"/>
      <c r="C22" s="6"/>
      <c r="D22" s="6"/>
      <c r="E22" s="6"/>
      <c r="F22" s="6"/>
      <c r="G22" s="6"/>
      <c r="H22" s="6"/>
      <c r="I22" s="6"/>
      <c r="J22" s="6"/>
      <c r="K22" s="6"/>
      <c r="L22" s="6"/>
      <c r="M22" s="6"/>
      <c r="N22" s="6"/>
      <c r="O22" s="6"/>
      <c r="P22" s="6"/>
      <c r="Q22" s="6"/>
      <c r="R22" s="6"/>
      <c r="S22" s="6"/>
      <c r="T22" s="6"/>
      <c r="U22" s="6"/>
      <c r="V22" s="6"/>
    </row>
    <row r="24" spans="1:104" x14ac:dyDescent="0.25">
      <c r="CE24" t="s">
        <v>996</v>
      </c>
      <c r="CF24">
        <v>0.95</v>
      </c>
      <c r="CK24">
        <v>0.92</v>
      </c>
      <c r="CP24">
        <v>0.75</v>
      </c>
      <c r="CU24">
        <v>0.57999999999999996</v>
      </c>
      <c r="CX24">
        <v>1</v>
      </c>
    </row>
    <row r="25" spans="1:104" x14ac:dyDescent="0.25">
      <c r="CE25" t="s">
        <v>997</v>
      </c>
      <c r="CF25">
        <v>0.94</v>
      </c>
      <c r="CK25">
        <v>0.92</v>
      </c>
      <c r="CP25">
        <v>0.71</v>
      </c>
      <c r="CU25">
        <v>0.4</v>
      </c>
      <c r="CX25">
        <v>1</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64"/>
      <c r="B1" s="464"/>
      <c r="C1" s="464"/>
      <c r="D1" s="464"/>
      <c r="E1" s="464"/>
      <c r="F1" s="464"/>
      <c r="G1" s="464"/>
      <c r="H1" s="464"/>
      <c r="I1" s="46"/>
      <c r="J1" s="46"/>
      <c r="K1" s="46"/>
      <c r="L1" s="46"/>
      <c r="M1" s="46"/>
      <c r="N1" s="46"/>
      <c r="O1" s="46"/>
      <c r="P1" s="46"/>
      <c r="Q1" s="46"/>
      <c r="R1" s="46"/>
      <c r="S1" s="46"/>
      <c r="T1" s="46"/>
      <c r="U1" s="46"/>
      <c r="V1" s="46"/>
      <c r="W1" s="46"/>
      <c r="X1" s="46"/>
      <c r="Y1" s="46"/>
      <c r="Z1" s="46"/>
      <c r="AA1" s="46"/>
      <c r="AB1" s="46"/>
      <c r="AC1" s="46"/>
    </row>
    <row r="2" spans="1:29" ht="12" x14ac:dyDescent="0.2">
      <c r="A2" s="464"/>
      <c r="B2" s="464"/>
      <c r="C2" s="464"/>
      <c r="D2" s="464"/>
      <c r="E2" s="464"/>
      <c r="F2" s="464"/>
      <c r="G2" s="464"/>
      <c r="H2" s="464"/>
      <c r="I2" s="46"/>
      <c r="J2" s="46"/>
      <c r="K2" s="46"/>
      <c r="L2" s="46"/>
      <c r="M2" s="46"/>
      <c r="N2" s="46"/>
      <c r="O2" s="46"/>
      <c r="P2" s="46"/>
      <c r="Q2" s="46"/>
      <c r="R2" s="46"/>
      <c r="S2" s="46"/>
      <c r="T2" s="46"/>
      <c r="U2" s="46"/>
      <c r="V2" s="46"/>
      <c r="W2" s="46"/>
      <c r="X2" s="46"/>
      <c r="Y2" s="46"/>
      <c r="Z2" s="46"/>
      <c r="AA2" s="46"/>
      <c r="AB2" s="46"/>
      <c r="AC2" s="46"/>
    </row>
    <row r="3" spans="1:29" ht="12" x14ac:dyDescent="0.2">
      <c r="A3" s="464"/>
      <c r="B3" s="464"/>
      <c r="C3" s="464"/>
      <c r="D3" s="464"/>
      <c r="E3" s="464"/>
      <c r="F3" s="464"/>
      <c r="G3" s="464"/>
      <c r="H3" s="464"/>
      <c r="I3" s="46"/>
      <c r="J3" s="46"/>
      <c r="K3" s="46"/>
      <c r="L3" s="46"/>
      <c r="M3" s="46"/>
      <c r="N3" s="46"/>
      <c r="O3" s="46"/>
      <c r="P3" s="46"/>
      <c r="Q3" s="46"/>
      <c r="R3" s="46"/>
      <c r="S3" s="46"/>
      <c r="T3" s="46"/>
      <c r="U3" s="46"/>
      <c r="V3" s="46"/>
      <c r="W3" s="46"/>
      <c r="X3" s="46"/>
      <c r="Y3" s="46"/>
      <c r="Z3" s="46"/>
      <c r="AA3" s="46"/>
      <c r="AB3" s="46"/>
      <c r="AC3" s="46"/>
    </row>
    <row r="4" spans="1:29" ht="12" x14ac:dyDescent="0.2">
      <c r="A4" s="464"/>
      <c r="B4" s="464"/>
      <c r="C4" s="464"/>
      <c r="D4" s="464"/>
      <c r="E4" s="464"/>
      <c r="F4" s="464"/>
      <c r="G4" s="464"/>
      <c r="H4" s="464"/>
      <c r="I4" s="46"/>
      <c r="J4" s="46"/>
      <c r="K4" s="46"/>
      <c r="L4" s="46"/>
      <c r="M4" s="46"/>
      <c r="N4" s="46"/>
      <c r="O4" s="46"/>
      <c r="P4" s="46"/>
      <c r="Q4" s="46"/>
      <c r="R4" s="46"/>
      <c r="S4" s="46"/>
      <c r="T4" s="46"/>
      <c r="U4" s="46"/>
      <c r="V4" s="46"/>
      <c r="W4" s="46"/>
      <c r="X4" s="46"/>
      <c r="Y4" s="46"/>
      <c r="Z4" s="46"/>
      <c r="AA4" s="46"/>
      <c r="AB4" s="46"/>
      <c r="AC4" s="46"/>
    </row>
    <row r="5" spans="1:29" ht="15.75" x14ac:dyDescent="0.25">
      <c r="A5" s="465" t="s">
        <v>998</v>
      </c>
      <c r="B5" s="465"/>
      <c r="C5" s="465"/>
      <c r="D5" s="465"/>
      <c r="E5" s="465"/>
      <c r="F5" s="465"/>
      <c r="G5" s="465"/>
      <c r="H5" s="465"/>
      <c r="I5" s="46"/>
      <c r="J5" s="46"/>
      <c r="K5" s="46"/>
      <c r="L5" s="46"/>
      <c r="M5" s="46"/>
      <c r="N5" s="46"/>
      <c r="O5" s="46"/>
      <c r="P5" s="46"/>
      <c r="Q5" s="46"/>
      <c r="R5" s="46"/>
      <c r="S5" s="46"/>
      <c r="T5" s="46"/>
      <c r="U5" s="46"/>
      <c r="V5" s="46"/>
      <c r="W5" s="46"/>
      <c r="X5" s="46"/>
      <c r="Y5" s="46"/>
      <c r="Z5" s="46"/>
      <c r="AA5" s="46"/>
      <c r="AB5" s="46"/>
      <c r="AC5" s="46"/>
    </row>
    <row r="6" spans="1:29" ht="12.75" x14ac:dyDescent="0.2">
      <c r="A6" s="463" t="s">
        <v>999</v>
      </c>
      <c r="B6" s="463"/>
      <c r="C6" s="463"/>
      <c r="D6" s="463"/>
      <c r="E6" s="463"/>
      <c r="F6" s="463"/>
      <c r="G6" s="463"/>
      <c r="H6" s="463"/>
      <c r="I6" s="46"/>
      <c r="J6" s="46"/>
      <c r="K6" s="46"/>
      <c r="L6" s="46"/>
      <c r="M6" s="46"/>
      <c r="N6" s="46"/>
      <c r="O6" s="46"/>
      <c r="P6" s="46"/>
      <c r="Q6" s="46"/>
      <c r="R6" s="46"/>
      <c r="S6" s="46"/>
      <c r="T6" s="46"/>
      <c r="U6" s="46"/>
      <c r="V6" s="46"/>
      <c r="W6" s="46"/>
      <c r="X6" s="46"/>
      <c r="Y6" s="46"/>
      <c r="Z6" s="46"/>
      <c r="AA6" s="46"/>
      <c r="AB6" s="46"/>
      <c r="AC6" s="46"/>
    </row>
    <row r="7" spans="1:29" ht="12.75" x14ac:dyDescent="0.2">
      <c r="A7" s="463" t="s">
        <v>1000</v>
      </c>
      <c r="B7" s="463"/>
      <c r="C7" s="463"/>
      <c r="D7" s="463"/>
      <c r="E7" s="463"/>
      <c r="F7" s="463"/>
      <c r="G7" s="463"/>
      <c r="H7" s="463"/>
      <c r="I7" s="46"/>
      <c r="J7" s="46"/>
      <c r="K7" s="46"/>
      <c r="L7" s="46"/>
      <c r="M7" s="46"/>
      <c r="N7" s="46"/>
      <c r="O7" s="46"/>
      <c r="P7" s="46"/>
      <c r="Q7" s="46"/>
      <c r="R7" s="46"/>
      <c r="S7" s="46"/>
      <c r="T7" s="46"/>
      <c r="U7" s="46"/>
      <c r="V7" s="46"/>
      <c r="W7" s="46"/>
      <c r="X7" s="46"/>
      <c r="Y7" s="46"/>
      <c r="Z7" s="46"/>
      <c r="AA7" s="46"/>
      <c r="AB7" s="46"/>
      <c r="AC7" s="46"/>
    </row>
    <row r="8" spans="1:29" ht="12" x14ac:dyDescent="0.2">
      <c r="A8" s="464"/>
      <c r="B8" s="464"/>
      <c r="C8" s="464"/>
      <c r="D8" s="464"/>
      <c r="E8" s="464"/>
      <c r="F8" s="464"/>
      <c r="G8" s="464"/>
      <c r="H8" s="464"/>
      <c r="I8" s="46"/>
      <c r="J8" s="46"/>
      <c r="K8" s="46"/>
      <c r="L8" s="46"/>
      <c r="M8" s="46"/>
      <c r="N8" s="46"/>
      <c r="O8" s="46"/>
      <c r="P8" s="46"/>
      <c r="Q8" s="46"/>
      <c r="R8" s="46"/>
      <c r="S8" s="46"/>
      <c r="T8" s="46"/>
      <c r="U8" s="46"/>
      <c r="V8" s="46"/>
      <c r="W8" s="46"/>
      <c r="X8" s="46"/>
      <c r="Y8" s="46"/>
      <c r="Z8" s="46"/>
      <c r="AA8" s="46"/>
      <c r="AB8" s="46"/>
      <c r="AC8" s="46"/>
    </row>
    <row r="9" spans="1:29" ht="12.75" x14ac:dyDescent="0.2">
      <c r="A9" s="469" t="s">
        <v>1001</v>
      </c>
      <c r="B9" s="469"/>
      <c r="C9" s="469"/>
      <c r="D9" s="469"/>
      <c r="E9" s="469"/>
      <c r="F9" s="469"/>
      <c r="G9" s="469"/>
      <c r="H9" s="469"/>
      <c r="I9" s="46"/>
      <c r="J9" s="46"/>
      <c r="K9" s="46"/>
      <c r="L9" s="46"/>
      <c r="M9" s="46"/>
      <c r="N9" s="46"/>
      <c r="O9" s="46"/>
      <c r="P9" s="46"/>
      <c r="Q9" s="46"/>
      <c r="R9" s="46"/>
      <c r="S9" s="46"/>
      <c r="T9" s="46"/>
      <c r="U9" s="46"/>
      <c r="V9" s="46"/>
      <c r="W9" s="46"/>
      <c r="X9" s="46"/>
      <c r="Y9" s="46"/>
      <c r="Z9" s="46"/>
      <c r="AA9" s="46"/>
      <c r="AB9" s="46"/>
      <c r="AC9" s="46"/>
    </row>
    <row r="10" spans="1:29" ht="12.75" x14ac:dyDescent="0.2">
      <c r="A10" s="463" t="s">
        <v>1002</v>
      </c>
      <c r="B10" s="463"/>
      <c r="C10" s="463"/>
      <c r="D10" s="463"/>
      <c r="E10" s="463"/>
      <c r="F10" s="463"/>
      <c r="G10" s="463"/>
      <c r="H10" s="463"/>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70" t="s">
        <v>1003</v>
      </c>
      <c r="B11" s="470"/>
      <c r="C11" s="470"/>
      <c r="D11" s="470"/>
      <c r="E11" s="470"/>
      <c r="F11" s="470"/>
      <c r="G11" s="470"/>
      <c r="H11" s="470"/>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71" t="s">
        <v>1004</v>
      </c>
      <c r="B12" s="471"/>
      <c r="C12" s="471"/>
      <c r="D12" s="471"/>
      <c r="E12" s="471"/>
      <c r="F12" s="471"/>
      <c r="G12" s="471"/>
      <c r="H12" s="471"/>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66" t="s">
        <v>1005</v>
      </c>
      <c r="B13" s="466"/>
      <c r="C13" s="466"/>
      <c r="D13" s="466"/>
      <c r="E13" s="466"/>
      <c r="F13" s="466"/>
      <c r="G13" s="466"/>
      <c r="H13" s="466"/>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67" t="s">
        <v>1006</v>
      </c>
      <c r="B14" s="467"/>
      <c r="C14" s="467"/>
      <c r="D14" s="467"/>
      <c r="E14" s="467"/>
      <c r="F14" s="467"/>
      <c r="G14" s="467"/>
      <c r="H14" s="467"/>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68"/>
      <c r="B15" s="468"/>
      <c r="C15" s="468"/>
      <c r="D15" s="468"/>
      <c r="E15" s="468"/>
      <c r="F15" s="468"/>
      <c r="G15" s="468"/>
      <c r="H15" s="468"/>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2" x14ac:dyDescent="0.2">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2" x14ac:dyDescent="0.2">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2" x14ac:dyDescent="0.2">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2" x14ac:dyDescent="0.2">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2" x14ac:dyDescent="0.2">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2" x14ac:dyDescent="0.2">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2" x14ac:dyDescent="0.2">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2" x14ac:dyDescent="0.2">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2" x14ac:dyDescent="0.2">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2" x14ac:dyDescent="0.2">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2" x14ac:dyDescent="0.2">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2" x14ac:dyDescent="0.2">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2" x14ac:dyDescent="0.2">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2" x14ac:dyDescent="0.2">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2" x14ac:dyDescent="0.2">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2" x14ac:dyDescent="0.2">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2" x14ac:dyDescent="0.2">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2" x14ac:dyDescent="0.2">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2" x14ac:dyDescent="0.2">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2" x14ac:dyDescent="0.2">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2" x14ac:dyDescent="0.2">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2" x14ac:dyDescent="0.2">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2" x14ac:dyDescent="0.2">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2" x14ac:dyDescent="0.2">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2" x14ac:dyDescent="0.2">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2" x14ac:dyDescent="0.2">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2" x14ac:dyDescent="0.2">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2" x14ac:dyDescent="0.2">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2" x14ac:dyDescent="0.2">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2" x14ac:dyDescent="0.2">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2" x14ac:dyDescent="0.2">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2" x14ac:dyDescent="0.2">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2" x14ac:dyDescent="0.2">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2" x14ac:dyDescent="0.2">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2" x14ac:dyDescent="0.2">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2" x14ac:dyDescent="0.2">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2" x14ac:dyDescent="0.2">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2" x14ac:dyDescent="0.2">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2" x14ac:dyDescent="0.2">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2" x14ac:dyDescent="0.2">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2" x14ac:dyDescent="0.2">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2" x14ac:dyDescent="0.2">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2" x14ac:dyDescent="0.2">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2" x14ac:dyDescent="0.2">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2" x14ac:dyDescent="0.2">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2" x14ac:dyDescent="0.2">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2" x14ac:dyDescent="0.2">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2" x14ac:dyDescent="0.2">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2" x14ac:dyDescent="0.2">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2" x14ac:dyDescent="0.2">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2" x14ac:dyDescent="0.2">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2" x14ac:dyDescent="0.2">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2" x14ac:dyDescent="0.2">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2" x14ac:dyDescent="0.2">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2" x14ac:dyDescent="0.2">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2" x14ac:dyDescent="0.2">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2" x14ac:dyDescent="0.2">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2" x14ac:dyDescent="0.2">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2" x14ac:dyDescent="0.2">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2" x14ac:dyDescent="0.2">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2" x14ac:dyDescent="0.2">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2" x14ac:dyDescent="0.2">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2" x14ac:dyDescent="0.2">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2" x14ac:dyDescent="0.2">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2" x14ac:dyDescent="0.2">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2" x14ac:dyDescent="0.2">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2" x14ac:dyDescent="0.2">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2" x14ac:dyDescent="0.2">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2" x14ac:dyDescent="0.2">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2" x14ac:dyDescent="0.2">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2" x14ac:dyDescent="0.2">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2" x14ac:dyDescent="0.2">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2" x14ac:dyDescent="0.2">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2" x14ac:dyDescent="0.2">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2" x14ac:dyDescent="0.2">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4" x14ac:dyDescent="0.2">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4" x14ac:dyDescent="0.2">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4" x14ac:dyDescent="0.2">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4" x14ac:dyDescent="0.2">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4" x14ac:dyDescent="0.2">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4" x14ac:dyDescent="0.2">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4" x14ac:dyDescent="0.2">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4" x14ac:dyDescent="0.2">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4" x14ac:dyDescent="0.2">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4" x14ac:dyDescent="0.2">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4" x14ac:dyDescent="0.2">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4" x14ac:dyDescent="0.2">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4" x14ac:dyDescent="0.2">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4" x14ac:dyDescent="0.2">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4" x14ac:dyDescent="0.2">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2" x14ac:dyDescent="0.2">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2" x14ac:dyDescent="0.2">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2" x14ac:dyDescent="0.2">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2" x14ac:dyDescent="0.2">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2" x14ac:dyDescent="0.2">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2" x14ac:dyDescent="0.2">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2" x14ac:dyDescent="0.2">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2" x14ac:dyDescent="0.2">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2" x14ac:dyDescent="0.2">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2" x14ac:dyDescent="0.2">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2" x14ac:dyDescent="0.2">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2" x14ac:dyDescent="0.2">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2" x14ac:dyDescent="0.2">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2" x14ac:dyDescent="0.2">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2" x14ac:dyDescent="0.2">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2" x14ac:dyDescent="0.2">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2" x14ac:dyDescent="0.2">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2" x14ac:dyDescent="0.2">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2" x14ac:dyDescent="0.2">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2" x14ac:dyDescent="0.2">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2" x14ac:dyDescent="0.2">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2" x14ac:dyDescent="0.2">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2" x14ac:dyDescent="0.2">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2" x14ac:dyDescent="0.2">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2" x14ac:dyDescent="0.2">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2" x14ac:dyDescent="0.2">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2" x14ac:dyDescent="0.2">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2" x14ac:dyDescent="0.2">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2" x14ac:dyDescent="0.2">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2" x14ac:dyDescent="0.2">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2" x14ac:dyDescent="0.2">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2" x14ac:dyDescent="0.2">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2" x14ac:dyDescent="0.2">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2" x14ac:dyDescent="0.2">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2" x14ac:dyDescent="0.2">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2" x14ac:dyDescent="0.2">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2" x14ac:dyDescent="0.2">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2" x14ac:dyDescent="0.2">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2" x14ac:dyDescent="0.2">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2" x14ac:dyDescent="0.2">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2" x14ac:dyDescent="0.2">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2" x14ac:dyDescent="0.2">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2" x14ac:dyDescent="0.2">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2" x14ac:dyDescent="0.2">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2" x14ac:dyDescent="0.2">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2" x14ac:dyDescent="0.2">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2" x14ac:dyDescent="0.2">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2" x14ac:dyDescent="0.2">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2" x14ac:dyDescent="0.2">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2" x14ac:dyDescent="0.2">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2" x14ac:dyDescent="0.2">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2" x14ac:dyDescent="0.2">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2" x14ac:dyDescent="0.2">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2" x14ac:dyDescent="0.2">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2" x14ac:dyDescent="0.2">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2" x14ac:dyDescent="0.2">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2" x14ac:dyDescent="0.2">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2" x14ac:dyDescent="0.2">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2" x14ac:dyDescent="0.2">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2" x14ac:dyDescent="0.2">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2" x14ac:dyDescent="0.2">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2" x14ac:dyDescent="0.2">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2" x14ac:dyDescent="0.2">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2" x14ac:dyDescent="0.2">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2" x14ac:dyDescent="0.2">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2" x14ac:dyDescent="0.2">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2" x14ac:dyDescent="0.2">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2" x14ac:dyDescent="0.2">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2" x14ac:dyDescent="0.2">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2" x14ac:dyDescent="0.2">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2" x14ac:dyDescent="0.2">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2" x14ac:dyDescent="0.2">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2" x14ac:dyDescent="0.2">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2" x14ac:dyDescent="0.2">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2" x14ac:dyDescent="0.2">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2" x14ac:dyDescent="0.2">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2" x14ac:dyDescent="0.2">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2" x14ac:dyDescent="0.2">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2" x14ac:dyDescent="0.2">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2" x14ac:dyDescent="0.2">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2" x14ac:dyDescent="0.2">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2" x14ac:dyDescent="0.2">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2" x14ac:dyDescent="0.2">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2" x14ac:dyDescent="0.2">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2" x14ac:dyDescent="0.2">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2" x14ac:dyDescent="0.2">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2" x14ac:dyDescent="0.2">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2" x14ac:dyDescent="0.2">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2" x14ac:dyDescent="0.2">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2" x14ac:dyDescent="0.2">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2" x14ac:dyDescent="0.2">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2" x14ac:dyDescent="0.2">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2" x14ac:dyDescent="0.2">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2" x14ac:dyDescent="0.2">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2" x14ac:dyDescent="0.2">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2" x14ac:dyDescent="0.2">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2" x14ac:dyDescent="0.2">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2" x14ac:dyDescent="0.2">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2" x14ac:dyDescent="0.2">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2" x14ac:dyDescent="0.2">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2" x14ac:dyDescent="0.2">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2" x14ac:dyDescent="0.2">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2" x14ac:dyDescent="0.2">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2" x14ac:dyDescent="0.2">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2" x14ac:dyDescent="0.2">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2" x14ac:dyDescent="0.2">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2" x14ac:dyDescent="0.2">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2" x14ac:dyDescent="0.2">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2" x14ac:dyDescent="0.2">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2" x14ac:dyDescent="0.2">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2" x14ac:dyDescent="0.2">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2" x14ac:dyDescent="0.2">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2" x14ac:dyDescent="0.2">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2" x14ac:dyDescent="0.2">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2" x14ac:dyDescent="0.2">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2" x14ac:dyDescent="0.2">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2" x14ac:dyDescent="0.2">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2" x14ac:dyDescent="0.2">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2" x14ac:dyDescent="0.2">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2" x14ac:dyDescent="0.2">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2" x14ac:dyDescent="0.2">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2" x14ac:dyDescent="0.2">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2" x14ac:dyDescent="0.2">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2" x14ac:dyDescent="0.2">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2" x14ac:dyDescent="0.2">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2" x14ac:dyDescent="0.2">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2" x14ac:dyDescent="0.2">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2" x14ac:dyDescent="0.2">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2" x14ac:dyDescent="0.2">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2" x14ac:dyDescent="0.2">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2" x14ac:dyDescent="0.2">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2" x14ac:dyDescent="0.2">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2" x14ac:dyDescent="0.2">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2" x14ac:dyDescent="0.2">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2" x14ac:dyDescent="0.2">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2" x14ac:dyDescent="0.2">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2" x14ac:dyDescent="0.2">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2" x14ac:dyDescent="0.2">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2" x14ac:dyDescent="0.2">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2" x14ac:dyDescent="0.2">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2" x14ac:dyDescent="0.2">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2" x14ac:dyDescent="0.2">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2" x14ac:dyDescent="0.2">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2" x14ac:dyDescent="0.2">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2" x14ac:dyDescent="0.2">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2" x14ac:dyDescent="0.2">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2" x14ac:dyDescent="0.2">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2" x14ac:dyDescent="0.2">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2" x14ac:dyDescent="0.2">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2" x14ac:dyDescent="0.2">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2" x14ac:dyDescent="0.2">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2" x14ac:dyDescent="0.2">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2" x14ac:dyDescent="0.2">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2" x14ac:dyDescent="0.2">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2" x14ac:dyDescent="0.2">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2" x14ac:dyDescent="0.2">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2" x14ac:dyDescent="0.2">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2" x14ac:dyDescent="0.2">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2" x14ac:dyDescent="0.2">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2" x14ac:dyDescent="0.2">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2" x14ac:dyDescent="0.2">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2" x14ac:dyDescent="0.2">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2" x14ac:dyDescent="0.2">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2" x14ac:dyDescent="0.2">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2" x14ac:dyDescent="0.2">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2" x14ac:dyDescent="0.2">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2" x14ac:dyDescent="0.2">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2" x14ac:dyDescent="0.2">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2" x14ac:dyDescent="0.2">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2" x14ac:dyDescent="0.2">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2" x14ac:dyDescent="0.2">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2" x14ac:dyDescent="0.2">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2" x14ac:dyDescent="0.2">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2" x14ac:dyDescent="0.2">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2" x14ac:dyDescent="0.2">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2" x14ac:dyDescent="0.2">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2" x14ac:dyDescent="0.2">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2" x14ac:dyDescent="0.2">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2" x14ac:dyDescent="0.2">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2" x14ac:dyDescent="0.2">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2" x14ac:dyDescent="0.2">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2" x14ac:dyDescent="0.2">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2" x14ac:dyDescent="0.2">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2" x14ac:dyDescent="0.2">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2" x14ac:dyDescent="0.2">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2" x14ac:dyDescent="0.2">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2" x14ac:dyDescent="0.2">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2" x14ac:dyDescent="0.2">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2" x14ac:dyDescent="0.2">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2" x14ac:dyDescent="0.2">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2" x14ac:dyDescent="0.2">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2" x14ac:dyDescent="0.2">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2" x14ac:dyDescent="0.2">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2" x14ac:dyDescent="0.2">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2" x14ac:dyDescent="0.2">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2" x14ac:dyDescent="0.2">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2" x14ac:dyDescent="0.2">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2" x14ac:dyDescent="0.2">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2" x14ac:dyDescent="0.2">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2" x14ac:dyDescent="0.2">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2" x14ac:dyDescent="0.2">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2" x14ac:dyDescent="0.2">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2" x14ac:dyDescent="0.2">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2" x14ac:dyDescent="0.2">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2" x14ac:dyDescent="0.2">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2" x14ac:dyDescent="0.2">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2" x14ac:dyDescent="0.2">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2" x14ac:dyDescent="0.2">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2" x14ac:dyDescent="0.2">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2" x14ac:dyDescent="0.2">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2" x14ac:dyDescent="0.2">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2" x14ac:dyDescent="0.2">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2" x14ac:dyDescent="0.2">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2" x14ac:dyDescent="0.2">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2" x14ac:dyDescent="0.2">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2" x14ac:dyDescent="0.2">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2" x14ac:dyDescent="0.2">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2" x14ac:dyDescent="0.2">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2" x14ac:dyDescent="0.2">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2" x14ac:dyDescent="0.2">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2" x14ac:dyDescent="0.2">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2" x14ac:dyDescent="0.2">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2" x14ac:dyDescent="0.2">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2" x14ac:dyDescent="0.2">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2" x14ac:dyDescent="0.2">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2" x14ac:dyDescent="0.2">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2" x14ac:dyDescent="0.2">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2" x14ac:dyDescent="0.2">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2" x14ac:dyDescent="0.2">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2" x14ac:dyDescent="0.2">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2" x14ac:dyDescent="0.2">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2" x14ac:dyDescent="0.2">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2" x14ac:dyDescent="0.2">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2" x14ac:dyDescent="0.2">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2" x14ac:dyDescent="0.2">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2" x14ac:dyDescent="0.2">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2" x14ac:dyDescent="0.2">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2" x14ac:dyDescent="0.2">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2" x14ac:dyDescent="0.2">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2" x14ac:dyDescent="0.2">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2" x14ac:dyDescent="0.2">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2" x14ac:dyDescent="0.2">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2" x14ac:dyDescent="0.2">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2" x14ac:dyDescent="0.2">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2" x14ac:dyDescent="0.2">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2" x14ac:dyDescent="0.2">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2" x14ac:dyDescent="0.2">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2" x14ac:dyDescent="0.2">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2" x14ac:dyDescent="0.2">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2" x14ac:dyDescent="0.2">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2" x14ac:dyDescent="0.2">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2" x14ac:dyDescent="0.2">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2" x14ac:dyDescent="0.2">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2" x14ac:dyDescent="0.2">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2" x14ac:dyDescent="0.2">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2" x14ac:dyDescent="0.2">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2" x14ac:dyDescent="0.2">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2" x14ac:dyDescent="0.2">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2" x14ac:dyDescent="0.2">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2" x14ac:dyDescent="0.2">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2" x14ac:dyDescent="0.2">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2" x14ac:dyDescent="0.2">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2" x14ac:dyDescent="0.2">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2" x14ac:dyDescent="0.2">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2" x14ac:dyDescent="0.2">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2" x14ac:dyDescent="0.2">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2" x14ac:dyDescent="0.2">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2" x14ac:dyDescent="0.2">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2" x14ac:dyDescent="0.2">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2" x14ac:dyDescent="0.2">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2" x14ac:dyDescent="0.2">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2" x14ac:dyDescent="0.2">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2" x14ac:dyDescent="0.2">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2" x14ac:dyDescent="0.2">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2" x14ac:dyDescent="0.2">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2" x14ac:dyDescent="0.2">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2" x14ac:dyDescent="0.2">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2" x14ac:dyDescent="0.2">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2" x14ac:dyDescent="0.2">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2" x14ac:dyDescent="0.2">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2" x14ac:dyDescent="0.2">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2" x14ac:dyDescent="0.2">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2" x14ac:dyDescent="0.2">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2" x14ac:dyDescent="0.2">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2" x14ac:dyDescent="0.2">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2" x14ac:dyDescent="0.2">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2" x14ac:dyDescent="0.2">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2" x14ac:dyDescent="0.2">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2" x14ac:dyDescent="0.2">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2" x14ac:dyDescent="0.2">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2" x14ac:dyDescent="0.2">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2" x14ac:dyDescent="0.2">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2" x14ac:dyDescent="0.2">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2" x14ac:dyDescent="0.2">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2" x14ac:dyDescent="0.2">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2" x14ac:dyDescent="0.2">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2" x14ac:dyDescent="0.2">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2" x14ac:dyDescent="0.2">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2" x14ac:dyDescent="0.2">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2" x14ac:dyDescent="0.2">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2" x14ac:dyDescent="0.2">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2" x14ac:dyDescent="0.2">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2" x14ac:dyDescent="0.2">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2" x14ac:dyDescent="0.2">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2" x14ac:dyDescent="0.2">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2" x14ac:dyDescent="0.2">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2" x14ac:dyDescent="0.2">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2" x14ac:dyDescent="0.2">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2" x14ac:dyDescent="0.2">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2" x14ac:dyDescent="0.2">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2" x14ac:dyDescent="0.2">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2" x14ac:dyDescent="0.2">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2" x14ac:dyDescent="0.2">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2" x14ac:dyDescent="0.2">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2" x14ac:dyDescent="0.2">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2" x14ac:dyDescent="0.2">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2" x14ac:dyDescent="0.2">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2" x14ac:dyDescent="0.2">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2" x14ac:dyDescent="0.2">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2" x14ac:dyDescent="0.2">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2" x14ac:dyDescent="0.2">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2" x14ac:dyDescent="0.2">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2" x14ac:dyDescent="0.2">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2" x14ac:dyDescent="0.2">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2" x14ac:dyDescent="0.2">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2" x14ac:dyDescent="0.2">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2" x14ac:dyDescent="0.2">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2" x14ac:dyDescent="0.2">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2" x14ac:dyDescent="0.2">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2" x14ac:dyDescent="0.2">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2" x14ac:dyDescent="0.2">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2" x14ac:dyDescent="0.2">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2" x14ac:dyDescent="0.2">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2" x14ac:dyDescent="0.2">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2" x14ac:dyDescent="0.2">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2" x14ac:dyDescent="0.2">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2" x14ac:dyDescent="0.2">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2" x14ac:dyDescent="0.2">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2" x14ac:dyDescent="0.2">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2" x14ac:dyDescent="0.2">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2" x14ac:dyDescent="0.2">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2" x14ac:dyDescent="0.2">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2" x14ac:dyDescent="0.2">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2" x14ac:dyDescent="0.2">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2" x14ac:dyDescent="0.2">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2" x14ac:dyDescent="0.2">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2" x14ac:dyDescent="0.2">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2" x14ac:dyDescent="0.2">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2" x14ac:dyDescent="0.2">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2" x14ac:dyDescent="0.2">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2" x14ac:dyDescent="0.2">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2" x14ac:dyDescent="0.2">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2" x14ac:dyDescent="0.2">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2" x14ac:dyDescent="0.2">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2" x14ac:dyDescent="0.2">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2" x14ac:dyDescent="0.2">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2" x14ac:dyDescent="0.2">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2" x14ac:dyDescent="0.2">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2" x14ac:dyDescent="0.2">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2" x14ac:dyDescent="0.2">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2" x14ac:dyDescent="0.2">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2" x14ac:dyDescent="0.2">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2" x14ac:dyDescent="0.2">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2" x14ac:dyDescent="0.2">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2" x14ac:dyDescent="0.2">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2" x14ac:dyDescent="0.2">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2" x14ac:dyDescent="0.2">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2" x14ac:dyDescent="0.2">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2" x14ac:dyDescent="0.2">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2" x14ac:dyDescent="0.2">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2" x14ac:dyDescent="0.2">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2" x14ac:dyDescent="0.2">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2" x14ac:dyDescent="0.2">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2" x14ac:dyDescent="0.2">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2" x14ac:dyDescent="0.2">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2" x14ac:dyDescent="0.2">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2" x14ac:dyDescent="0.2">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2" x14ac:dyDescent="0.2">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2" x14ac:dyDescent="0.2">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2" x14ac:dyDescent="0.2">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2" x14ac:dyDescent="0.2">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2" x14ac:dyDescent="0.2">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2" x14ac:dyDescent="0.2">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2" x14ac:dyDescent="0.2">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2" x14ac:dyDescent="0.2">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2" x14ac:dyDescent="0.2">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2" x14ac:dyDescent="0.2">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2" x14ac:dyDescent="0.2">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2" x14ac:dyDescent="0.2">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2" x14ac:dyDescent="0.2">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2" x14ac:dyDescent="0.2">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2" x14ac:dyDescent="0.2">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2" x14ac:dyDescent="0.2">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2" x14ac:dyDescent="0.2">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2" x14ac:dyDescent="0.2">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2" x14ac:dyDescent="0.2">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2" x14ac:dyDescent="0.2">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2" x14ac:dyDescent="0.2">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2" x14ac:dyDescent="0.2">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2" x14ac:dyDescent="0.2">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2" x14ac:dyDescent="0.2">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2" x14ac:dyDescent="0.2">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2" x14ac:dyDescent="0.2">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2" x14ac:dyDescent="0.2">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2" x14ac:dyDescent="0.2">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2" x14ac:dyDescent="0.2">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2" x14ac:dyDescent="0.2">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2" x14ac:dyDescent="0.2">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2" x14ac:dyDescent="0.2">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2" x14ac:dyDescent="0.2">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2" x14ac:dyDescent="0.2">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2" x14ac:dyDescent="0.2">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2" x14ac:dyDescent="0.2">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2" x14ac:dyDescent="0.2">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2" x14ac:dyDescent="0.2">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2" x14ac:dyDescent="0.2">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2" x14ac:dyDescent="0.2">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2" x14ac:dyDescent="0.2">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2" x14ac:dyDescent="0.2">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2" x14ac:dyDescent="0.2">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2" x14ac:dyDescent="0.2">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2" x14ac:dyDescent="0.2">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2" x14ac:dyDescent="0.2">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2" x14ac:dyDescent="0.2">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2" x14ac:dyDescent="0.2">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2" x14ac:dyDescent="0.2">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2" x14ac:dyDescent="0.2">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2" x14ac:dyDescent="0.2">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2" x14ac:dyDescent="0.2">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2" x14ac:dyDescent="0.2">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2" x14ac:dyDescent="0.2">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2" x14ac:dyDescent="0.2">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2" x14ac:dyDescent="0.2">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2" x14ac:dyDescent="0.2">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2" x14ac:dyDescent="0.2">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2" x14ac:dyDescent="0.2">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2" x14ac:dyDescent="0.2">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2" x14ac:dyDescent="0.2">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2" x14ac:dyDescent="0.2">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2" x14ac:dyDescent="0.2">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2" x14ac:dyDescent="0.2">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2" x14ac:dyDescent="0.2">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2" x14ac:dyDescent="0.2">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2" x14ac:dyDescent="0.2">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2" x14ac:dyDescent="0.2">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2" x14ac:dyDescent="0.2">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2" x14ac:dyDescent="0.2">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2" x14ac:dyDescent="0.2">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2" x14ac:dyDescent="0.2">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2" x14ac:dyDescent="0.2">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2" x14ac:dyDescent="0.2">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2" x14ac:dyDescent="0.2">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2" x14ac:dyDescent="0.2">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2" x14ac:dyDescent="0.2">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2" x14ac:dyDescent="0.2">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2" x14ac:dyDescent="0.2">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2" x14ac:dyDescent="0.2">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2" x14ac:dyDescent="0.2">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2" x14ac:dyDescent="0.2">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2" x14ac:dyDescent="0.2">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2" x14ac:dyDescent="0.2">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2" x14ac:dyDescent="0.2">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2" x14ac:dyDescent="0.2">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2" x14ac:dyDescent="0.2">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2" x14ac:dyDescent="0.2">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2" x14ac:dyDescent="0.2">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2" x14ac:dyDescent="0.2">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2" x14ac:dyDescent="0.2">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2" x14ac:dyDescent="0.2">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2" x14ac:dyDescent="0.2">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2" x14ac:dyDescent="0.2">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2" x14ac:dyDescent="0.2">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2" x14ac:dyDescent="0.2">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2" x14ac:dyDescent="0.2">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2" x14ac:dyDescent="0.2">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2" x14ac:dyDescent="0.2">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2" x14ac:dyDescent="0.2">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2" x14ac:dyDescent="0.2">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2" x14ac:dyDescent="0.2">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2" x14ac:dyDescent="0.2">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2" x14ac:dyDescent="0.2">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2" x14ac:dyDescent="0.2">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2" x14ac:dyDescent="0.2">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2" x14ac:dyDescent="0.2">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2" x14ac:dyDescent="0.2">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2" x14ac:dyDescent="0.2">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2" x14ac:dyDescent="0.2">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2" x14ac:dyDescent="0.2">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2" x14ac:dyDescent="0.2">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2" x14ac:dyDescent="0.2">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2" x14ac:dyDescent="0.2">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2" x14ac:dyDescent="0.2">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2" x14ac:dyDescent="0.2">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2" x14ac:dyDescent="0.2">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2" x14ac:dyDescent="0.2">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2" x14ac:dyDescent="0.2">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2" x14ac:dyDescent="0.2">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2" x14ac:dyDescent="0.2">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2" x14ac:dyDescent="0.2">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2" x14ac:dyDescent="0.2">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2" x14ac:dyDescent="0.2">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2" x14ac:dyDescent="0.2">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2" x14ac:dyDescent="0.2">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2" x14ac:dyDescent="0.2">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2" x14ac:dyDescent="0.2">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2" x14ac:dyDescent="0.2">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2" x14ac:dyDescent="0.2">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2" x14ac:dyDescent="0.2">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2" x14ac:dyDescent="0.2">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2" x14ac:dyDescent="0.2">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2" x14ac:dyDescent="0.2">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2" x14ac:dyDescent="0.2">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2" x14ac:dyDescent="0.2">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2" x14ac:dyDescent="0.2">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2" x14ac:dyDescent="0.2">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2" x14ac:dyDescent="0.2">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2" x14ac:dyDescent="0.2">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2" x14ac:dyDescent="0.2">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2" x14ac:dyDescent="0.2">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2" x14ac:dyDescent="0.2">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2" x14ac:dyDescent="0.2">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2" x14ac:dyDescent="0.2">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2" x14ac:dyDescent="0.2">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2" x14ac:dyDescent="0.2">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2" x14ac:dyDescent="0.2">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2" x14ac:dyDescent="0.2">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2" x14ac:dyDescent="0.2">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2" x14ac:dyDescent="0.2">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2" x14ac:dyDescent="0.2">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2" x14ac:dyDescent="0.2">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2" x14ac:dyDescent="0.2">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2" x14ac:dyDescent="0.2">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2" x14ac:dyDescent="0.2">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2" x14ac:dyDescent="0.2">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2" x14ac:dyDescent="0.2">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2" x14ac:dyDescent="0.2">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2" x14ac:dyDescent="0.2">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2" x14ac:dyDescent="0.2">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2" x14ac:dyDescent="0.2">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2" x14ac:dyDescent="0.2">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2" x14ac:dyDescent="0.2">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2" x14ac:dyDescent="0.2">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2" x14ac:dyDescent="0.2">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2" x14ac:dyDescent="0.2">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2" x14ac:dyDescent="0.2">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2" x14ac:dyDescent="0.2">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2" x14ac:dyDescent="0.2">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2" x14ac:dyDescent="0.2">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2" x14ac:dyDescent="0.2">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2" x14ac:dyDescent="0.2">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2" x14ac:dyDescent="0.2">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2" x14ac:dyDescent="0.2">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2" x14ac:dyDescent="0.2">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2" x14ac:dyDescent="0.2">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2" x14ac:dyDescent="0.2">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2" x14ac:dyDescent="0.2">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2" x14ac:dyDescent="0.2">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2" x14ac:dyDescent="0.2">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2" x14ac:dyDescent="0.2">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2" x14ac:dyDescent="0.2">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2" x14ac:dyDescent="0.2">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2" x14ac:dyDescent="0.2">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2" x14ac:dyDescent="0.2">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2" x14ac:dyDescent="0.2">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2" x14ac:dyDescent="0.2">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2" x14ac:dyDescent="0.2">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2" x14ac:dyDescent="0.2">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2" x14ac:dyDescent="0.2">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2" x14ac:dyDescent="0.2">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2" x14ac:dyDescent="0.2">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2" x14ac:dyDescent="0.2">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2" x14ac:dyDescent="0.2">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2" x14ac:dyDescent="0.2">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2" x14ac:dyDescent="0.2">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2" x14ac:dyDescent="0.2">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2" x14ac:dyDescent="0.2">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2" x14ac:dyDescent="0.2">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2" x14ac:dyDescent="0.2">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2" x14ac:dyDescent="0.2">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2" x14ac:dyDescent="0.2">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2" x14ac:dyDescent="0.2">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2" x14ac:dyDescent="0.2">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2" x14ac:dyDescent="0.2">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2" x14ac:dyDescent="0.2">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2" x14ac:dyDescent="0.2">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2" x14ac:dyDescent="0.2">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2" x14ac:dyDescent="0.2">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2" x14ac:dyDescent="0.2">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2" x14ac:dyDescent="0.2">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2" x14ac:dyDescent="0.2">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2" x14ac:dyDescent="0.2">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2" x14ac:dyDescent="0.2">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2" x14ac:dyDescent="0.2">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2" x14ac:dyDescent="0.2">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2" x14ac:dyDescent="0.2">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2" x14ac:dyDescent="0.2">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2" x14ac:dyDescent="0.2">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2" x14ac:dyDescent="0.2">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2" x14ac:dyDescent="0.2">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2" x14ac:dyDescent="0.2">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2" x14ac:dyDescent="0.2">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2" x14ac:dyDescent="0.2">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2" x14ac:dyDescent="0.2">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2" x14ac:dyDescent="0.2">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2" x14ac:dyDescent="0.2">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2" x14ac:dyDescent="0.2">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2" x14ac:dyDescent="0.2">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2" x14ac:dyDescent="0.2">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2" x14ac:dyDescent="0.2">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2" x14ac:dyDescent="0.2">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2" x14ac:dyDescent="0.2">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2" x14ac:dyDescent="0.2">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2" x14ac:dyDescent="0.2">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2" x14ac:dyDescent="0.2">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2" x14ac:dyDescent="0.2">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2" x14ac:dyDescent="0.2">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2" x14ac:dyDescent="0.2">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2" x14ac:dyDescent="0.2">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2" x14ac:dyDescent="0.2">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2" x14ac:dyDescent="0.2">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2" x14ac:dyDescent="0.2">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2" x14ac:dyDescent="0.2">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2" x14ac:dyDescent="0.2">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2" x14ac:dyDescent="0.2">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2" x14ac:dyDescent="0.2">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2" x14ac:dyDescent="0.2">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2" x14ac:dyDescent="0.2">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2" x14ac:dyDescent="0.2">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2" x14ac:dyDescent="0.2">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2" x14ac:dyDescent="0.2">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2" x14ac:dyDescent="0.2">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2" x14ac:dyDescent="0.2">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2" x14ac:dyDescent="0.2">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2" x14ac:dyDescent="0.2">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2" x14ac:dyDescent="0.2">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2" x14ac:dyDescent="0.2">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2" x14ac:dyDescent="0.2">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2" x14ac:dyDescent="0.2">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2" x14ac:dyDescent="0.2">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2" x14ac:dyDescent="0.2">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2" x14ac:dyDescent="0.2">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2" x14ac:dyDescent="0.2">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2" x14ac:dyDescent="0.2">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2" x14ac:dyDescent="0.2">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2" x14ac:dyDescent="0.2">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2" x14ac:dyDescent="0.2">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2" x14ac:dyDescent="0.2">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2" x14ac:dyDescent="0.2">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2" x14ac:dyDescent="0.2">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2" x14ac:dyDescent="0.2">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2" x14ac:dyDescent="0.2">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2" x14ac:dyDescent="0.2">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2" x14ac:dyDescent="0.2">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2" x14ac:dyDescent="0.2">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2" x14ac:dyDescent="0.2">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2" x14ac:dyDescent="0.2">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2" x14ac:dyDescent="0.2">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2" x14ac:dyDescent="0.2">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2" x14ac:dyDescent="0.2">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2" x14ac:dyDescent="0.2">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2" x14ac:dyDescent="0.2">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2" x14ac:dyDescent="0.2">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2" x14ac:dyDescent="0.2">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2" x14ac:dyDescent="0.2">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2" x14ac:dyDescent="0.2">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2" x14ac:dyDescent="0.2">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2" x14ac:dyDescent="0.2">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2" x14ac:dyDescent="0.2">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2" x14ac:dyDescent="0.2">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2" x14ac:dyDescent="0.2">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2" x14ac:dyDescent="0.2">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2" x14ac:dyDescent="0.2">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2" x14ac:dyDescent="0.2">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2" x14ac:dyDescent="0.2">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2" x14ac:dyDescent="0.2">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2" x14ac:dyDescent="0.2">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2" x14ac:dyDescent="0.2">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2" x14ac:dyDescent="0.2">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2" x14ac:dyDescent="0.2">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2" x14ac:dyDescent="0.2">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2" x14ac:dyDescent="0.2">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2" x14ac:dyDescent="0.2">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2" x14ac:dyDescent="0.2">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2" x14ac:dyDescent="0.2">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2" x14ac:dyDescent="0.2">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2" x14ac:dyDescent="0.2">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2" x14ac:dyDescent="0.2">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2" x14ac:dyDescent="0.2">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2" x14ac:dyDescent="0.2">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2" x14ac:dyDescent="0.2">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2" x14ac:dyDescent="0.2">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2" x14ac:dyDescent="0.2">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2" x14ac:dyDescent="0.2">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2" x14ac:dyDescent="0.2">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2" x14ac:dyDescent="0.2">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2" x14ac:dyDescent="0.2">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2" x14ac:dyDescent="0.2">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2" x14ac:dyDescent="0.2">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2" x14ac:dyDescent="0.2">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2" x14ac:dyDescent="0.2">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2" x14ac:dyDescent="0.2">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2" x14ac:dyDescent="0.2">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2" x14ac:dyDescent="0.2">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2" x14ac:dyDescent="0.2">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2" x14ac:dyDescent="0.2">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2" x14ac:dyDescent="0.2">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2" x14ac:dyDescent="0.2">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2" x14ac:dyDescent="0.2">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2" x14ac:dyDescent="0.2">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2" x14ac:dyDescent="0.2">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2" x14ac:dyDescent="0.2">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2" x14ac:dyDescent="0.2">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2" x14ac:dyDescent="0.2">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2" x14ac:dyDescent="0.2">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2" x14ac:dyDescent="0.2">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2" x14ac:dyDescent="0.2">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2" x14ac:dyDescent="0.2">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2" x14ac:dyDescent="0.2">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2" x14ac:dyDescent="0.2">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2" x14ac:dyDescent="0.2">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2" x14ac:dyDescent="0.2">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2" x14ac:dyDescent="0.2">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2" x14ac:dyDescent="0.2">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2" x14ac:dyDescent="0.2">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2" x14ac:dyDescent="0.2">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2" x14ac:dyDescent="0.2">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2" x14ac:dyDescent="0.2">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2" x14ac:dyDescent="0.2">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2" x14ac:dyDescent="0.2">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2" x14ac:dyDescent="0.2">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2" x14ac:dyDescent="0.2">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2" x14ac:dyDescent="0.2">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2" x14ac:dyDescent="0.2">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2" x14ac:dyDescent="0.2">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2" x14ac:dyDescent="0.2">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2" x14ac:dyDescent="0.2">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2" x14ac:dyDescent="0.2">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2" x14ac:dyDescent="0.2">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2" x14ac:dyDescent="0.2">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2" x14ac:dyDescent="0.2">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2" x14ac:dyDescent="0.2">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2" x14ac:dyDescent="0.2">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2" x14ac:dyDescent="0.2">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2" x14ac:dyDescent="0.2">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2" x14ac:dyDescent="0.2">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2" x14ac:dyDescent="0.2">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2" x14ac:dyDescent="0.2">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2" x14ac:dyDescent="0.2">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2" x14ac:dyDescent="0.2">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2" x14ac:dyDescent="0.2">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2" x14ac:dyDescent="0.2">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2" x14ac:dyDescent="0.2">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2" x14ac:dyDescent="0.2">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2" x14ac:dyDescent="0.2">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2" x14ac:dyDescent="0.2">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2" x14ac:dyDescent="0.2">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2" x14ac:dyDescent="0.2">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2" x14ac:dyDescent="0.2">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2" x14ac:dyDescent="0.2">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2" x14ac:dyDescent="0.2">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2" x14ac:dyDescent="0.2">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2" x14ac:dyDescent="0.2">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2" x14ac:dyDescent="0.2">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2" x14ac:dyDescent="0.2">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2" x14ac:dyDescent="0.2">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2" x14ac:dyDescent="0.2">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2" x14ac:dyDescent="0.2">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2" x14ac:dyDescent="0.2">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2" x14ac:dyDescent="0.2">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2" x14ac:dyDescent="0.2">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2" x14ac:dyDescent="0.2">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2" x14ac:dyDescent="0.2">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2" x14ac:dyDescent="0.2">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2" x14ac:dyDescent="0.2">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2" x14ac:dyDescent="0.2">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2" x14ac:dyDescent="0.2">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2" x14ac:dyDescent="0.2">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2" x14ac:dyDescent="0.2">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2" x14ac:dyDescent="0.2">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2" x14ac:dyDescent="0.2">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2" x14ac:dyDescent="0.2">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2" x14ac:dyDescent="0.2">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2" x14ac:dyDescent="0.2">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2" x14ac:dyDescent="0.2">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2" x14ac:dyDescent="0.2">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2" x14ac:dyDescent="0.2">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2" x14ac:dyDescent="0.2">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2" x14ac:dyDescent="0.2">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2" x14ac:dyDescent="0.2">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2" x14ac:dyDescent="0.2">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2" x14ac:dyDescent="0.2">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2" x14ac:dyDescent="0.2">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2" x14ac:dyDescent="0.2">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2" x14ac:dyDescent="0.2">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2" x14ac:dyDescent="0.2">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2" x14ac:dyDescent="0.2">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2" x14ac:dyDescent="0.2">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2" x14ac:dyDescent="0.2">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2" x14ac:dyDescent="0.2">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2" x14ac:dyDescent="0.2">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2" x14ac:dyDescent="0.2">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2" x14ac:dyDescent="0.2">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2" x14ac:dyDescent="0.2">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2" x14ac:dyDescent="0.2">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2" x14ac:dyDescent="0.2">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2" x14ac:dyDescent="0.2">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2" x14ac:dyDescent="0.2">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2" x14ac:dyDescent="0.2">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2" x14ac:dyDescent="0.2">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2" x14ac:dyDescent="0.2">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2" x14ac:dyDescent="0.2">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2" x14ac:dyDescent="0.2">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2" x14ac:dyDescent="0.2">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2" x14ac:dyDescent="0.2">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2" x14ac:dyDescent="0.2">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2" x14ac:dyDescent="0.2">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2" x14ac:dyDescent="0.2">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2" x14ac:dyDescent="0.2">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2" x14ac:dyDescent="0.2">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2" x14ac:dyDescent="0.2">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2" x14ac:dyDescent="0.2">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2" x14ac:dyDescent="0.2">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2" x14ac:dyDescent="0.2">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2" x14ac:dyDescent="0.2">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2" x14ac:dyDescent="0.2">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2" x14ac:dyDescent="0.2">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2" x14ac:dyDescent="0.2">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2" x14ac:dyDescent="0.2">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2" x14ac:dyDescent="0.2">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2" x14ac:dyDescent="0.2">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2" x14ac:dyDescent="0.2">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2" x14ac:dyDescent="0.2">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2" x14ac:dyDescent="0.2">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2" x14ac:dyDescent="0.2">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2" x14ac:dyDescent="0.2">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2" x14ac:dyDescent="0.2">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2" x14ac:dyDescent="0.2">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2" x14ac:dyDescent="0.2">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2" x14ac:dyDescent="0.2">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2" x14ac:dyDescent="0.2">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2" x14ac:dyDescent="0.2">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2" x14ac:dyDescent="0.2">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2" x14ac:dyDescent="0.2">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2" x14ac:dyDescent="0.2">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2" x14ac:dyDescent="0.2">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2" x14ac:dyDescent="0.2">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2" x14ac:dyDescent="0.2">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2" x14ac:dyDescent="0.2">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2" x14ac:dyDescent="0.2">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2" x14ac:dyDescent="0.2">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2" x14ac:dyDescent="0.2">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2" x14ac:dyDescent="0.2">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2" x14ac:dyDescent="0.2">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2" x14ac:dyDescent="0.2">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2" x14ac:dyDescent="0.2">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2" x14ac:dyDescent="0.2">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2" x14ac:dyDescent="0.2">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2" x14ac:dyDescent="0.2">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2" x14ac:dyDescent="0.2">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2" x14ac:dyDescent="0.2">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2" x14ac:dyDescent="0.2">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2" x14ac:dyDescent="0.2">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2" x14ac:dyDescent="0.2">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2" x14ac:dyDescent="0.2">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2" x14ac:dyDescent="0.2">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2" x14ac:dyDescent="0.2">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2" x14ac:dyDescent="0.2">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2" x14ac:dyDescent="0.2">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2" x14ac:dyDescent="0.2">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2" x14ac:dyDescent="0.2">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2" x14ac:dyDescent="0.2">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2" x14ac:dyDescent="0.2">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2" x14ac:dyDescent="0.2">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2" x14ac:dyDescent="0.2">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2" x14ac:dyDescent="0.2">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2" x14ac:dyDescent="0.2">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2" x14ac:dyDescent="0.2">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2" x14ac:dyDescent="0.2">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2" x14ac:dyDescent="0.2">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2" x14ac:dyDescent="0.2">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2" x14ac:dyDescent="0.2">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2" x14ac:dyDescent="0.2">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2" x14ac:dyDescent="0.2">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2" x14ac:dyDescent="0.2">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2" x14ac:dyDescent="0.2">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2" x14ac:dyDescent="0.2">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2" x14ac:dyDescent="0.2">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2" x14ac:dyDescent="0.2">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2" x14ac:dyDescent="0.2">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2" x14ac:dyDescent="0.2">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2" x14ac:dyDescent="0.2">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2" x14ac:dyDescent="0.2">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2" x14ac:dyDescent="0.2">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2" x14ac:dyDescent="0.2">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2" x14ac:dyDescent="0.2">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2" x14ac:dyDescent="0.2">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2" x14ac:dyDescent="0.2">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2" x14ac:dyDescent="0.2">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2" x14ac:dyDescent="0.2">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2" x14ac:dyDescent="0.2">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2" x14ac:dyDescent="0.2">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2" x14ac:dyDescent="0.2">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2" x14ac:dyDescent="0.2">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2" x14ac:dyDescent="0.2">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2" x14ac:dyDescent="0.2">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2" x14ac:dyDescent="0.2">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2" x14ac:dyDescent="0.2">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2" x14ac:dyDescent="0.2">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2" x14ac:dyDescent="0.2">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2" x14ac:dyDescent="0.2">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2" x14ac:dyDescent="0.2">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2" x14ac:dyDescent="0.2">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2" x14ac:dyDescent="0.2">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2" x14ac:dyDescent="0.2">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2" x14ac:dyDescent="0.2">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2" x14ac:dyDescent="0.2">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2" x14ac:dyDescent="0.2">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2" x14ac:dyDescent="0.2">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2" x14ac:dyDescent="0.2">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2" x14ac:dyDescent="0.2">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2" x14ac:dyDescent="0.2">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2" x14ac:dyDescent="0.2">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2" x14ac:dyDescent="0.2">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2" x14ac:dyDescent="0.2">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2" x14ac:dyDescent="0.2">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2" x14ac:dyDescent="0.2">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2" x14ac:dyDescent="0.2">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2" x14ac:dyDescent="0.2">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2" x14ac:dyDescent="0.2">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2" x14ac:dyDescent="0.2">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2" x14ac:dyDescent="0.2">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2" x14ac:dyDescent="0.2">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2" x14ac:dyDescent="0.2">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2" x14ac:dyDescent="0.2">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2" x14ac:dyDescent="0.2">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2" x14ac:dyDescent="0.2">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2" x14ac:dyDescent="0.2">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2" x14ac:dyDescent="0.2">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2" x14ac:dyDescent="0.2">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2" x14ac:dyDescent="0.2">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2" x14ac:dyDescent="0.2">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2" x14ac:dyDescent="0.2">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2" x14ac:dyDescent="0.2">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2" x14ac:dyDescent="0.2">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2" x14ac:dyDescent="0.2">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2" x14ac:dyDescent="0.2">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2" x14ac:dyDescent="0.2">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2" x14ac:dyDescent="0.2">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2" x14ac:dyDescent="0.2">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2" x14ac:dyDescent="0.2">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2" x14ac:dyDescent="0.2">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2" x14ac:dyDescent="0.2">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2" x14ac:dyDescent="0.2">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2" x14ac:dyDescent="0.2">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2" x14ac:dyDescent="0.2">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2" x14ac:dyDescent="0.2">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2" x14ac:dyDescent="0.2">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2" x14ac:dyDescent="0.2">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2" x14ac:dyDescent="0.2">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2" x14ac:dyDescent="0.2">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2" x14ac:dyDescent="0.2">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2" x14ac:dyDescent="0.2">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2" x14ac:dyDescent="0.2">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2" x14ac:dyDescent="0.2">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2" x14ac:dyDescent="0.2">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2" x14ac:dyDescent="0.2">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2" x14ac:dyDescent="0.2">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2" x14ac:dyDescent="0.2">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2" x14ac:dyDescent="0.2">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2" x14ac:dyDescent="0.2">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2" x14ac:dyDescent="0.2">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2" x14ac:dyDescent="0.2">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2" x14ac:dyDescent="0.2">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2" x14ac:dyDescent="0.2">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2" x14ac:dyDescent="0.2">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2" x14ac:dyDescent="0.2">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2" x14ac:dyDescent="0.2">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2" x14ac:dyDescent="0.2">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2" x14ac:dyDescent="0.2">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2" x14ac:dyDescent="0.2">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2" x14ac:dyDescent="0.2">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2" x14ac:dyDescent="0.2">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2" x14ac:dyDescent="0.2">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2" x14ac:dyDescent="0.2">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2" x14ac:dyDescent="0.2">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2" x14ac:dyDescent="0.2">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2" x14ac:dyDescent="0.2">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2" x14ac:dyDescent="0.2">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2" x14ac:dyDescent="0.2">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2" x14ac:dyDescent="0.2">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2" x14ac:dyDescent="0.2">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2" x14ac:dyDescent="0.2">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2" x14ac:dyDescent="0.2">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2" x14ac:dyDescent="0.2">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2" x14ac:dyDescent="0.2">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2" x14ac:dyDescent="0.2">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2" x14ac:dyDescent="0.2">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2" x14ac:dyDescent="0.2">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2" x14ac:dyDescent="0.2">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2" x14ac:dyDescent="0.2">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2" x14ac:dyDescent="0.2">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2" x14ac:dyDescent="0.2">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2" x14ac:dyDescent="0.2">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2" x14ac:dyDescent="0.2">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2" x14ac:dyDescent="0.2">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2" x14ac:dyDescent="0.2">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2" x14ac:dyDescent="0.2">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2" x14ac:dyDescent="0.2">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2" x14ac:dyDescent="0.2">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2" x14ac:dyDescent="0.2">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2" x14ac:dyDescent="0.2">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2" x14ac:dyDescent="0.2">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2" x14ac:dyDescent="0.2">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2" x14ac:dyDescent="0.2">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2" x14ac:dyDescent="0.2">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2" x14ac:dyDescent="0.2">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2" x14ac:dyDescent="0.2">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2" x14ac:dyDescent="0.2">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2" x14ac:dyDescent="0.2">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2" x14ac:dyDescent="0.2">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2" x14ac:dyDescent="0.2">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2" x14ac:dyDescent="0.2">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2" x14ac:dyDescent="0.2">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2" x14ac:dyDescent="0.2">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2" x14ac:dyDescent="0.2">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2" x14ac:dyDescent="0.2">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2" x14ac:dyDescent="0.2">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2" x14ac:dyDescent="0.2">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2" x14ac:dyDescent="0.2">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2" x14ac:dyDescent="0.2">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2" x14ac:dyDescent="0.2">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2" x14ac:dyDescent="0.2">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2" x14ac:dyDescent="0.2">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2" x14ac:dyDescent="0.2">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2" x14ac:dyDescent="0.2">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2" x14ac:dyDescent="0.2">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2" x14ac:dyDescent="0.2">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2" x14ac:dyDescent="0.2">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2" x14ac:dyDescent="0.2">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2" x14ac:dyDescent="0.2">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2" x14ac:dyDescent="0.2">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2" x14ac:dyDescent="0.2">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2" x14ac:dyDescent="0.2">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2" x14ac:dyDescent="0.2">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2" x14ac:dyDescent="0.2">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2" x14ac:dyDescent="0.2">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2" x14ac:dyDescent="0.2">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2" x14ac:dyDescent="0.2">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2" x14ac:dyDescent="0.2">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2" x14ac:dyDescent="0.2">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2" x14ac:dyDescent="0.2">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2" x14ac:dyDescent="0.2">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2" x14ac:dyDescent="0.2">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2" x14ac:dyDescent="0.2">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2" x14ac:dyDescent="0.2">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2" x14ac:dyDescent="0.2">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2" x14ac:dyDescent="0.2">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2" x14ac:dyDescent="0.2">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2" x14ac:dyDescent="0.2">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2" x14ac:dyDescent="0.2">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2" x14ac:dyDescent="0.2">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2" x14ac:dyDescent="0.2">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2" x14ac:dyDescent="0.2">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2" x14ac:dyDescent="0.2">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2" x14ac:dyDescent="0.2">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2" x14ac:dyDescent="0.2">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2" x14ac:dyDescent="0.2">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2" x14ac:dyDescent="0.2">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2" x14ac:dyDescent="0.2">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2" x14ac:dyDescent="0.2">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2" x14ac:dyDescent="0.2">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2" x14ac:dyDescent="0.2">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2" x14ac:dyDescent="0.2">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2" x14ac:dyDescent="0.2">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2" x14ac:dyDescent="0.2">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2" x14ac:dyDescent="0.2">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2" x14ac:dyDescent="0.2">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2" x14ac:dyDescent="0.2">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2" x14ac:dyDescent="0.2">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2" x14ac:dyDescent="0.2">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2" x14ac:dyDescent="0.2">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2" x14ac:dyDescent="0.2">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2" x14ac:dyDescent="0.2">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2" x14ac:dyDescent="0.2">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2" x14ac:dyDescent="0.2">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2" x14ac:dyDescent="0.2">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2" x14ac:dyDescent="0.2">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2" x14ac:dyDescent="0.2">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2" x14ac:dyDescent="0.2">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2" x14ac:dyDescent="0.2">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2" x14ac:dyDescent="0.2">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2" x14ac:dyDescent="0.2">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2" x14ac:dyDescent="0.2">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2" x14ac:dyDescent="0.2">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2" x14ac:dyDescent="0.2">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2" x14ac:dyDescent="0.2">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2" x14ac:dyDescent="0.2">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2" x14ac:dyDescent="0.2">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2" x14ac:dyDescent="0.2">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2" x14ac:dyDescent="0.2">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2" x14ac:dyDescent="0.2">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2" x14ac:dyDescent="0.2">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2" x14ac:dyDescent="0.2">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2" x14ac:dyDescent="0.2">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2" x14ac:dyDescent="0.2">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2" x14ac:dyDescent="0.2">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2" x14ac:dyDescent="0.2">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2" x14ac:dyDescent="0.2">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2" x14ac:dyDescent="0.2">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2" x14ac:dyDescent="0.2">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2" x14ac:dyDescent="0.2">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2" x14ac:dyDescent="0.2">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2" x14ac:dyDescent="0.2">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2" x14ac:dyDescent="0.2">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2" x14ac:dyDescent="0.2">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2" x14ac:dyDescent="0.2">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2" x14ac:dyDescent="0.2">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2" x14ac:dyDescent="0.2">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2" x14ac:dyDescent="0.2">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2" x14ac:dyDescent="0.2">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2" x14ac:dyDescent="0.2">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2" x14ac:dyDescent="0.2">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2" x14ac:dyDescent="0.2">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2" x14ac:dyDescent="0.2">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2" x14ac:dyDescent="0.2">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2" x14ac:dyDescent="0.2">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2" x14ac:dyDescent="0.2">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2" x14ac:dyDescent="0.2">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2" x14ac:dyDescent="0.2">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2" x14ac:dyDescent="0.2">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2" x14ac:dyDescent="0.2">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2" x14ac:dyDescent="0.2">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2" x14ac:dyDescent="0.2">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2" x14ac:dyDescent="0.2">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2" x14ac:dyDescent="0.2">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2" x14ac:dyDescent="0.2">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2" x14ac:dyDescent="0.2">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2" x14ac:dyDescent="0.2">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2" x14ac:dyDescent="0.2">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2" x14ac:dyDescent="0.2">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2" x14ac:dyDescent="0.2">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2" x14ac:dyDescent="0.2">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2" x14ac:dyDescent="0.2">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2" x14ac:dyDescent="0.2">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2" x14ac:dyDescent="0.2">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2" x14ac:dyDescent="0.2">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2" x14ac:dyDescent="0.2">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2" x14ac:dyDescent="0.2">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2" x14ac:dyDescent="0.2">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2" x14ac:dyDescent="0.2">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2" x14ac:dyDescent="0.2">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2" x14ac:dyDescent="0.2">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2" x14ac:dyDescent="0.2">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2" x14ac:dyDescent="0.2">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2" x14ac:dyDescent="0.2">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2" x14ac:dyDescent="0.2">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2" x14ac:dyDescent="0.2">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2" x14ac:dyDescent="0.2">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2" x14ac:dyDescent="0.2">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2" x14ac:dyDescent="0.2">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2" x14ac:dyDescent="0.2">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2" x14ac:dyDescent="0.2">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2" x14ac:dyDescent="0.2">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2" x14ac:dyDescent="0.2">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2" x14ac:dyDescent="0.2">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2" x14ac:dyDescent="0.2">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2" x14ac:dyDescent="0.2">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2" x14ac:dyDescent="0.2">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2" x14ac:dyDescent="0.2">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2" x14ac:dyDescent="0.2">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2" x14ac:dyDescent="0.2">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2" x14ac:dyDescent="0.2">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2" x14ac:dyDescent="0.2">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2" x14ac:dyDescent="0.2">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2" x14ac:dyDescent="0.2">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2" x14ac:dyDescent="0.2">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2" x14ac:dyDescent="0.2">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2" x14ac:dyDescent="0.2">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2" x14ac:dyDescent="0.2">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2" x14ac:dyDescent="0.2">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2" x14ac:dyDescent="0.2">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2" x14ac:dyDescent="0.2">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2" x14ac:dyDescent="0.2">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2" x14ac:dyDescent="0.2">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2" x14ac:dyDescent="0.2">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2" x14ac:dyDescent="0.2">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2" x14ac:dyDescent="0.2">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2" x14ac:dyDescent="0.2">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2" x14ac:dyDescent="0.2">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2" x14ac:dyDescent="0.2">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2" x14ac:dyDescent="0.2">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2" x14ac:dyDescent="0.2">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2" x14ac:dyDescent="0.2">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2" x14ac:dyDescent="0.2">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2" x14ac:dyDescent="0.2">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2" x14ac:dyDescent="0.2">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2" x14ac:dyDescent="0.2">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2" x14ac:dyDescent="0.2">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2" x14ac:dyDescent="0.2">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2" x14ac:dyDescent="0.2">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2" x14ac:dyDescent="0.2">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2" x14ac:dyDescent="0.2">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2" x14ac:dyDescent="0.2">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2" x14ac:dyDescent="0.2">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2" x14ac:dyDescent="0.2">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2" x14ac:dyDescent="0.2">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2" x14ac:dyDescent="0.2">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2" x14ac:dyDescent="0.2">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2" x14ac:dyDescent="0.2">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2" x14ac:dyDescent="0.2">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2" x14ac:dyDescent="0.2">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2" x14ac:dyDescent="0.2">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2" x14ac:dyDescent="0.2">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2" x14ac:dyDescent="0.2">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2" x14ac:dyDescent="0.2">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2" x14ac:dyDescent="0.2">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2" x14ac:dyDescent="0.2">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2" x14ac:dyDescent="0.2">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2" x14ac:dyDescent="0.2">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2" x14ac:dyDescent="0.2">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2" x14ac:dyDescent="0.2">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2" x14ac:dyDescent="0.2">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2" x14ac:dyDescent="0.2">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2" x14ac:dyDescent="0.2">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2" x14ac:dyDescent="0.2">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2" x14ac:dyDescent="0.2">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2" x14ac:dyDescent="0.2">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2" x14ac:dyDescent="0.2">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2" x14ac:dyDescent="0.2">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2" x14ac:dyDescent="0.2">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2" x14ac:dyDescent="0.2">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2" x14ac:dyDescent="0.2">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2" x14ac:dyDescent="0.2">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2" x14ac:dyDescent="0.2">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2" x14ac:dyDescent="0.2">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2" x14ac:dyDescent="0.2">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2" x14ac:dyDescent="0.2">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2" x14ac:dyDescent="0.2">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2" x14ac:dyDescent="0.2">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2" x14ac:dyDescent="0.2">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2" x14ac:dyDescent="0.2">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2" x14ac:dyDescent="0.2">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2" x14ac:dyDescent="0.2">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2" x14ac:dyDescent="0.2">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2" x14ac:dyDescent="0.2">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2" x14ac:dyDescent="0.2">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2" x14ac:dyDescent="0.2">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2" x14ac:dyDescent="0.2">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2" x14ac:dyDescent="0.2">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2" x14ac:dyDescent="0.2">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2" x14ac:dyDescent="0.2">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2" x14ac:dyDescent="0.2">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2" x14ac:dyDescent="0.2">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2" x14ac:dyDescent="0.2">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2" x14ac:dyDescent="0.2">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2" x14ac:dyDescent="0.2">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2" x14ac:dyDescent="0.2">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2" x14ac:dyDescent="0.2">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2" x14ac:dyDescent="0.2">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2" x14ac:dyDescent="0.2">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2" x14ac:dyDescent="0.2">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2" x14ac:dyDescent="0.2">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2" x14ac:dyDescent="0.2">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2" x14ac:dyDescent="0.2">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2" x14ac:dyDescent="0.2">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2" x14ac:dyDescent="0.2">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2" x14ac:dyDescent="0.2">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2" x14ac:dyDescent="0.2">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2" x14ac:dyDescent="0.2">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2" x14ac:dyDescent="0.2">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2" x14ac:dyDescent="0.2">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2" x14ac:dyDescent="0.2">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2" x14ac:dyDescent="0.2">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2" x14ac:dyDescent="0.2">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2" x14ac:dyDescent="0.2">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2" x14ac:dyDescent="0.2">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2" x14ac:dyDescent="0.2">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2" x14ac:dyDescent="0.2">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2" x14ac:dyDescent="0.2">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2" x14ac:dyDescent="0.2">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2" x14ac:dyDescent="0.2">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2" x14ac:dyDescent="0.2">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2" x14ac:dyDescent="0.2">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2" x14ac:dyDescent="0.2">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2" x14ac:dyDescent="0.2">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2" x14ac:dyDescent="0.2">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2" x14ac:dyDescent="0.2">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2" x14ac:dyDescent="0.2">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2" x14ac:dyDescent="0.2">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2" x14ac:dyDescent="0.2">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2" x14ac:dyDescent="0.2">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2" x14ac:dyDescent="0.2">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2" x14ac:dyDescent="0.2">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2" x14ac:dyDescent="0.2">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2" x14ac:dyDescent="0.2">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2" x14ac:dyDescent="0.2">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2" x14ac:dyDescent="0.2">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2" x14ac:dyDescent="0.2">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2" x14ac:dyDescent="0.2">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2" x14ac:dyDescent="0.2">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2" x14ac:dyDescent="0.2">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2" x14ac:dyDescent="0.2">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2" x14ac:dyDescent="0.2">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2" x14ac:dyDescent="0.2">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2" x14ac:dyDescent="0.2">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2" x14ac:dyDescent="0.2">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2" x14ac:dyDescent="0.2">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2" x14ac:dyDescent="0.2">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2" x14ac:dyDescent="0.2">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2" x14ac:dyDescent="0.2">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2" x14ac:dyDescent="0.2">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2" x14ac:dyDescent="0.2">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2" x14ac:dyDescent="0.2">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2" x14ac:dyDescent="0.2">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2" x14ac:dyDescent="0.2">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2" x14ac:dyDescent="0.2">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2" x14ac:dyDescent="0.2">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2" x14ac:dyDescent="0.2">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2" x14ac:dyDescent="0.2">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2" x14ac:dyDescent="0.2">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2" x14ac:dyDescent="0.2">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2" x14ac:dyDescent="0.2">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2" x14ac:dyDescent="0.2">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2" x14ac:dyDescent="0.2">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2" x14ac:dyDescent="0.2">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2" x14ac:dyDescent="0.2">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2" x14ac:dyDescent="0.2">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2" x14ac:dyDescent="0.2">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2" x14ac:dyDescent="0.2">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2" x14ac:dyDescent="0.2">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2" x14ac:dyDescent="0.2">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2" x14ac:dyDescent="0.2">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2" x14ac:dyDescent="0.2">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2" x14ac:dyDescent="0.2">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2" x14ac:dyDescent="0.2">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2" x14ac:dyDescent="0.2">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2" x14ac:dyDescent="0.2">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2" x14ac:dyDescent="0.2">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2" x14ac:dyDescent="0.2">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2" x14ac:dyDescent="0.2">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2" x14ac:dyDescent="0.2">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2" x14ac:dyDescent="0.2">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2" x14ac:dyDescent="0.2">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2" x14ac:dyDescent="0.2">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2" x14ac:dyDescent="0.2">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2" x14ac:dyDescent="0.2">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2" x14ac:dyDescent="0.2">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2" x14ac:dyDescent="0.2">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2" x14ac:dyDescent="0.2">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2" x14ac:dyDescent="0.2">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2" x14ac:dyDescent="0.2">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2" x14ac:dyDescent="0.2">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2" x14ac:dyDescent="0.2">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2" x14ac:dyDescent="0.2">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2" x14ac:dyDescent="0.2">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2" x14ac:dyDescent="0.2">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2" x14ac:dyDescent="0.2">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2" x14ac:dyDescent="0.2">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2" x14ac:dyDescent="0.2">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2" x14ac:dyDescent="0.2">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2" x14ac:dyDescent="0.2">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2" x14ac:dyDescent="0.2">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2" x14ac:dyDescent="0.2">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2" x14ac:dyDescent="0.2">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2" x14ac:dyDescent="0.2">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2" x14ac:dyDescent="0.2">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2" x14ac:dyDescent="0.2">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2" x14ac:dyDescent="0.2">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2" x14ac:dyDescent="0.2">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2" x14ac:dyDescent="0.2">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2" x14ac:dyDescent="0.2">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2" x14ac:dyDescent="0.2">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2" x14ac:dyDescent="0.2">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2" x14ac:dyDescent="0.2">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2" x14ac:dyDescent="0.2">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2" x14ac:dyDescent="0.2">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2" x14ac:dyDescent="0.2">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2" x14ac:dyDescent="0.2">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2" x14ac:dyDescent="0.2">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2" x14ac:dyDescent="0.2">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2" x14ac:dyDescent="0.2">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2" x14ac:dyDescent="0.2">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2" x14ac:dyDescent="0.2">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2" x14ac:dyDescent="0.2">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2" x14ac:dyDescent="0.2">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2" x14ac:dyDescent="0.2">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2" x14ac:dyDescent="0.2">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2" x14ac:dyDescent="0.2">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2" x14ac:dyDescent="0.2">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2" x14ac:dyDescent="0.2">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2" x14ac:dyDescent="0.2">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2" x14ac:dyDescent="0.2">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2" x14ac:dyDescent="0.2">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2" x14ac:dyDescent="0.2">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2" x14ac:dyDescent="0.2">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2" x14ac:dyDescent="0.2">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2" x14ac:dyDescent="0.2">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2" x14ac:dyDescent="0.2">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2" x14ac:dyDescent="0.2">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2" x14ac:dyDescent="0.2">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2" x14ac:dyDescent="0.2">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2" x14ac:dyDescent="0.2">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2" x14ac:dyDescent="0.2">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2" x14ac:dyDescent="0.2">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2" x14ac:dyDescent="0.2">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2" x14ac:dyDescent="0.2">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2" x14ac:dyDescent="0.2">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2" x14ac:dyDescent="0.2">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2" x14ac:dyDescent="0.2">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2" x14ac:dyDescent="0.2">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2" x14ac:dyDescent="0.2">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2" x14ac:dyDescent="0.2">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2" x14ac:dyDescent="0.2">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2" x14ac:dyDescent="0.2">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2" x14ac:dyDescent="0.2">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2" x14ac:dyDescent="0.2">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2" x14ac:dyDescent="0.2">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2" x14ac:dyDescent="0.2">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2" x14ac:dyDescent="0.2">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2" x14ac:dyDescent="0.2">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2" x14ac:dyDescent="0.2">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2" x14ac:dyDescent="0.2">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2" x14ac:dyDescent="0.2">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2" x14ac:dyDescent="0.2">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2" x14ac:dyDescent="0.2">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2" x14ac:dyDescent="0.2">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2" x14ac:dyDescent="0.2">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2" x14ac:dyDescent="0.2">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2" x14ac:dyDescent="0.2">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2" x14ac:dyDescent="0.2">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2" x14ac:dyDescent="0.2">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2" x14ac:dyDescent="0.2">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2" x14ac:dyDescent="0.2">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2" x14ac:dyDescent="0.2">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2" x14ac:dyDescent="0.2">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2" x14ac:dyDescent="0.2">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2" x14ac:dyDescent="0.2">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2" x14ac:dyDescent="0.2">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2" x14ac:dyDescent="0.2">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2" x14ac:dyDescent="0.2">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2" x14ac:dyDescent="0.2">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2" x14ac:dyDescent="0.2">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2" x14ac:dyDescent="0.2">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2" x14ac:dyDescent="0.2">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2" x14ac:dyDescent="0.2">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2" x14ac:dyDescent="0.2">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2" x14ac:dyDescent="0.2">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2" x14ac:dyDescent="0.2">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2" x14ac:dyDescent="0.2">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2" x14ac:dyDescent="0.2">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2" x14ac:dyDescent="0.2">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2" x14ac:dyDescent="0.2">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2" x14ac:dyDescent="0.2">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2" x14ac:dyDescent="0.2">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2" x14ac:dyDescent="0.2">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2" x14ac:dyDescent="0.2">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2" x14ac:dyDescent="0.2">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2" x14ac:dyDescent="0.2">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2" x14ac:dyDescent="0.2">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2" x14ac:dyDescent="0.2">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2" x14ac:dyDescent="0.2">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2" x14ac:dyDescent="0.2">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2" x14ac:dyDescent="0.2">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2" x14ac:dyDescent="0.2">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2" x14ac:dyDescent="0.2">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2" x14ac:dyDescent="0.2">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2" x14ac:dyDescent="0.2">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2" x14ac:dyDescent="0.2">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2" x14ac:dyDescent="0.2">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2" x14ac:dyDescent="0.2">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2" x14ac:dyDescent="0.2">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2" x14ac:dyDescent="0.2">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2" x14ac:dyDescent="0.2">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2" x14ac:dyDescent="0.2">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2" x14ac:dyDescent="0.2">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2" x14ac:dyDescent="0.2">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2" x14ac:dyDescent="0.2">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2" x14ac:dyDescent="0.2">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2" x14ac:dyDescent="0.2">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2" x14ac:dyDescent="0.2">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2" x14ac:dyDescent="0.2">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2" x14ac:dyDescent="0.2">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2" x14ac:dyDescent="0.2">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2" x14ac:dyDescent="0.2">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2" x14ac:dyDescent="0.2">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2" x14ac:dyDescent="0.2">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2" x14ac:dyDescent="0.2">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2" x14ac:dyDescent="0.2">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2" x14ac:dyDescent="0.2">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2" x14ac:dyDescent="0.2">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2" x14ac:dyDescent="0.2">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2" x14ac:dyDescent="0.2">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2" x14ac:dyDescent="0.2">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2" x14ac:dyDescent="0.2">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2" x14ac:dyDescent="0.2">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2" x14ac:dyDescent="0.2">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2" x14ac:dyDescent="0.2">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2" x14ac:dyDescent="0.2">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2" x14ac:dyDescent="0.2">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2" x14ac:dyDescent="0.2">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2" x14ac:dyDescent="0.2">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2" x14ac:dyDescent="0.2">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2" x14ac:dyDescent="0.2">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2" x14ac:dyDescent="0.2">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2" x14ac:dyDescent="0.2">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2" x14ac:dyDescent="0.2">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2" x14ac:dyDescent="0.2">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2" x14ac:dyDescent="0.2">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2" x14ac:dyDescent="0.2">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2" x14ac:dyDescent="0.2">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2" x14ac:dyDescent="0.2">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2" x14ac:dyDescent="0.2">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2" x14ac:dyDescent="0.2">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2" x14ac:dyDescent="0.2">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2" x14ac:dyDescent="0.2">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2" x14ac:dyDescent="0.2">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2" x14ac:dyDescent="0.2">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2" x14ac:dyDescent="0.2">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2" x14ac:dyDescent="0.2">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2" x14ac:dyDescent="0.2">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2" x14ac:dyDescent="0.2">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2" x14ac:dyDescent="0.2">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2" x14ac:dyDescent="0.2">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2" x14ac:dyDescent="0.2">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2" x14ac:dyDescent="0.2">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2" x14ac:dyDescent="0.2">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2" x14ac:dyDescent="0.2">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2" x14ac:dyDescent="0.2">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2" x14ac:dyDescent="0.2">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2" x14ac:dyDescent="0.2">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2" x14ac:dyDescent="0.2">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2" x14ac:dyDescent="0.2">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2" x14ac:dyDescent="0.2">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2" x14ac:dyDescent="0.2">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2" x14ac:dyDescent="0.2">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2" x14ac:dyDescent="0.2">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2" x14ac:dyDescent="0.2">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2" x14ac:dyDescent="0.2">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2" x14ac:dyDescent="0.2">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2" x14ac:dyDescent="0.2">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2" x14ac:dyDescent="0.2">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2" x14ac:dyDescent="0.2">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2" x14ac:dyDescent="0.2">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2" x14ac:dyDescent="0.2">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2" x14ac:dyDescent="0.2">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2" x14ac:dyDescent="0.2">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2" x14ac:dyDescent="0.2">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2" x14ac:dyDescent="0.2">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2" x14ac:dyDescent="0.2">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2" x14ac:dyDescent="0.2">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2" x14ac:dyDescent="0.2">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2" x14ac:dyDescent="0.2">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2" x14ac:dyDescent="0.2">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2" x14ac:dyDescent="0.2">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2" x14ac:dyDescent="0.2">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2" x14ac:dyDescent="0.2">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2" x14ac:dyDescent="0.2">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2" x14ac:dyDescent="0.2">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2" x14ac:dyDescent="0.2">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2" x14ac:dyDescent="0.2">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2" x14ac:dyDescent="0.2">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2" x14ac:dyDescent="0.2">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2" x14ac:dyDescent="0.2">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2" x14ac:dyDescent="0.2">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2" x14ac:dyDescent="0.2">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2" x14ac:dyDescent="0.2">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2" x14ac:dyDescent="0.2">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2" x14ac:dyDescent="0.2">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2" x14ac:dyDescent="0.2">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2" x14ac:dyDescent="0.2">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2" x14ac:dyDescent="0.2">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2" x14ac:dyDescent="0.2">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2" x14ac:dyDescent="0.2">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2" x14ac:dyDescent="0.2">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2" x14ac:dyDescent="0.2">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2" x14ac:dyDescent="0.2">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2" x14ac:dyDescent="0.2">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2" x14ac:dyDescent="0.2">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2" x14ac:dyDescent="0.2">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2" x14ac:dyDescent="0.2">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2" x14ac:dyDescent="0.2">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2" x14ac:dyDescent="0.2">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2" x14ac:dyDescent="0.2">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2" x14ac:dyDescent="0.2">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2" x14ac:dyDescent="0.2">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2" x14ac:dyDescent="0.2">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2" x14ac:dyDescent="0.2">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2" x14ac:dyDescent="0.2">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2" x14ac:dyDescent="0.2">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2" x14ac:dyDescent="0.2">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2" x14ac:dyDescent="0.2">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2" x14ac:dyDescent="0.2">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2" x14ac:dyDescent="0.2">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2" x14ac:dyDescent="0.2">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2" x14ac:dyDescent="0.2">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2" x14ac:dyDescent="0.2">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2" x14ac:dyDescent="0.2">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2" x14ac:dyDescent="0.2">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2" x14ac:dyDescent="0.2">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2" x14ac:dyDescent="0.2">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2" x14ac:dyDescent="0.2">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2" x14ac:dyDescent="0.2">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2" x14ac:dyDescent="0.2">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2" x14ac:dyDescent="0.2">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2" x14ac:dyDescent="0.2">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2" x14ac:dyDescent="0.2">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2" x14ac:dyDescent="0.2">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2" x14ac:dyDescent="0.2">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2" x14ac:dyDescent="0.2">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2" x14ac:dyDescent="0.2">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2" x14ac:dyDescent="0.2">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2" x14ac:dyDescent="0.2">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2" x14ac:dyDescent="0.2">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2" x14ac:dyDescent="0.2">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2" x14ac:dyDescent="0.2">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2" x14ac:dyDescent="0.2">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2" x14ac:dyDescent="0.2">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2" x14ac:dyDescent="0.2">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2" x14ac:dyDescent="0.2">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2" x14ac:dyDescent="0.2">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2" x14ac:dyDescent="0.2">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2" x14ac:dyDescent="0.2">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2" x14ac:dyDescent="0.2">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2" x14ac:dyDescent="0.2">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2" x14ac:dyDescent="0.2">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2" x14ac:dyDescent="0.2">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2" x14ac:dyDescent="0.2">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2" x14ac:dyDescent="0.2">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2" x14ac:dyDescent="0.2">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2" x14ac:dyDescent="0.2">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2" x14ac:dyDescent="0.2">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2" x14ac:dyDescent="0.2">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2" x14ac:dyDescent="0.2">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2" x14ac:dyDescent="0.2">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2" x14ac:dyDescent="0.2">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2" x14ac:dyDescent="0.2">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2" x14ac:dyDescent="0.2">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2" x14ac:dyDescent="0.2">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2" x14ac:dyDescent="0.2">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2" x14ac:dyDescent="0.2">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2" x14ac:dyDescent="0.2">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2" x14ac:dyDescent="0.2">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2" x14ac:dyDescent="0.2">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2" x14ac:dyDescent="0.2">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2" x14ac:dyDescent="0.2">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2" x14ac:dyDescent="0.2">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2" x14ac:dyDescent="0.2">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2" x14ac:dyDescent="0.2">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2" x14ac:dyDescent="0.2">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2" x14ac:dyDescent="0.2">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2" x14ac:dyDescent="0.2">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2" x14ac:dyDescent="0.2">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2" x14ac:dyDescent="0.2">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2" x14ac:dyDescent="0.2">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2" x14ac:dyDescent="0.2">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2" x14ac:dyDescent="0.2">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2" x14ac:dyDescent="0.2">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2" x14ac:dyDescent="0.2">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2" x14ac:dyDescent="0.2">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2" x14ac:dyDescent="0.2">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2" x14ac:dyDescent="0.2">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2" x14ac:dyDescent="0.2">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2" x14ac:dyDescent="0.2">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2" x14ac:dyDescent="0.2">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2" x14ac:dyDescent="0.2">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2" x14ac:dyDescent="0.2">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2" x14ac:dyDescent="0.2">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2" x14ac:dyDescent="0.2">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2" x14ac:dyDescent="0.2">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2" x14ac:dyDescent="0.2">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2" x14ac:dyDescent="0.2">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2" x14ac:dyDescent="0.2">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2" x14ac:dyDescent="0.2">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2" x14ac:dyDescent="0.2">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2" x14ac:dyDescent="0.2">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2" x14ac:dyDescent="0.2">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2" x14ac:dyDescent="0.2">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2" x14ac:dyDescent="0.2">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2" x14ac:dyDescent="0.2">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2" x14ac:dyDescent="0.2">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2" x14ac:dyDescent="0.2">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2" x14ac:dyDescent="0.2">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2" x14ac:dyDescent="0.2">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2" x14ac:dyDescent="0.2">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2" x14ac:dyDescent="0.2">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2" x14ac:dyDescent="0.2">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2" x14ac:dyDescent="0.2">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2" x14ac:dyDescent="0.2">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2" x14ac:dyDescent="0.2">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2" x14ac:dyDescent="0.2">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2" x14ac:dyDescent="0.2">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2" x14ac:dyDescent="0.2">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2" x14ac:dyDescent="0.2">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2" x14ac:dyDescent="0.2">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2" x14ac:dyDescent="0.2">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2" x14ac:dyDescent="0.2">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2" x14ac:dyDescent="0.2">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2" x14ac:dyDescent="0.2">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2" x14ac:dyDescent="0.2">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2" x14ac:dyDescent="0.2">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2" x14ac:dyDescent="0.2">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2" x14ac:dyDescent="0.2">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2" x14ac:dyDescent="0.2">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2" x14ac:dyDescent="0.2">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2" x14ac:dyDescent="0.2">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2" x14ac:dyDescent="0.2">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2" x14ac:dyDescent="0.2">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2" x14ac:dyDescent="0.2">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2" x14ac:dyDescent="0.2">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2" x14ac:dyDescent="0.2">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2" x14ac:dyDescent="0.2">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2" x14ac:dyDescent="0.2">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2" x14ac:dyDescent="0.2">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2" x14ac:dyDescent="0.2">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2" x14ac:dyDescent="0.2">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2" x14ac:dyDescent="0.2">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2" x14ac:dyDescent="0.2">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2" x14ac:dyDescent="0.2">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2" x14ac:dyDescent="0.2">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2" x14ac:dyDescent="0.2">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2" x14ac:dyDescent="0.2">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2" x14ac:dyDescent="0.2">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2" x14ac:dyDescent="0.2">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2" x14ac:dyDescent="0.2">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2" x14ac:dyDescent="0.2">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2" x14ac:dyDescent="0.2">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2" x14ac:dyDescent="0.2">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2" x14ac:dyDescent="0.2">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2" x14ac:dyDescent="0.2">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2" x14ac:dyDescent="0.2">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2" x14ac:dyDescent="0.2">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2" x14ac:dyDescent="0.2">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2" x14ac:dyDescent="0.2">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2" x14ac:dyDescent="0.2">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2" x14ac:dyDescent="0.2">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2" x14ac:dyDescent="0.2">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2" x14ac:dyDescent="0.2">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2" x14ac:dyDescent="0.2">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2" x14ac:dyDescent="0.2">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2" x14ac:dyDescent="0.2">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2" x14ac:dyDescent="0.2">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2" x14ac:dyDescent="0.2">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2" x14ac:dyDescent="0.2">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2" x14ac:dyDescent="0.2">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2" x14ac:dyDescent="0.2">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2" x14ac:dyDescent="0.2">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2" x14ac:dyDescent="0.2">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2" x14ac:dyDescent="0.2">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2" x14ac:dyDescent="0.2">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2" x14ac:dyDescent="0.2">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2" x14ac:dyDescent="0.2">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2" x14ac:dyDescent="0.2">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2" x14ac:dyDescent="0.2">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2" x14ac:dyDescent="0.2">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2" x14ac:dyDescent="0.2">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2" x14ac:dyDescent="0.2">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2" x14ac:dyDescent="0.2">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2" x14ac:dyDescent="0.2">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2" x14ac:dyDescent="0.2">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2" x14ac:dyDescent="0.2">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2" x14ac:dyDescent="0.2">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2" x14ac:dyDescent="0.2">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2" x14ac:dyDescent="0.2">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2" x14ac:dyDescent="0.2">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2" x14ac:dyDescent="0.2">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2" x14ac:dyDescent="0.2">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2" x14ac:dyDescent="0.2">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2" x14ac:dyDescent="0.2">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2" x14ac:dyDescent="0.2">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2" x14ac:dyDescent="0.2">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2" x14ac:dyDescent="0.2">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2" x14ac:dyDescent="0.2">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2" x14ac:dyDescent="0.2">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2" x14ac:dyDescent="0.2">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2" x14ac:dyDescent="0.2">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2" x14ac:dyDescent="0.2">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2" x14ac:dyDescent="0.2">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2" x14ac:dyDescent="0.2">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2" x14ac:dyDescent="0.2">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2" x14ac:dyDescent="0.2">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2" x14ac:dyDescent="0.2">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2" x14ac:dyDescent="0.2">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2" x14ac:dyDescent="0.2">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2" x14ac:dyDescent="0.2">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2" x14ac:dyDescent="0.2">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2" x14ac:dyDescent="0.2">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2" x14ac:dyDescent="0.2">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2" x14ac:dyDescent="0.2">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2" x14ac:dyDescent="0.2">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2" x14ac:dyDescent="0.2">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2" x14ac:dyDescent="0.2">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2" x14ac:dyDescent="0.2">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2" x14ac:dyDescent="0.2">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2" x14ac:dyDescent="0.2">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2" x14ac:dyDescent="0.2">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2" x14ac:dyDescent="0.2">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2" x14ac:dyDescent="0.2">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2" x14ac:dyDescent="0.2">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2" x14ac:dyDescent="0.2">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2" x14ac:dyDescent="0.2">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2" x14ac:dyDescent="0.2">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2" x14ac:dyDescent="0.2">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2" x14ac:dyDescent="0.2">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2" x14ac:dyDescent="0.2">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2" x14ac:dyDescent="0.2">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2" x14ac:dyDescent="0.2">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2" x14ac:dyDescent="0.2">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2" x14ac:dyDescent="0.2">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2" x14ac:dyDescent="0.2">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2" x14ac:dyDescent="0.2">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2" x14ac:dyDescent="0.2">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2" x14ac:dyDescent="0.2">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2" x14ac:dyDescent="0.2">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2" x14ac:dyDescent="0.2">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2" x14ac:dyDescent="0.2">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2" x14ac:dyDescent="0.2">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2" x14ac:dyDescent="0.2">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2" x14ac:dyDescent="0.2">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2" x14ac:dyDescent="0.2">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2" x14ac:dyDescent="0.2">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2" x14ac:dyDescent="0.2">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2" x14ac:dyDescent="0.2">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2" x14ac:dyDescent="0.2">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2" x14ac:dyDescent="0.2">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2" x14ac:dyDescent="0.2">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2" x14ac:dyDescent="0.2">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2" x14ac:dyDescent="0.2">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2" x14ac:dyDescent="0.2">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2" x14ac:dyDescent="0.2">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2" x14ac:dyDescent="0.2">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2" x14ac:dyDescent="0.2">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2" x14ac:dyDescent="0.2">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2" x14ac:dyDescent="0.2">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2" x14ac:dyDescent="0.2">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2" x14ac:dyDescent="0.2">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2" x14ac:dyDescent="0.2">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2" x14ac:dyDescent="0.2">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2" x14ac:dyDescent="0.2">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2" x14ac:dyDescent="0.2">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2" x14ac:dyDescent="0.2">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2" x14ac:dyDescent="0.2">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2" x14ac:dyDescent="0.2">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2" x14ac:dyDescent="0.2">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2" x14ac:dyDescent="0.2">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2" x14ac:dyDescent="0.2">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2" x14ac:dyDescent="0.2">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2" x14ac:dyDescent="0.2">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2" x14ac:dyDescent="0.2">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2" x14ac:dyDescent="0.2">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2" x14ac:dyDescent="0.2">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2" x14ac:dyDescent="0.2">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2" x14ac:dyDescent="0.2">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2" x14ac:dyDescent="0.2">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2" x14ac:dyDescent="0.2">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2" x14ac:dyDescent="0.2">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2" x14ac:dyDescent="0.2">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2" x14ac:dyDescent="0.2">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2" x14ac:dyDescent="0.2">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2" x14ac:dyDescent="0.2">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2" x14ac:dyDescent="0.2">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2" x14ac:dyDescent="0.2">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2" x14ac:dyDescent="0.2">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2" x14ac:dyDescent="0.2">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2" x14ac:dyDescent="0.2">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2" x14ac:dyDescent="0.2">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2" x14ac:dyDescent="0.2">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2" x14ac:dyDescent="0.2">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2" x14ac:dyDescent="0.2">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2" x14ac:dyDescent="0.2">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2" x14ac:dyDescent="0.2">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2" x14ac:dyDescent="0.2">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2" x14ac:dyDescent="0.2">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2" x14ac:dyDescent="0.2">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2" x14ac:dyDescent="0.2">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2" x14ac:dyDescent="0.2">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2" x14ac:dyDescent="0.2">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2" x14ac:dyDescent="0.2">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2" x14ac:dyDescent="0.2">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2" x14ac:dyDescent="0.2">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2" x14ac:dyDescent="0.2">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2" x14ac:dyDescent="0.2">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2" x14ac:dyDescent="0.2">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2" x14ac:dyDescent="0.2">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2" x14ac:dyDescent="0.2">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2" x14ac:dyDescent="0.2">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2" x14ac:dyDescent="0.2">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2" x14ac:dyDescent="0.2">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2" x14ac:dyDescent="0.2">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2" x14ac:dyDescent="0.2">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2" x14ac:dyDescent="0.2">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2" x14ac:dyDescent="0.2">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2" x14ac:dyDescent="0.2">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2" x14ac:dyDescent="0.2">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2" x14ac:dyDescent="0.2">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2" x14ac:dyDescent="0.2">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2" x14ac:dyDescent="0.2">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2" x14ac:dyDescent="0.2">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2" x14ac:dyDescent="0.2">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2" x14ac:dyDescent="0.2">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2" x14ac:dyDescent="0.2">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2" x14ac:dyDescent="0.2">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2" x14ac:dyDescent="0.2">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2" x14ac:dyDescent="0.2">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2" x14ac:dyDescent="0.2">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2" x14ac:dyDescent="0.2">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2" x14ac:dyDescent="0.2">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2" x14ac:dyDescent="0.2">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2" x14ac:dyDescent="0.2">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2" x14ac:dyDescent="0.2">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2" x14ac:dyDescent="0.2">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2" x14ac:dyDescent="0.2">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2" x14ac:dyDescent="0.2">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2" x14ac:dyDescent="0.2">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2" x14ac:dyDescent="0.2">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2" x14ac:dyDescent="0.2">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2" x14ac:dyDescent="0.2">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2" x14ac:dyDescent="0.2">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2" x14ac:dyDescent="0.2">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2" x14ac:dyDescent="0.2">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2" x14ac:dyDescent="0.2">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2" x14ac:dyDescent="0.2">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2" x14ac:dyDescent="0.2">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2" x14ac:dyDescent="0.2">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2" x14ac:dyDescent="0.2">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2" x14ac:dyDescent="0.2">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2" x14ac:dyDescent="0.2">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2" x14ac:dyDescent="0.2">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2" x14ac:dyDescent="0.2">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2" x14ac:dyDescent="0.2">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2" x14ac:dyDescent="0.2">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2" x14ac:dyDescent="0.2">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2" x14ac:dyDescent="0.2">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2" x14ac:dyDescent="0.2">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2" x14ac:dyDescent="0.2">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2" x14ac:dyDescent="0.2">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2" x14ac:dyDescent="0.2">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2" x14ac:dyDescent="0.2">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2" x14ac:dyDescent="0.2">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2" x14ac:dyDescent="0.2">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2" x14ac:dyDescent="0.2">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2" x14ac:dyDescent="0.2">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2" x14ac:dyDescent="0.2">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2" x14ac:dyDescent="0.2">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2" x14ac:dyDescent="0.2">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2" x14ac:dyDescent="0.2">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2" x14ac:dyDescent="0.2">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2" x14ac:dyDescent="0.2">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2" x14ac:dyDescent="0.2">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2" x14ac:dyDescent="0.2">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2" x14ac:dyDescent="0.2">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2" x14ac:dyDescent="0.2">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2" x14ac:dyDescent="0.2">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2" x14ac:dyDescent="0.2">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2" x14ac:dyDescent="0.2">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2" x14ac:dyDescent="0.2">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2" x14ac:dyDescent="0.2">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2" x14ac:dyDescent="0.2">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2" x14ac:dyDescent="0.2">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2" x14ac:dyDescent="0.2">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2" x14ac:dyDescent="0.2">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2" x14ac:dyDescent="0.2">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2" x14ac:dyDescent="0.2">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2" x14ac:dyDescent="0.2">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2" x14ac:dyDescent="0.2">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2" x14ac:dyDescent="0.2">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2" x14ac:dyDescent="0.2">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2" x14ac:dyDescent="0.2">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2" x14ac:dyDescent="0.2">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2" x14ac:dyDescent="0.2">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2" x14ac:dyDescent="0.2">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2" x14ac:dyDescent="0.2">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2" x14ac:dyDescent="0.2">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2" x14ac:dyDescent="0.2">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2" x14ac:dyDescent="0.2">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2" x14ac:dyDescent="0.2">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2" x14ac:dyDescent="0.2">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2" x14ac:dyDescent="0.2">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2" x14ac:dyDescent="0.2">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2" x14ac:dyDescent="0.2">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2" x14ac:dyDescent="0.2">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2" x14ac:dyDescent="0.2">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2" x14ac:dyDescent="0.2">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2" x14ac:dyDescent="0.2">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2" x14ac:dyDescent="0.2">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2" x14ac:dyDescent="0.2">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2" x14ac:dyDescent="0.2">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2" x14ac:dyDescent="0.2">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2" x14ac:dyDescent="0.2">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2" x14ac:dyDescent="0.2">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2" x14ac:dyDescent="0.2">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2" x14ac:dyDescent="0.2">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2" x14ac:dyDescent="0.2">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2" x14ac:dyDescent="0.2">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2" x14ac:dyDescent="0.2">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2" x14ac:dyDescent="0.2">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2" x14ac:dyDescent="0.2">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2" x14ac:dyDescent="0.2">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2" x14ac:dyDescent="0.2">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2" x14ac:dyDescent="0.2">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2" x14ac:dyDescent="0.2">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2" x14ac:dyDescent="0.2">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2" x14ac:dyDescent="0.2">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2" x14ac:dyDescent="0.2">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2" x14ac:dyDescent="0.2">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2" x14ac:dyDescent="0.2">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2" x14ac:dyDescent="0.2">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2" x14ac:dyDescent="0.2">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2" x14ac:dyDescent="0.2">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2" x14ac:dyDescent="0.2">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2" x14ac:dyDescent="0.2">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2" x14ac:dyDescent="0.2">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2" x14ac:dyDescent="0.2">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2" x14ac:dyDescent="0.2">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2" x14ac:dyDescent="0.2">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2" x14ac:dyDescent="0.2">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2" x14ac:dyDescent="0.2">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2" x14ac:dyDescent="0.2">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2" x14ac:dyDescent="0.2">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2" x14ac:dyDescent="0.2">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2" x14ac:dyDescent="0.2">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2" x14ac:dyDescent="0.2">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2" x14ac:dyDescent="0.2">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2" x14ac:dyDescent="0.2">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2" x14ac:dyDescent="0.2">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2" x14ac:dyDescent="0.2">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2" x14ac:dyDescent="0.2">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2" x14ac:dyDescent="0.2">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2" x14ac:dyDescent="0.2">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2" x14ac:dyDescent="0.2">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2" x14ac:dyDescent="0.2">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2" x14ac:dyDescent="0.2">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2" x14ac:dyDescent="0.2">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2" x14ac:dyDescent="0.2">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2" x14ac:dyDescent="0.2">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2" x14ac:dyDescent="0.2">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2" x14ac:dyDescent="0.2">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2" x14ac:dyDescent="0.2">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2" x14ac:dyDescent="0.2">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2" x14ac:dyDescent="0.2">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2" x14ac:dyDescent="0.2">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2" x14ac:dyDescent="0.2">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2" x14ac:dyDescent="0.2">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2" x14ac:dyDescent="0.2">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2" x14ac:dyDescent="0.2">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2" x14ac:dyDescent="0.2">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2" x14ac:dyDescent="0.2">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2" x14ac:dyDescent="0.2">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2" x14ac:dyDescent="0.2">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2" x14ac:dyDescent="0.2">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2" x14ac:dyDescent="0.2">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2" x14ac:dyDescent="0.2">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2" x14ac:dyDescent="0.2">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2" x14ac:dyDescent="0.2">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2" x14ac:dyDescent="0.2">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2" x14ac:dyDescent="0.2">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2" x14ac:dyDescent="0.2">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2" x14ac:dyDescent="0.2">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2" x14ac:dyDescent="0.2">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2" x14ac:dyDescent="0.2">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2" x14ac:dyDescent="0.2">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2" x14ac:dyDescent="0.2">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2" x14ac:dyDescent="0.2">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2" x14ac:dyDescent="0.2">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2" x14ac:dyDescent="0.2">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2" x14ac:dyDescent="0.2">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2" x14ac:dyDescent="0.2">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2" x14ac:dyDescent="0.2">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2" x14ac:dyDescent="0.2">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2" x14ac:dyDescent="0.2">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2" x14ac:dyDescent="0.2">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2" x14ac:dyDescent="0.2">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2" x14ac:dyDescent="0.2">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2" x14ac:dyDescent="0.2">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2" x14ac:dyDescent="0.2">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2" x14ac:dyDescent="0.2">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2" x14ac:dyDescent="0.2">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2" x14ac:dyDescent="0.2">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2" x14ac:dyDescent="0.2">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2" x14ac:dyDescent="0.2">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2" x14ac:dyDescent="0.2">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2" x14ac:dyDescent="0.2">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2" x14ac:dyDescent="0.2">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2" x14ac:dyDescent="0.2">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2" x14ac:dyDescent="0.2">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2" x14ac:dyDescent="0.2">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2" x14ac:dyDescent="0.2">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2" x14ac:dyDescent="0.2">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2" x14ac:dyDescent="0.2">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2" x14ac:dyDescent="0.2">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2" x14ac:dyDescent="0.2">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2" x14ac:dyDescent="0.2">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2" x14ac:dyDescent="0.2">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2" x14ac:dyDescent="0.2">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2" x14ac:dyDescent="0.2">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2" x14ac:dyDescent="0.2">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2" x14ac:dyDescent="0.2">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2" x14ac:dyDescent="0.2">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2" x14ac:dyDescent="0.2">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2" x14ac:dyDescent="0.2">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2" x14ac:dyDescent="0.2">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2" x14ac:dyDescent="0.2">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2" x14ac:dyDescent="0.2">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2" x14ac:dyDescent="0.2">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2" x14ac:dyDescent="0.2">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2" x14ac:dyDescent="0.2">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2" x14ac:dyDescent="0.2">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2" x14ac:dyDescent="0.2">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2" x14ac:dyDescent="0.2">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2" x14ac:dyDescent="0.2">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2" x14ac:dyDescent="0.2">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2" x14ac:dyDescent="0.2">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2" x14ac:dyDescent="0.2">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2" x14ac:dyDescent="0.2">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2" x14ac:dyDescent="0.2">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2" x14ac:dyDescent="0.2">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2" x14ac:dyDescent="0.2">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2" x14ac:dyDescent="0.2">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2" x14ac:dyDescent="0.2">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2" x14ac:dyDescent="0.2">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2" x14ac:dyDescent="0.2">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2" x14ac:dyDescent="0.2">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2" x14ac:dyDescent="0.2">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2" x14ac:dyDescent="0.2">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2" x14ac:dyDescent="0.2">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2" x14ac:dyDescent="0.2">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2" x14ac:dyDescent="0.2">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2" x14ac:dyDescent="0.2">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2" x14ac:dyDescent="0.2">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2" x14ac:dyDescent="0.2">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2" x14ac:dyDescent="0.2">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2" x14ac:dyDescent="0.2">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2" x14ac:dyDescent="0.2">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2" x14ac:dyDescent="0.2">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2" x14ac:dyDescent="0.2">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2" x14ac:dyDescent="0.2">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2" x14ac:dyDescent="0.2">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2" x14ac:dyDescent="0.2">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2" x14ac:dyDescent="0.2">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2" x14ac:dyDescent="0.2">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2" x14ac:dyDescent="0.2">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2" x14ac:dyDescent="0.2">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2" x14ac:dyDescent="0.2">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2" x14ac:dyDescent="0.2">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2" x14ac:dyDescent="0.2">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2" x14ac:dyDescent="0.2">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2" x14ac:dyDescent="0.2">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2" x14ac:dyDescent="0.2">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2" x14ac:dyDescent="0.2">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2" x14ac:dyDescent="0.2">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2" x14ac:dyDescent="0.2">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2" x14ac:dyDescent="0.2">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2" x14ac:dyDescent="0.2">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2" x14ac:dyDescent="0.2">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2" x14ac:dyDescent="0.2">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2" x14ac:dyDescent="0.2">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2" x14ac:dyDescent="0.2">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2" x14ac:dyDescent="0.2">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2" x14ac:dyDescent="0.2">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2" x14ac:dyDescent="0.2">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2" x14ac:dyDescent="0.2">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2" x14ac:dyDescent="0.2">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2" x14ac:dyDescent="0.2">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2" x14ac:dyDescent="0.2">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2" x14ac:dyDescent="0.2">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2" x14ac:dyDescent="0.2">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2" x14ac:dyDescent="0.2">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2" x14ac:dyDescent="0.2">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2" x14ac:dyDescent="0.2">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2" x14ac:dyDescent="0.2">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2" x14ac:dyDescent="0.2">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2" x14ac:dyDescent="0.2">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2" x14ac:dyDescent="0.2">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2" x14ac:dyDescent="0.2">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2" x14ac:dyDescent="0.2">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2" x14ac:dyDescent="0.2">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2" x14ac:dyDescent="0.2">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2" x14ac:dyDescent="0.2">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2" x14ac:dyDescent="0.2">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2" x14ac:dyDescent="0.2">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2" x14ac:dyDescent="0.2">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2" x14ac:dyDescent="0.2">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2" x14ac:dyDescent="0.2">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2" x14ac:dyDescent="0.2">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2" x14ac:dyDescent="0.2">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2" x14ac:dyDescent="0.2">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2" x14ac:dyDescent="0.2">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2" x14ac:dyDescent="0.2">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2" x14ac:dyDescent="0.2">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2" x14ac:dyDescent="0.2">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2" x14ac:dyDescent="0.2">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2" x14ac:dyDescent="0.2">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2" x14ac:dyDescent="0.2">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2" x14ac:dyDescent="0.2">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2" x14ac:dyDescent="0.2">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2" x14ac:dyDescent="0.2">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2" x14ac:dyDescent="0.2">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2" x14ac:dyDescent="0.2">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2" x14ac:dyDescent="0.2">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2" x14ac:dyDescent="0.2">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2" x14ac:dyDescent="0.2">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2" x14ac:dyDescent="0.2">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2" x14ac:dyDescent="0.2">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2" x14ac:dyDescent="0.2">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2" x14ac:dyDescent="0.2">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2" x14ac:dyDescent="0.2">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2" x14ac:dyDescent="0.2">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2" x14ac:dyDescent="0.2">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2" x14ac:dyDescent="0.2">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2" x14ac:dyDescent="0.2">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2" x14ac:dyDescent="0.2">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2" x14ac:dyDescent="0.2">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2" x14ac:dyDescent="0.2">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2" x14ac:dyDescent="0.2">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2" x14ac:dyDescent="0.2">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2" x14ac:dyDescent="0.2">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2" x14ac:dyDescent="0.2">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2" x14ac:dyDescent="0.2">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2" x14ac:dyDescent="0.2">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2" x14ac:dyDescent="0.2">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2" x14ac:dyDescent="0.2">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2" x14ac:dyDescent="0.2">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2" x14ac:dyDescent="0.2">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2" x14ac:dyDescent="0.2">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2" x14ac:dyDescent="0.2">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2" x14ac:dyDescent="0.2">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2" x14ac:dyDescent="0.2">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2" x14ac:dyDescent="0.2">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2" x14ac:dyDescent="0.2">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2" x14ac:dyDescent="0.2">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2" x14ac:dyDescent="0.2">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2" x14ac:dyDescent="0.2">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2" x14ac:dyDescent="0.2">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2" x14ac:dyDescent="0.2">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2" x14ac:dyDescent="0.2">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2" x14ac:dyDescent="0.2">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2" x14ac:dyDescent="0.2">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2" x14ac:dyDescent="0.2">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2" x14ac:dyDescent="0.2">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2" x14ac:dyDescent="0.2">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2" x14ac:dyDescent="0.2">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2" x14ac:dyDescent="0.2">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2" x14ac:dyDescent="0.2">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2" x14ac:dyDescent="0.2">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2" x14ac:dyDescent="0.2">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2" x14ac:dyDescent="0.2">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2" x14ac:dyDescent="0.2">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2" x14ac:dyDescent="0.2">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2" x14ac:dyDescent="0.2">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2" x14ac:dyDescent="0.2">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2" x14ac:dyDescent="0.2">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2" x14ac:dyDescent="0.2">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2" x14ac:dyDescent="0.2">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2" x14ac:dyDescent="0.2">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2" x14ac:dyDescent="0.2">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2" x14ac:dyDescent="0.2">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2" x14ac:dyDescent="0.2">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2" x14ac:dyDescent="0.2">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2" x14ac:dyDescent="0.2">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2" x14ac:dyDescent="0.2">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2" x14ac:dyDescent="0.2">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2" x14ac:dyDescent="0.2">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2" x14ac:dyDescent="0.2">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2" x14ac:dyDescent="0.2">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2" x14ac:dyDescent="0.2">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2" x14ac:dyDescent="0.2">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2" x14ac:dyDescent="0.2">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2" x14ac:dyDescent="0.2">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2" x14ac:dyDescent="0.2">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2" x14ac:dyDescent="0.2">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2" x14ac:dyDescent="0.2">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2" x14ac:dyDescent="0.2">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2" x14ac:dyDescent="0.2">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2" x14ac:dyDescent="0.2">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2" x14ac:dyDescent="0.2">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2" x14ac:dyDescent="0.2">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2" x14ac:dyDescent="0.2">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2" x14ac:dyDescent="0.2">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2" x14ac:dyDescent="0.2">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2" x14ac:dyDescent="0.2">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2" x14ac:dyDescent="0.2">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2" x14ac:dyDescent="0.2">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2" x14ac:dyDescent="0.2">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2" x14ac:dyDescent="0.2">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2" x14ac:dyDescent="0.2">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2" x14ac:dyDescent="0.2">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2" x14ac:dyDescent="0.2">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2" x14ac:dyDescent="0.2">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2" x14ac:dyDescent="0.2">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2" x14ac:dyDescent="0.2">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2" x14ac:dyDescent="0.2">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2" x14ac:dyDescent="0.2">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2" x14ac:dyDescent="0.2">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2" x14ac:dyDescent="0.2">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2" x14ac:dyDescent="0.2">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2" x14ac:dyDescent="0.2">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2" x14ac:dyDescent="0.2">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2" x14ac:dyDescent="0.2">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2" x14ac:dyDescent="0.2">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2" x14ac:dyDescent="0.2">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2" x14ac:dyDescent="0.2">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2" x14ac:dyDescent="0.2">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2" x14ac:dyDescent="0.2">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2" x14ac:dyDescent="0.2">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2" x14ac:dyDescent="0.2">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2" x14ac:dyDescent="0.2">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2" x14ac:dyDescent="0.2">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2" x14ac:dyDescent="0.2">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2" x14ac:dyDescent="0.2">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2" x14ac:dyDescent="0.2">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2" x14ac:dyDescent="0.2">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2" x14ac:dyDescent="0.2">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2" x14ac:dyDescent="0.2">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2" x14ac:dyDescent="0.2">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2" x14ac:dyDescent="0.2">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2" x14ac:dyDescent="0.2">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2" x14ac:dyDescent="0.2">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2" x14ac:dyDescent="0.2">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2" x14ac:dyDescent="0.2">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2" x14ac:dyDescent="0.2">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2" x14ac:dyDescent="0.2">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2" x14ac:dyDescent="0.2">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2" x14ac:dyDescent="0.2">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2" x14ac:dyDescent="0.2">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2" x14ac:dyDescent="0.2">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2" x14ac:dyDescent="0.2">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2" x14ac:dyDescent="0.2">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2" x14ac:dyDescent="0.2">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2" x14ac:dyDescent="0.2">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2" x14ac:dyDescent="0.2">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2" x14ac:dyDescent="0.2">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2" x14ac:dyDescent="0.2">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2" x14ac:dyDescent="0.2">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2" x14ac:dyDescent="0.2">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2" x14ac:dyDescent="0.2">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2" x14ac:dyDescent="0.2">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2" x14ac:dyDescent="0.2">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2" x14ac:dyDescent="0.2">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2" x14ac:dyDescent="0.2">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2" x14ac:dyDescent="0.2">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2" x14ac:dyDescent="0.2">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2" x14ac:dyDescent="0.2">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2" x14ac:dyDescent="0.2">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2" x14ac:dyDescent="0.2">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2" x14ac:dyDescent="0.2">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2" x14ac:dyDescent="0.2">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2" x14ac:dyDescent="0.2">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2" x14ac:dyDescent="0.2">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2" x14ac:dyDescent="0.2">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2" x14ac:dyDescent="0.2">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2" x14ac:dyDescent="0.2">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2" x14ac:dyDescent="0.2">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2" x14ac:dyDescent="0.2">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2" x14ac:dyDescent="0.2">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2" x14ac:dyDescent="0.2">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2" x14ac:dyDescent="0.2">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2" x14ac:dyDescent="0.2">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2" x14ac:dyDescent="0.2">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2" x14ac:dyDescent="0.2">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2" x14ac:dyDescent="0.2">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2" x14ac:dyDescent="0.2">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2" x14ac:dyDescent="0.2">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2" x14ac:dyDescent="0.2">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2" x14ac:dyDescent="0.2">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2" x14ac:dyDescent="0.2">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2" x14ac:dyDescent="0.2">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2" x14ac:dyDescent="0.2">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2" x14ac:dyDescent="0.2">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2" x14ac:dyDescent="0.2">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2" x14ac:dyDescent="0.2">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2" x14ac:dyDescent="0.2">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2" x14ac:dyDescent="0.2">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2" x14ac:dyDescent="0.2">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2" x14ac:dyDescent="0.2">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2" x14ac:dyDescent="0.2">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2" x14ac:dyDescent="0.2">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2" x14ac:dyDescent="0.2">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2" x14ac:dyDescent="0.2">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2" x14ac:dyDescent="0.2">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2" x14ac:dyDescent="0.2">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2" x14ac:dyDescent="0.2">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2" x14ac:dyDescent="0.2">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2" x14ac:dyDescent="0.2">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2" x14ac:dyDescent="0.2">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2" x14ac:dyDescent="0.2">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2" x14ac:dyDescent="0.2">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2" x14ac:dyDescent="0.2">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2" x14ac:dyDescent="0.2">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2" x14ac:dyDescent="0.2">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2" x14ac:dyDescent="0.2">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2" x14ac:dyDescent="0.2">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2" x14ac:dyDescent="0.2">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2" x14ac:dyDescent="0.2">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2" x14ac:dyDescent="0.2">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2" x14ac:dyDescent="0.2">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2" x14ac:dyDescent="0.2">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2" x14ac:dyDescent="0.2">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2" x14ac:dyDescent="0.2">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2" x14ac:dyDescent="0.2">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2" x14ac:dyDescent="0.2">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2" x14ac:dyDescent="0.2">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2" x14ac:dyDescent="0.2">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2" x14ac:dyDescent="0.2">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2" x14ac:dyDescent="0.2">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2" x14ac:dyDescent="0.2">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2" x14ac:dyDescent="0.2">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2" x14ac:dyDescent="0.2">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2" x14ac:dyDescent="0.2">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2" x14ac:dyDescent="0.2">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2" x14ac:dyDescent="0.2">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2" x14ac:dyDescent="0.2">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2" x14ac:dyDescent="0.2">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2" x14ac:dyDescent="0.2">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2" x14ac:dyDescent="0.2">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2" x14ac:dyDescent="0.2">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2" x14ac:dyDescent="0.2">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2" x14ac:dyDescent="0.2">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2" x14ac:dyDescent="0.2">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2" x14ac:dyDescent="0.2">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2" x14ac:dyDescent="0.2">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2" x14ac:dyDescent="0.2">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2" x14ac:dyDescent="0.2">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2" x14ac:dyDescent="0.2">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2" x14ac:dyDescent="0.2">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2" x14ac:dyDescent="0.2">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2" x14ac:dyDescent="0.2">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2" x14ac:dyDescent="0.2">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2" x14ac:dyDescent="0.2">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2" x14ac:dyDescent="0.2">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2" x14ac:dyDescent="0.2">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2" x14ac:dyDescent="0.2">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2" x14ac:dyDescent="0.2">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2" x14ac:dyDescent="0.2">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2" x14ac:dyDescent="0.2">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2" x14ac:dyDescent="0.2">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2" x14ac:dyDescent="0.2">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2" x14ac:dyDescent="0.2">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2" x14ac:dyDescent="0.2">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2" x14ac:dyDescent="0.2">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2" x14ac:dyDescent="0.2">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2" x14ac:dyDescent="0.2">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2" x14ac:dyDescent="0.2">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2" x14ac:dyDescent="0.2">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2" x14ac:dyDescent="0.2">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2" x14ac:dyDescent="0.2">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2" x14ac:dyDescent="0.2">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2" x14ac:dyDescent="0.2">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2" x14ac:dyDescent="0.2">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2" x14ac:dyDescent="0.2">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2" x14ac:dyDescent="0.2">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2" x14ac:dyDescent="0.2">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2" x14ac:dyDescent="0.2">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2" x14ac:dyDescent="0.2">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2" x14ac:dyDescent="0.2">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2" x14ac:dyDescent="0.2">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2" x14ac:dyDescent="0.2">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2" x14ac:dyDescent="0.2">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2" x14ac:dyDescent="0.2">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2" x14ac:dyDescent="0.2">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2" x14ac:dyDescent="0.2">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2" x14ac:dyDescent="0.2">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2" x14ac:dyDescent="0.2">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2" x14ac:dyDescent="0.2">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2" x14ac:dyDescent="0.2">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2" x14ac:dyDescent="0.2">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2" x14ac:dyDescent="0.2">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2" x14ac:dyDescent="0.2">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2" x14ac:dyDescent="0.2">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2" x14ac:dyDescent="0.2">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2" x14ac:dyDescent="0.2">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2" x14ac:dyDescent="0.2">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2" x14ac:dyDescent="0.2">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2" x14ac:dyDescent="0.2">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2" x14ac:dyDescent="0.2">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2" x14ac:dyDescent="0.2">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2" x14ac:dyDescent="0.2">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2" x14ac:dyDescent="0.2">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2" x14ac:dyDescent="0.2">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2" x14ac:dyDescent="0.2">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2" x14ac:dyDescent="0.2">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2" x14ac:dyDescent="0.2">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2" x14ac:dyDescent="0.2">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2" x14ac:dyDescent="0.2">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2" x14ac:dyDescent="0.2">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2" x14ac:dyDescent="0.2">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2" x14ac:dyDescent="0.2">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2" x14ac:dyDescent="0.2">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2" x14ac:dyDescent="0.2">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2" x14ac:dyDescent="0.2">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2" x14ac:dyDescent="0.2">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2" x14ac:dyDescent="0.2">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2" x14ac:dyDescent="0.2">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2" x14ac:dyDescent="0.2">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2" x14ac:dyDescent="0.2">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2" x14ac:dyDescent="0.2">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2" x14ac:dyDescent="0.2">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2" x14ac:dyDescent="0.2">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2" x14ac:dyDescent="0.2">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2" x14ac:dyDescent="0.2">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2" x14ac:dyDescent="0.2">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2" x14ac:dyDescent="0.2">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2" x14ac:dyDescent="0.2">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2" x14ac:dyDescent="0.2">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2" x14ac:dyDescent="0.2">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2" x14ac:dyDescent="0.2">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2" x14ac:dyDescent="0.2">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2" x14ac:dyDescent="0.2">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2" x14ac:dyDescent="0.2">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2" x14ac:dyDescent="0.2">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2" x14ac:dyDescent="0.2">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2" x14ac:dyDescent="0.2">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2" x14ac:dyDescent="0.2">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2" x14ac:dyDescent="0.2">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2" x14ac:dyDescent="0.2">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2" x14ac:dyDescent="0.2">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2" x14ac:dyDescent="0.2">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2" x14ac:dyDescent="0.2">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2" x14ac:dyDescent="0.2">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2" x14ac:dyDescent="0.2">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2" x14ac:dyDescent="0.2">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2" x14ac:dyDescent="0.2">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2" x14ac:dyDescent="0.2">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2" x14ac:dyDescent="0.2">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2" x14ac:dyDescent="0.2">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2" x14ac:dyDescent="0.2">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2" x14ac:dyDescent="0.2">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2" x14ac:dyDescent="0.2">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2" x14ac:dyDescent="0.2">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2" x14ac:dyDescent="0.2">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2" x14ac:dyDescent="0.2">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2" x14ac:dyDescent="0.2">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2" x14ac:dyDescent="0.2">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2" x14ac:dyDescent="0.2">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2" x14ac:dyDescent="0.2">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2" x14ac:dyDescent="0.2">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2" x14ac:dyDescent="0.2">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2" x14ac:dyDescent="0.2">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2" x14ac:dyDescent="0.2">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2" x14ac:dyDescent="0.2">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2" x14ac:dyDescent="0.2">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2" x14ac:dyDescent="0.2">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2" x14ac:dyDescent="0.2">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2" x14ac:dyDescent="0.2">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2" x14ac:dyDescent="0.2">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2" x14ac:dyDescent="0.2">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2" x14ac:dyDescent="0.2">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2" x14ac:dyDescent="0.2">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2" x14ac:dyDescent="0.2">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2" x14ac:dyDescent="0.2">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2" x14ac:dyDescent="0.2">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2" x14ac:dyDescent="0.2">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2" x14ac:dyDescent="0.2">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2" x14ac:dyDescent="0.2">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2" x14ac:dyDescent="0.2">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2" x14ac:dyDescent="0.2">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2" x14ac:dyDescent="0.2">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2" x14ac:dyDescent="0.2">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2" x14ac:dyDescent="0.2">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2" x14ac:dyDescent="0.2">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2" x14ac:dyDescent="0.2">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2" x14ac:dyDescent="0.2">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2" x14ac:dyDescent="0.2">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2" x14ac:dyDescent="0.2">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2" x14ac:dyDescent="0.2">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2" x14ac:dyDescent="0.2">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2" x14ac:dyDescent="0.2">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2" x14ac:dyDescent="0.2">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2" x14ac:dyDescent="0.2">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2" x14ac:dyDescent="0.2">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2" x14ac:dyDescent="0.2">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2" x14ac:dyDescent="0.2">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2" x14ac:dyDescent="0.2">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2" x14ac:dyDescent="0.2">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2" x14ac:dyDescent="0.2">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2" x14ac:dyDescent="0.2">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2" x14ac:dyDescent="0.2">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2" x14ac:dyDescent="0.2">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2" x14ac:dyDescent="0.2">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2" x14ac:dyDescent="0.2">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2" x14ac:dyDescent="0.2">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2" x14ac:dyDescent="0.2">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2" x14ac:dyDescent="0.2">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2" x14ac:dyDescent="0.2">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2" x14ac:dyDescent="0.2">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2" x14ac:dyDescent="0.2">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2" x14ac:dyDescent="0.2">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2" x14ac:dyDescent="0.2">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2" x14ac:dyDescent="0.2">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2" x14ac:dyDescent="0.2">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2" x14ac:dyDescent="0.2">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2" x14ac:dyDescent="0.2">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2" x14ac:dyDescent="0.2">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2" x14ac:dyDescent="0.2">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2" x14ac:dyDescent="0.2">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2" x14ac:dyDescent="0.2">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2" x14ac:dyDescent="0.2">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2" x14ac:dyDescent="0.2">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2" x14ac:dyDescent="0.2">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2" x14ac:dyDescent="0.2">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2" x14ac:dyDescent="0.2">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2" x14ac:dyDescent="0.2">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2" x14ac:dyDescent="0.2">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2" x14ac:dyDescent="0.2">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2" x14ac:dyDescent="0.2">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2" x14ac:dyDescent="0.2">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2" x14ac:dyDescent="0.2">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2" x14ac:dyDescent="0.2">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2" x14ac:dyDescent="0.2">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2" x14ac:dyDescent="0.2">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2" x14ac:dyDescent="0.2">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2" x14ac:dyDescent="0.2">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2" x14ac:dyDescent="0.2">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2" x14ac:dyDescent="0.2">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2" x14ac:dyDescent="0.2">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2" x14ac:dyDescent="0.2">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2" x14ac:dyDescent="0.2">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2" x14ac:dyDescent="0.2">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2" x14ac:dyDescent="0.2">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2" x14ac:dyDescent="0.2">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2" x14ac:dyDescent="0.2">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2" x14ac:dyDescent="0.2">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2" x14ac:dyDescent="0.2">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2" x14ac:dyDescent="0.2">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2" x14ac:dyDescent="0.2">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2" x14ac:dyDescent="0.2">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2" x14ac:dyDescent="0.2">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2" x14ac:dyDescent="0.2">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2" x14ac:dyDescent="0.2">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2" x14ac:dyDescent="0.2">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2" x14ac:dyDescent="0.2">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2" x14ac:dyDescent="0.2">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2" x14ac:dyDescent="0.2">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2" x14ac:dyDescent="0.2">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2" x14ac:dyDescent="0.2">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2" x14ac:dyDescent="0.2">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2" x14ac:dyDescent="0.2">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2" x14ac:dyDescent="0.2">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2" x14ac:dyDescent="0.2">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2" x14ac:dyDescent="0.2">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2" x14ac:dyDescent="0.2">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2" x14ac:dyDescent="0.2">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2" x14ac:dyDescent="0.2">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2" x14ac:dyDescent="0.2">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2" x14ac:dyDescent="0.2">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2" x14ac:dyDescent="0.2">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2" x14ac:dyDescent="0.2">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2" x14ac:dyDescent="0.2">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2" x14ac:dyDescent="0.2">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2" x14ac:dyDescent="0.2">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2" x14ac:dyDescent="0.2">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2" x14ac:dyDescent="0.2">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2" x14ac:dyDescent="0.2">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2" x14ac:dyDescent="0.2">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2" x14ac:dyDescent="0.2">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2" x14ac:dyDescent="0.2">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2" x14ac:dyDescent="0.2">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2" x14ac:dyDescent="0.2">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2" x14ac:dyDescent="0.2">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2" x14ac:dyDescent="0.2">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2" x14ac:dyDescent="0.2">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2" x14ac:dyDescent="0.2">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2" x14ac:dyDescent="0.2">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2" x14ac:dyDescent="0.2">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2" x14ac:dyDescent="0.2">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2" x14ac:dyDescent="0.2">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2" x14ac:dyDescent="0.2">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2" x14ac:dyDescent="0.2">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2" x14ac:dyDescent="0.2">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2" x14ac:dyDescent="0.2">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2" x14ac:dyDescent="0.2">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2" x14ac:dyDescent="0.2">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2" x14ac:dyDescent="0.2">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2" x14ac:dyDescent="0.2">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2" x14ac:dyDescent="0.2">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2" x14ac:dyDescent="0.2">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2" x14ac:dyDescent="0.2">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2" x14ac:dyDescent="0.2">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2" x14ac:dyDescent="0.2">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2" x14ac:dyDescent="0.2">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2" x14ac:dyDescent="0.2">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2" x14ac:dyDescent="0.2">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2" x14ac:dyDescent="0.2">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2" x14ac:dyDescent="0.2">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2" x14ac:dyDescent="0.2">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2" x14ac:dyDescent="0.2">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2" x14ac:dyDescent="0.2">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2" x14ac:dyDescent="0.2">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2" x14ac:dyDescent="0.2">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2" x14ac:dyDescent="0.2">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2" x14ac:dyDescent="0.2">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2" x14ac:dyDescent="0.2">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2" x14ac:dyDescent="0.2">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2" x14ac:dyDescent="0.2">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2" x14ac:dyDescent="0.2">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2" x14ac:dyDescent="0.2">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2" x14ac:dyDescent="0.2">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2" x14ac:dyDescent="0.2">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2" x14ac:dyDescent="0.2">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2" x14ac:dyDescent="0.2">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2" x14ac:dyDescent="0.2">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2" x14ac:dyDescent="0.2">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2" x14ac:dyDescent="0.2">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2" x14ac:dyDescent="0.2">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2" x14ac:dyDescent="0.2">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2" x14ac:dyDescent="0.2">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2" x14ac:dyDescent="0.2">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2" x14ac:dyDescent="0.2">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2" x14ac:dyDescent="0.2">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2" x14ac:dyDescent="0.2">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2" x14ac:dyDescent="0.2">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2" x14ac:dyDescent="0.2">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2" x14ac:dyDescent="0.2">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2" x14ac:dyDescent="0.2">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2" x14ac:dyDescent="0.2">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2" x14ac:dyDescent="0.2">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2" x14ac:dyDescent="0.2">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2" x14ac:dyDescent="0.2">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2" x14ac:dyDescent="0.2">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2" x14ac:dyDescent="0.2">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2" x14ac:dyDescent="0.2">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2" x14ac:dyDescent="0.2">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2" x14ac:dyDescent="0.2">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2" x14ac:dyDescent="0.2">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2" x14ac:dyDescent="0.2">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2" x14ac:dyDescent="0.2">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2" x14ac:dyDescent="0.2">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2" x14ac:dyDescent="0.2">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2" x14ac:dyDescent="0.2">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2" x14ac:dyDescent="0.2">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2" x14ac:dyDescent="0.2">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2" x14ac:dyDescent="0.2">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2" x14ac:dyDescent="0.2">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2" x14ac:dyDescent="0.2">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2" x14ac:dyDescent="0.2">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2" x14ac:dyDescent="0.2">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2" x14ac:dyDescent="0.2">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2" x14ac:dyDescent="0.2">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2" x14ac:dyDescent="0.2">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2" x14ac:dyDescent="0.2">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2" x14ac:dyDescent="0.2">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2" x14ac:dyDescent="0.2">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2" x14ac:dyDescent="0.2">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2" x14ac:dyDescent="0.2">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2" x14ac:dyDescent="0.2">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2" x14ac:dyDescent="0.2">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2" x14ac:dyDescent="0.2">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2" x14ac:dyDescent="0.2">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2" x14ac:dyDescent="0.2">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2" x14ac:dyDescent="0.2">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2" x14ac:dyDescent="0.2">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2" x14ac:dyDescent="0.2">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2" x14ac:dyDescent="0.2">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2" x14ac:dyDescent="0.2">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2" x14ac:dyDescent="0.2">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2" x14ac:dyDescent="0.2">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2" x14ac:dyDescent="0.2">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2" x14ac:dyDescent="0.2">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2" x14ac:dyDescent="0.2">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2" x14ac:dyDescent="0.2">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2" x14ac:dyDescent="0.2">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2" x14ac:dyDescent="0.2">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2" x14ac:dyDescent="0.2">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2" x14ac:dyDescent="0.2">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2" x14ac:dyDescent="0.2">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2" x14ac:dyDescent="0.2">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2" x14ac:dyDescent="0.2">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2" x14ac:dyDescent="0.2">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2" x14ac:dyDescent="0.2">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2" x14ac:dyDescent="0.2">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2" x14ac:dyDescent="0.2">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2" x14ac:dyDescent="0.2">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2" x14ac:dyDescent="0.2">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2" x14ac:dyDescent="0.2">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2" x14ac:dyDescent="0.2">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2" x14ac:dyDescent="0.2">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2" x14ac:dyDescent="0.2">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4" x14ac:dyDescent="0.2">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4" x14ac:dyDescent="0.2">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4" x14ac:dyDescent="0.2">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4" x14ac:dyDescent="0.2">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4" x14ac:dyDescent="0.2">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4" x14ac:dyDescent="0.2">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4" x14ac:dyDescent="0.2">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4" x14ac:dyDescent="0.2">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4" x14ac:dyDescent="0.2">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4" x14ac:dyDescent="0.2">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4" x14ac:dyDescent="0.2">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4" x14ac:dyDescent="0.2">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4" x14ac:dyDescent="0.2">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4" x14ac:dyDescent="0.2">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4" x14ac:dyDescent="0.2">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2" x14ac:dyDescent="0.2">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2" x14ac:dyDescent="0.2">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2" x14ac:dyDescent="0.2">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2" x14ac:dyDescent="0.2">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2" x14ac:dyDescent="0.2">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2" x14ac:dyDescent="0.2">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2" x14ac:dyDescent="0.2">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2" x14ac:dyDescent="0.2">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2" x14ac:dyDescent="0.2">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2" x14ac:dyDescent="0.2">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2" x14ac:dyDescent="0.2">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2" x14ac:dyDescent="0.2">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2" x14ac:dyDescent="0.2">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2" x14ac:dyDescent="0.2">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2" x14ac:dyDescent="0.2">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2" x14ac:dyDescent="0.2">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2" x14ac:dyDescent="0.2">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2" x14ac:dyDescent="0.2">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2" x14ac:dyDescent="0.2">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2" x14ac:dyDescent="0.2">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2" x14ac:dyDescent="0.2">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2" x14ac:dyDescent="0.2">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2" x14ac:dyDescent="0.2">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2" x14ac:dyDescent="0.2">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2" x14ac:dyDescent="0.2">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2" x14ac:dyDescent="0.2">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2" x14ac:dyDescent="0.2">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2" x14ac:dyDescent="0.2">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2" x14ac:dyDescent="0.2">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2" x14ac:dyDescent="0.2">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2" x14ac:dyDescent="0.2">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2" x14ac:dyDescent="0.2">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2" x14ac:dyDescent="0.2">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2" x14ac:dyDescent="0.2">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2" x14ac:dyDescent="0.2">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2" x14ac:dyDescent="0.2">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2" x14ac:dyDescent="0.2">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2" x14ac:dyDescent="0.2">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2" x14ac:dyDescent="0.2">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2" x14ac:dyDescent="0.2">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2" x14ac:dyDescent="0.2">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2" x14ac:dyDescent="0.2">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2" x14ac:dyDescent="0.2">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2" x14ac:dyDescent="0.2">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2" x14ac:dyDescent="0.2">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2" x14ac:dyDescent="0.2">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2" x14ac:dyDescent="0.2">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2" x14ac:dyDescent="0.2">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2" x14ac:dyDescent="0.2">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2" x14ac:dyDescent="0.2">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2" x14ac:dyDescent="0.2">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2" x14ac:dyDescent="0.2">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2" x14ac:dyDescent="0.2">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2" x14ac:dyDescent="0.2">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2" x14ac:dyDescent="0.2">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2" x14ac:dyDescent="0.2">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2" x14ac:dyDescent="0.2">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2" x14ac:dyDescent="0.2">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2" x14ac:dyDescent="0.2">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2" x14ac:dyDescent="0.2">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2" x14ac:dyDescent="0.2">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2" x14ac:dyDescent="0.2">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2" x14ac:dyDescent="0.2">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2" x14ac:dyDescent="0.2">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2" x14ac:dyDescent="0.2">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2" x14ac:dyDescent="0.2">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2" x14ac:dyDescent="0.2">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2" x14ac:dyDescent="0.2">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2" x14ac:dyDescent="0.2">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2" x14ac:dyDescent="0.2">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2" x14ac:dyDescent="0.2">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2" x14ac:dyDescent="0.2">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2" x14ac:dyDescent="0.2">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2" x14ac:dyDescent="0.2">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2" x14ac:dyDescent="0.2">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2" x14ac:dyDescent="0.2">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2" x14ac:dyDescent="0.2">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2" x14ac:dyDescent="0.2">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2" x14ac:dyDescent="0.2">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2" x14ac:dyDescent="0.2">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2" x14ac:dyDescent="0.2">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2" x14ac:dyDescent="0.2">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2" x14ac:dyDescent="0.2">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2" x14ac:dyDescent="0.2">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2" x14ac:dyDescent="0.2">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2" x14ac:dyDescent="0.2">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2" x14ac:dyDescent="0.2">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2" x14ac:dyDescent="0.2">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2" x14ac:dyDescent="0.2">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2" x14ac:dyDescent="0.2">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2" x14ac:dyDescent="0.2">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2" x14ac:dyDescent="0.2">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2" x14ac:dyDescent="0.2">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2" x14ac:dyDescent="0.2">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2" x14ac:dyDescent="0.2">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2" x14ac:dyDescent="0.2">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2" x14ac:dyDescent="0.2">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2" x14ac:dyDescent="0.2">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2" x14ac:dyDescent="0.2">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2" x14ac:dyDescent="0.2">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2" x14ac:dyDescent="0.2">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2" x14ac:dyDescent="0.2">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2" x14ac:dyDescent="0.2">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2" x14ac:dyDescent="0.2">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2" x14ac:dyDescent="0.2">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2" x14ac:dyDescent="0.2">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2" x14ac:dyDescent="0.2">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2" x14ac:dyDescent="0.2">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2" x14ac:dyDescent="0.2">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2" x14ac:dyDescent="0.2">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2" x14ac:dyDescent="0.2">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2" x14ac:dyDescent="0.2">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2" x14ac:dyDescent="0.2">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2" x14ac:dyDescent="0.2">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2" x14ac:dyDescent="0.2">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2" x14ac:dyDescent="0.2">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2" x14ac:dyDescent="0.2">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2" x14ac:dyDescent="0.2">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2" x14ac:dyDescent="0.2">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2" x14ac:dyDescent="0.2">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2" x14ac:dyDescent="0.2">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2" x14ac:dyDescent="0.2">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2" x14ac:dyDescent="0.2">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2" x14ac:dyDescent="0.2">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2" x14ac:dyDescent="0.2">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2" x14ac:dyDescent="0.2">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2" x14ac:dyDescent="0.2">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2" x14ac:dyDescent="0.2">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2" x14ac:dyDescent="0.2">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2" x14ac:dyDescent="0.2">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2" x14ac:dyDescent="0.2">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2" x14ac:dyDescent="0.2">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2" x14ac:dyDescent="0.2">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2" x14ac:dyDescent="0.2">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2" x14ac:dyDescent="0.2">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2" x14ac:dyDescent="0.2">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2" x14ac:dyDescent="0.2">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2" x14ac:dyDescent="0.2">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2" x14ac:dyDescent="0.2">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2" x14ac:dyDescent="0.2">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2" x14ac:dyDescent="0.2">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2" x14ac:dyDescent="0.2">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2" x14ac:dyDescent="0.2">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2" x14ac:dyDescent="0.2">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2" x14ac:dyDescent="0.2">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2" x14ac:dyDescent="0.2">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2" x14ac:dyDescent="0.2">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2" x14ac:dyDescent="0.2">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2" x14ac:dyDescent="0.2">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2" x14ac:dyDescent="0.2">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2" x14ac:dyDescent="0.2">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2" x14ac:dyDescent="0.2">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2" x14ac:dyDescent="0.2">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2" x14ac:dyDescent="0.2">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2" x14ac:dyDescent="0.2">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2" x14ac:dyDescent="0.2">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2" x14ac:dyDescent="0.2">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2" x14ac:dyDescent="0.2">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2" x14ac:dyDescent="0.2">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2" x14ac:dyDescent="0.2">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2" x14ac:dyDescent="0.2">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2" x14ac:dyDescent="0.2">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2" x14ac:dyDescent="0.2">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2" x14ac:dyDescent="0.2">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2" x14ac:dyDescent="0.2">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2" x14ac:dyDescent="0.2">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2" x14ac:dyDescent="0.2">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2" x14ac:dyDescent="0.2">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2" x14ac:dyDescent="0.2">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2" x14ac:dyDescent="0.2">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2" x14ac:dyDescent="0.2">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2" x14ac:dyDescent="0.2">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2" x14ac:dyDescent="0.2">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2" x14ac:dyDescent="0.2">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2" x14ac:dyDescent="0.2">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2" x14ac:dyDescent="0.2">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2" x14ac:dyDescent="0.2">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2" x14ac:dyDescent="0.2">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2" x14ac:dyDescent="0.2">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2" x14ac:dyDescent="0.2">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2" x14ac:dyDescent="0.2">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2" x14ac:dyDescent="0.2">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2" x14ac:dyDescent="0.2">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2" x14ac:dyDescent="0.2">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2" x14ac:dyDescent="0.2">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2" x14ac:dyDescent="0.2">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2" x14ac:dyDescent="0.2">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2" x14ac:dyDescent="0.2">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2" x14ac:dyDescent="0.2">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2" x14ac:dyDescent="0.2">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2" x14ac:dyDescent="0.2">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2" x14ac:dyDescent="0.2">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2" x14ac:dyDescent="0.2">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2" x14ac:dyDescent="0.2">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2" x14ac:dyDescent="0.2">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2" x14ac:dyDescent="0.2">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2" x14ac:dyDescent="0.2">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2" x14ac:dyDescent="0.2">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2" x14ac:dyDescent="0.2">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2" x14ac:dyDescent="0.2">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2" x14ac:dyDescent="0.2">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2" x14ac:dyDescent="0.2">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2" x14ac:dyDescent="0.2">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2" x14ac:dyDescent="0.2">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2" x14ac:dyDescent="0.2">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2" x14ac:dyDescent="0.2">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2" x14ac:dyDescent="0.2">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2" x14ac:dyDescent="0.2">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2" x14ac:dyDescent="0.2">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2" x14ac:dyDescent="0.2">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2" x14ac:dyDescent="0.2">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2" x14ac:dyDescent="0.2">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2" x14ac:dyDescent="0.2">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2" x14ac:dyDescent="0.2">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2" x14ac:dyDescent="0.2">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2" x14ac:dyDescent="0.2">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2" x14ac:dyDescent="0.2">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2" x14ac:dyDescent="0.2">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2" x14ac:dyDescent="0.2">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2" x14ac:dyDescent="0.2">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2" x14ac:dyDescent="0.2">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2" x14ac:dyDescent="0.2">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2" x14ac:dyDescent="0.2">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2" x14ac:dyDescent="0.2">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2" x14ac:dyDescent="0.2">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2" x14ac:dyDescent="0.2">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2" x14ac:dyDescent="0.2">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2" x14ac:dyDescent="0.2">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2" x14ac:dyDescent="0.2">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2" x14ac:dyDescent="0.2">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2" x14ac:dyDescent="0.2">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2" x14ac:dyDescent="0.2">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2" x14ac:dyDescent="0.2">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2" x14ac:dyDescent="0.2">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2" x14ac:dyDescent="0.2">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2" x14ac:dyDescent="0.2">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2" x14ac:dyDescent="0.2">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2" x14ac:dyDescent="0.2">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2" x14ac:dyDescent="0.2">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2" x14ac:dyDescent="0.2">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2" x14ac:dyDescent="0.2">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2" x14ac:dyDescent="0.2">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2" x14ac:dyDescent="0.2">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2" x14ac:dyDescent="0.2">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2" x14ac:dyDescent="0.2">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2" x14ac:dyDescent="0.2">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2" x14ac:dyDescent="0.2">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2" x14ac:dyDescent="0.2">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2" x14ac:dyDescent="0.2">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2" x14ac:dyDescent="0.2">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2" x14ac:dyDescent="0.2">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2" x14ac:dyDescent="0.2">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2" x14ac:dyDescent="0.2">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2" x14ac:dyDescent="0.2">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2" x14ac:dyDescent="0.2">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2" x14ac:dyDescent="0.2">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2" x14ac:dyDescent="0.2">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2" x14ac:dyDescent="0.2">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2" x14ac:dyDescent="0.2">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2" x14ac:dyDescent="0.2">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2" x14ac:dyDescent="0.2">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2" x14ac:dyDescent="0.2">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2" x14ac:dyDescent="0.2">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2" x14ac:dyDescent="0.2">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2" x14ac:dyDescent="0.2">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2" x14ac:dyDescent="0.2">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2" x14ac:dyDescent="0.2">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2" x14ac:dyDescent="0.2">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2" x14ac:dyDescent="0.2">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2" x14ac:dyDescent="0.2">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2" x14ac:dyDescent="0.2">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2" x14ac:dyDescent="0.2">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2" x14ac:dyDescent="0.2">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2" x14ac:dyDescent="0.2">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2" x14ac:dyDescent="0.2">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2" x14ac:dyDescent="0.2">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2" x14ac:dyDescent="0.2">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2" x14ac:dyDescent="0.2">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2" x14ac:dyDescent="0.2">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2" x14ac:dyDescent="0.2">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2" x14ac:dyDescent="0.2">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2" x14ac:dyDescent="0.2">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2" x14ac:dyDescent="0.2">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2" x14ac:dyDescent="0.2">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2" x14ac:dyDescent="0.2">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2" x14ac:dyDescent="0.2">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2" x14ac:dyDescent="0.2">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2" x14ac:dyDescent="0.2">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2" x14ac:dyDescent="0.2">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2" x14ac:dyDescent="0.2">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2" x14ac:dyDescent="0.2">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2" x14ac:dyDescent="0.2">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2" x14ac:dyDescent="0.2">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2" x14ac:dyDescent="0.2">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2" x14ac:dyDescent="0.2">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2" x14ac:dyDescent="0.2">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2" x14ac:dyDescent="0.2">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2" x14ac:dyDescent="0.2">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2" x14ac:dyDescent="0.2">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2" x14ac:dyDescent="0.2">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2" x14ac:dyDescent="0.2">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2" x14ac:dyDescent="0.2">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2" x14ac:dyDescent="0.2">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2" x14ac:dyDescent="0.2">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2" x14ac:dyDescent="0.2">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2" x14ac:dyDescent="0.2">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2" x14ac:dyDescent="0.2">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2" x14ac:dyDescent="0.2">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2" x14ac:dyDescent="0.2">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2" x14ac:dyDescent="0.2">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2" x14ac:dyDescent="0.2">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2" x14ac:dyDescent="0.2">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2" x14ac:dyDescent="0.2">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2" x14ac:dyDescent="0.2">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2" x14ac:dyDescent="0.2">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2" x14ac:dyDescent="0.2">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2" x14ac:dyDescent="0.2">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2" x14ac:dyDescent="0.2">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2" x14ac:dyDescent="0.2">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2" x14ac:dyDescent="0.2">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2" x14ac:dyDescent="0.2">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2" x14ac:dyDescent="0.2">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2" x14ac:dyDescent="0.2">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2" x14ac:dyDescent="0.2">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2" x14ac:dyDescent="0.2">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2" x14ac:dyDescent="0.2">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2" x14ac:dyDescent="0.2">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2" x14ac:dyDescent="0.2">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2" x14ac:dyDescent="0.2">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2" x14ac:dyDescent="0.2">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2" x14ac:dyDescent="0.2">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2" x14ac:dyDescent="0.2">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2" x14ac:dyDescent="0.2">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2" x14ac:dyDescent="0.2">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2" x14ac:dyDescent="0.2">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2" x14ac:dyDescent="0.2">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2" x14ac:dyDescent="0.2">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2" x14ac:dyDescent="0.2">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2" x14ac:dyDescent="0.2">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2" x14ac:dyDescent="0.2">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2" x14ac:dyDescent="0.2">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2" x14ac:dyDescent="0.2">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2" x14ac:dyDescent="0.2">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2" x14ac:dyDescent="0.2">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2" x14ac:dyDescent="0.2">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2" x14ac:dyDescent="0.2">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2" x14ac:dyDescent="0.2">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2" x14ac:dyDescent="0.2">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2" x14ac:dyDescent="0.2">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2" x14ac:dyDescent="0.2">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2" x14ac:dyDescent="0.2">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2" x14ac:dyDescent="0.2">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2" x14ac:dyDescent="0.2">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2" x14ac:dyDescent="0.2">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2" x14ac:dyDescent="0.2">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2" x14ac:dyDescent="0.2">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2" x14ac:dyDescent="0.2">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2" x14ac:dyDescent="0.2">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2" x14ac:dyDescent="0.2">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2" x14ac:dyDescent="0.2">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2" x14ac:dyDescent="0.2">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2" x14ac:dyDescent="0.2">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2" x14ac:dyDescent="0.2">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2" x14ac:dyDescent="0.2">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2" x14ac:dyDescent="0.2">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2" x14ac:dyDescent="0.2">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2" x14ac:dyDescent="0.2">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2" x14ac:dyDescent="0.2">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2" x14ac:dyDescent="0.2">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2" x14ac:dyDescent="0.2">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2" x14ac:dyDescent="0.2">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2" x14ac:dyDescent="0.2">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2" x14ac:dyDescent="0.2">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2" x14ac:dyDescent="0.2">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2" x14ac:dyDescent="0.2">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2" x14ac:dyDescent="0.2">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2" x14ac:dyDescent="0.2">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2" x14ac:dyDescent="0.2">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2" x14ac:dyDescent="0.2">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2" x14ac:dyDescent="0.2">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2" x14ac:dyDescent="0.2">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2" x14ac:dyDescent="0.2">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2" x14ac:dyDescent="0.2">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2" x14ac:dyDescent="0.2">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2" x14ac:dyDescent="0.2">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2" x14ac:dyDescent="0.2">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2" x14ac:dyDescent="0.2">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2" x14ac:dyDescent="0.2">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2" x14ac:dyDescent="0.2">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2" x14ac:dyDescent="0.2">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2" x14ac:dyDescent="0.2">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2" x14ac:dyDescent="0.2">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2" x14ac:dyDescent="0.2">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2" x14ac:dyDescent="0.2">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2" x14ac:dyDescent="0.2">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2" x14ac:dyDescent="0.2">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2" x14ac:dyDescent="0.2">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2" x14ac:dyDescent="0.2">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2" x14ac:dyDescent="0.2">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2" x14ac:dyDescent="0.2">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2" x14ac:dyDescent="0.2">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2" x14ac:dyDescent="0.2">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2" x14ac:dyDescent="0.2">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2" x14ac:dyDescent="0.2">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2" x14ac:dyDescent="0.2">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2" x14ac:dyDescent="0.2">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2" x14ac:dyDescent="0.2">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2" x14ac:dyDescent="0.2">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2" x14ac:dyDescent="0.2">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2" x14ac:dyDescent="0.2">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2" x14ac:dyDescent="0.2">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2" x14ac:dyDescent="0.2">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2" x14ac:dyDescent="0.2">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2" x14ac:dyDescent="0.2">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2" x14ac:dyDescent="0.2">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2" x14ac:dyDescent="0.2">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2" x14ac:dyDescent="0.2">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2" x14ac:dyDescent="0.2">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2" x14ac:dyDescent="0.2">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2" x14ac:dyDescent="0.2">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2" x14ac:dyDescent="0.2">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2" x14ac:dyDescent="0.2">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2" x14ac:dyDescent="0.2">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2" x14ac:dyDescent="0.2">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2" x14ac:dyDescent="0.2">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2" x14ac:dyDescent="0.2">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2" x14ac:dyDescent="0.2">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2" x14ac:dyDescent="0.2">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2" x14ac:dyDescent="0.2">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2" x14ac:dyDescent="0.2">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2" x14ac:dyDescent="0.2">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2" x14ac:dyDescent="0.2">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2" x14ac:dyDescent="0.2">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2" x14ac:dyDescent="0.2">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2" x14ac:dyDescent="0.2">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2" x14ac:dyDescent="0.2">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2" x14ac:dyDescent="0.2">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2" x14ac:dyDescent="0.2">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2" x14ac:dyDescent="0.2">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2" x14ac:dyDescent="0.2">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2" x14ac:dyDescent="0.2">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2" x14ac:dyDescent="0.2">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2" x14ac:dyDescent="0.2">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2" x14ac:dyDescent="0.2">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2" x14ac:dyDescent="0.2">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2" x14ac:dyDescent="0.2">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2" x14ac:dyDescent="0.2">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2" x14ac:dyDescent="0.2">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2" x14ac:dyDescent="0.2">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2" x14ac:dyDescent="0.2">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2" x14ac:dyDescent="0.2">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2" x14ac:dyDescent="0.2">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2" x14ac:dyDescent="0.2">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2" x14ac:dyDescent="0.2">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2" x14ac:dyDescent="0.2">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2" x14ac:dyDescent="0.2">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2" x14ac:dyDescent="0.2">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2" x14ac:dyDescent="0.2">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2" x14ac:dyDescent="0.2">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2" x14ac:dyDescent="0.2">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2" x14ac:dyDescent="0.2">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2" x14ac:dyDescent="0.2">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2" x14ac:dyDescent="0.2">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2" x14ac:dyDescent="0.2">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2" x14ac:dyDescent="0.2">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2" x14ac:dyDescent="0.2">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2" x14ac:dyDescent="0.2">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2" x14ac:dyDescent="0.2">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2" x14ac:dyDescent="0.2">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2" x14ac:dyDescent="0.2">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2" x14ac:dyDescent="0.2">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2" x14ac:dyDescent="0.2">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2" x14ac:dyDescent="0.2">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2" x14ac:dyDescent="0.2">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2" x14ac:dyDescent="0.2">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2" x14ac:dyDescent="0.2">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2" x14ac:dyDescent="0.2">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2" x14ac:dyDescent="0.2">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2" x14ac:dyDescent="0.2">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2" x14ac:dyDescent="0.2">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2" x14ac:dyDescent="0.2">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2" x14ac:dyDescent="0.2">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2" x14ac:dyDescent="0.2">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2" x14ac:dyDescent="0.2">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2" x14ac:dyDescent="0.2">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2" x14ac:dyDescent="0.2">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2" x14ac:dyDescent="0.2">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2" x14ac:dyDescent="0.2">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2" x14ac:dyDescent="0.2">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2" x14ac:dyDescent="0.2">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2" x14ac:dyDescent="0.2">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2" x14ac:dyDescent="0.2">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2" x14ac:dyDescent="0.2">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2" x14ac:dyDescent="0.2">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2" x14ac:dyDescent="0.2">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2" x14ac:dyDescent="0.2">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2" x14ac:dyDescent="0.2">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2" x14ac:dyDescent="0.2">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2" x14ac:dyDescent="0.2">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2" x14ac:dyDescent="0.2">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2" x14ac:dyDescent="0.2">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2" x14ac:dyDescent="0.2">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2" x14ac:dyDescent="0.2">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2" x14ac:dyDescent="0.2">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2" x14ac:dyDescent="0.2">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2" x14ac:dyDescent="0.2">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2" x14ac:dyDescent="0.2">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2" x14ac:dyDescent="0.2">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2" x14ac:dyDescent="0.2">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2" x14ac:dyDescent="0.2">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2" x14ac:dyDescent="0.2">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2" x14ac:dyDescent="0.2">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2" x14ac:dyDescent="0.2">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2" x14ac:dyDescent="0.2">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2" x14ac:dyDescent="0.2">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2" x14ac:dyDescent="0.2">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2" x14ac:dyDescent="0.2">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2" x14ac:dyDescent="0.2">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2" x14ac:dyDescent="0.2">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2" x14ac:dyDescent="0.2">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2" x14ac:dyDescent="0.2">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2" x14ac:dyDescent="0.2">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2" x14ac:dyDescent="0.2">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2" x14ac:dyDescent="0.2">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2" x14ac:dyDescent="0.2">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2" x14ac:dyDescent="0.2">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2" x14ac:dyDescent="0.2">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2" x14ac:dyDescent="0.2">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2" x14ac:dyDescent="0.2">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2" x14ac:dyDescent="0.2">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2" x14ac:dyDescent="0.2">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2" x14ac:dyDescent="0.2">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2" x14ac:dyDescent="0.2">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2" x14ac:dyDescent="0.2">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2" x14ac:dyDescent="0.2">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2" x14ac:dyDescent="0.2">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2" x14ac:dyDescent="0.2">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2" x14ac:dyDescent="0.2">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2" x14ac:dyDescent="0.2">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2" x14ac:dyDescent="0.2">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2" x14ac:dyDescent="0.2">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2" x14ac:dyDescent="0.2">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2" x14ac:dyDescent="0.2">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2" x14ac:dyDescent="0.2">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2" x14ac:dyDescent="0.2">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2" x14ac:dyDescent="0.2">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2" x14ac:dyDescent="0.2">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2" x14ac:dyDescent="0.2">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2" x14ac:dyDescent="0.2">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2" x14ac:dyDescent="0.2">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2" x14ac:dyDescent="0.2">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2" x14ac:dyDescent="0.2">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2" x14ac:dyDescent="0.2">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2" x14ac:dyDescent="0.2">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2" x14ac:dyDescent="0.2">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2" x14ac:dyDescent="0.2">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2" x14ac:dyDescent="0.2">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2" x14ac:dyDescent="0.2">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2" x14ac:dyDescent="0.2">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2" x14ac:dyDescent="0.2">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2" x14ac:dyDescent="0.2">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2" x14ac:dyDescent="0.2">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2" x14ac:dyDescent="0.2">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2" x14ac:dyDescent="0.2">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2" x14ac:dyDescent="0.2">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2" x14ac:dyDescent="0.2">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2" x14ac:dyDescent="0.2">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2" x14ac:dyDescent="0.2">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2" x14ac:dyDescent="0.2">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2" x14ac:dyDescent="0.2">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2" x14ac:dyDescent="0.2">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2" x14ac:dyDescent="0.2">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2" x14ac:dyDescent="0.2">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2" x14ac:dyDescent="0.2">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2" x14ac:dyDescent="0.2">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2" x14ac:dyDescent="0.2">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2" x14ac:dyDescent="0.2">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2" x14ac:dyDescent="0.2">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2" x14ac:dyDescent="0.2">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2" x14ac:dyDescent="0.2">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2" x14ac:dyDescent="0.2">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2" x14ac:dyDescent="0.2">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2" x14ac:dyDescent="0.2">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2" x14ac:dyDescent="0.2">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2" x14ac:dyDescent="0.2">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2" x14ac:dyDescent="0.2">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2" x14ac:dyDescent="0.2">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2" x14ac:dyDescent="0.2">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2" x14ac:dyDescent="0.2">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2" x14ac:dyDescent="0.2">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2" x14ac:dyDescent="0.2">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2" x14ac:dyDescent="0.2">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2" x14ac:dyDescent="0.2">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2" x14ac:dyDescent="0.2">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2" x14ac:dyDescent="0.2">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2" x14ac:dyDescent="0.2">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2" x14ac:dyDescent="0.2">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2" x14ac:dyDescent="0.2">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2" x14ac:dyDescent="0.2">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2" x14ac:dyDescent="0.2">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2" x14ac:dyDescent="0.2">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2" x14ac:dyDescent="0.2">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2" x14ac:dyDescent="0.2">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2" x14ac:dyDescent="0.2">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2" x14ac:dyDescent="0.2">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2" x14ac:dyDescent="0.2">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2" x14ac:dyDescent="0.2">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2" x14ac:dyDescent="0.2">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2" x14ac:dyDescent="0.2">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2" x14ac:dyDescent="0.2">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2" x14ac:dyDescent="0.2">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2" x14ac:dyDescent="0.2">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2" x14ac:dyDescent="0.2">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2" x14ac:dyDescent="0.2">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2" x14ac:dyDescent="0.2">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2" x14ac:dyDescent="0.2">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2" x14ac:dyDescent="0.2">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2" x14ac:dyDescent="0.2">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2" x14ac:dyDescent="0.2">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2" x14ac:dyDescent="0.2">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2" x14ac:dyDescent="0.2">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2" x14ac:dyDescent="0.2">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2" x14ac:dyDescent="0.2">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2" x14ac:dyDescent="0.2">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2" x14ac:dyDescent="0.2">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2" x14ac:dyDescent="0.2">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2" x14ac:dyDescent="0.2">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2" x14ac:dyDescent="0.2">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2" x14ac:dyDescent="0.2">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2" x14ac:dyDescent="0.2">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2" x14ac:dyDescent="0.2">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2" x14ac:dyDescent="0.2">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2" x14ac:dyDescent="0.2">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2" x14ac:dyDescent="0.2">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2" x14ac:dyDescent="0.2">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2" x14ac:dyDescent="0.2">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2" x14ac:dyDescent="0.2">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2" x14ac:dyDescent="0.2">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2" x14ac:dyDescent="0.2">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2" x14ac:dyDescent="0.2">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2" x14ac:dyDescent="0.2">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2" x14ac:dyDescent="0.2">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2" x14ac:dyDescent="0.2">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2" x14ac:dyDescent="0.2">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2" x14ac:dyDescent="0.2">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2" x14ac:dyDescent="0.2">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2" x14ac:dyDescent="0.2">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2" x14ac:dyDescent="0.2">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2" x14ac:dyDescent="0.2">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2" x14ac:dyDescent="0.2">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2" x14ac:dyDescent="0.2">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2" x14ac:dyDescent="0.2">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2" x14ac:dyDescent="0.2">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2" x14ac:dyDescent="0.2">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2" x14ac:dyDescent="0.2">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2" x14ac:dyDescent="0.2">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2" x14ac:dyDescent="0.2">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2" x14ac:dyDescent="0.2">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2" x14ac:dyDescent="0.2">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2" x14ac:dyDescent="0.2">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2" x14ac:dyDescent="0.2">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2" x14ac:dyDescent="0.2">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2" x14ac:dyDescent="0.2">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2" x14ac:dyDescent="0.2">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2" x14ac:dyDescent="0.2">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2" x14ac:dyDescent="0.2">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2" x14ac:dyDescent="0.2">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2" x14ac:dyDescent="0.2">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2" x14ac:dyDescent="0.2">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2" x14ac:dyDescent="0.2">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2" x14ac:dyDescent="0.2">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2" x14ac:dyDescent="0.2">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2" x14ac:dyDescent="0.2">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2" x14ac:dyDescent="0.2">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2" x14ac:dyDescent="0.2">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2" x14ac:dyDescent="0.2">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2" x14ac:dyDescent="0.2">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2" x14ac:dyDescent="0.2">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2" x14ac:dyDescent="0.2">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2" x14ac:dyDescent="0.2">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2" x14ac:dyDescent="0.2">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2" x14ac:dyDescent="0.2">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2" x14ac:dyDescent="0.2">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2" x14ac:dyDescent="0.2">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2" x14ac:dyDescent="0.2">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2" x14ac:dyDescent="0.2">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2" x14ac:dyDescent="0.2">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2" x14ac:dyDescent="0.2">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2" x14ac:dyDescent="0.2">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2" x14ac:dyDescent="0.2">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2" x14ac:dyDescent="0.2">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2" x14ac:dyDescent="0.2">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2" x14ac:dyDescent="0.2">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2" x14ac:dyDescent="0.2">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2" x14ac:dyDescent="0.2">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2" x14ac:dyDescent="0.2">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2" x14ac:dyDescent="0.2">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2" x14ac:dyDescent="0.2">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2" x14ac:dyDescent="0.2">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2" x14ac:dyDescent="0.2">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2" x14ac:dyDescent="0.2">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2" x14ac:dyDescent="0.2">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2" x14ac:dyDescent="0.2">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2" x14ac:dyDescent="0.2">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2" x14ac:dyDescent="0.2">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2" x14ac:dyDescent="0.2">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2" x14ac:dyDescent="0.2">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2" x14ac:dyDescent="0.2">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2" x14ac:dyDescent="0.2">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2" x14ac:dyDescent="0.2">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2" x14ac:dyDescent="0.2">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2" x14ac:dyDescent="0.2">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2" x14ac:dyDescent="0.2">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2" x14ac:dyDescent="0.2">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2" x14ac:dyDescent="0.2">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2" x14ac:dyDescent="0.2">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2" x14ac:dyDescent="0.2">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2" x14ac:dyDescent="0.2">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2" x14ac:dyDescent="0.2">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2" x14ac:dyDescent="0.2">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2" x14ac:dyDescent="0.2">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2" x14ac:dyDescent="0.2">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2" x14ac:dyDescent="0.2">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2" x14ac:dyDescent="0.2">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2" x14ac:dyDescent="0.2">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2" x14ac:dyDescent="0.2">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2" x14ac:dyDescent="0.2">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2" x14ac:dyDescent="0.2">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2" x14ac:dyDescent="0.2">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2" x14ac:dyDescent="0.2">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2" x14ac:dyDescent="0.2">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2" x14ac:dyDescent="0.2">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2" x14ac:dyDescent="0.2">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2" x14ac:dyDescent="0.2">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2" x14ac:dyDescent="0.2">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2" x14ac:dyDescent="0.2">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2" x14ac:dyDescent="0.2">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2" x14ac:dyDescent="0.2">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2" x14ac:dyDescent="0.2">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2" x14ac:dyDescent="0.2">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2" x14ac:dyDescent="0.2">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2" x14ac:dyDescent="0.2">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2" x14ac:dyDescent="0.2">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2" x14ac:dyDescent="0.2">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2" x14ac:dyDescent="0.2">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2" x14ac:dyDescent="0.2">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2" x14ac:dyDescent="0.2">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2" x14ac:dyDescent="0.2">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2" x14ac:dyDescent="0.2">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2" x14ac:dyDescent="0.2">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2" x14ac:dyDescent="0.2">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2" x14ac:dyDescent="0.2">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2" x14ac:dyDescent="0.2">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2" x14ac:dyDescent="0.2">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2" x14ac:dyDescent="0.2">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2" x14ac:dyDescent="0.2">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2" x14ac:dyDescent="0.2">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2" x14ac:dyDescent="0.2">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2" x14ac:dyDescent="0.2">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2" x14ac:dyDescent="0.2">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2" x14ac:dyDescent="0.2">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2" x14ac:dyDescent="0.2">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2" x14ac:dyDescent="0.2">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2" x14ac:dyDescent="0.2">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2" x14ac:dyDescent="0.2">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2" x14ac:dyDescent="0.2">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2" x14ac:dyDescent="0.2">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2" x14ac:dyDescent="0.2">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2" x14ac:dyDescent="0.2">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2" x14ac:dyDescent="0.2">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2" x14ac:dyDescent="0.2">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2" x14ac:dyDescent="0.2">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2" x14ac:dyDescent="0.2">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2" x14ac:dyDescent="0.2">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2" x14ac:dyDescent="0.2">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2" x14ac:dyDescent="0.2">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2" x14ac:dyDescent="0.2">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2" x14ac:dyDescent="0.2">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2" x14ac:dyDescent="0.2">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2" x14ac:dyDescent="0.2">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2" x14ac:dyDescent="0.2">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2" x14ac:dyDescent="0.2">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2" x14ac:dyDescent="0.2">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2" x14ac:dyDescent="0.2">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2" x14ac:dyDescent="0.2">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2" x14ac:dyDescent="0.2">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2" x14ac:dyDescent="0.2">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2" x14ac:dyDescent="0.2">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2" x14ac:dyDescent="0.2">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2" x14ac:dyDescent="0.2">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2" x14ac:dyDescent="0.2">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2" x14ac:dyDescent="0.2">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2" x14ac:dyDescent="0.2">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2" x14ac:dyDescent="0.2">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2" x14ac:dyDescent="0.2">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2" x14ac:dyDescent="0.2">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2" x14ac:dyDescent="0.2">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2" x14ac:dyDescent="0.2">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2" x14ac:dyDescent="0.2">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2" x14ac:dyDescent="0.2">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2" x14ac:dyDescent="0.2">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2" x14ac:dyDescent="0.2">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2" x14ac:dyDescent="0.2">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2" x14ac:dyDescent="0.2">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2" x14ac:dyDescent="0.2">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2" x14ac:dyDescent="0.2">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2" x14ac:dyDescent="0.2">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2" x14ac:dyDescent="0.2">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2" x14ac:dyDescent="0.2">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2" x14ac:dyDescent="0.2">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2" x14ac:dyDescent="0.2">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2" x14ac:dyDescent="0.2">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2" x14ac:dyDescent="0.2">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2" x14ac:dyDescent="0.2">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2" x14ac:dyDescent="0.2">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2" x14ac:dyDescent="0.2">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2" x14ac:dyDescent="0.2">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2" x14ac:dyDescent="0.2">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2" x14ac:dyDescent="0.2">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2" x14ac:dyDescent="0.2">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2" x14ac:dyDescent="0.2">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2" x14ac:dyDescent="0.2">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2" x14ac:dyDescent="0.2">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2" x14ac:dyDescent="0.2">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2" x14ac:dyDescent="0.2">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2" x14ac:dyDescent="0.2">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2" x14ac:dyDescent="0.2">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2" x14ac:dyDescent="0.2">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2" x14ac:dyDescent="0.2">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2" x14ac:dyDescent="0.2">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2" x14ac:dyDescent="0.2">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2" x14ac:dyDescent="0.2">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2" x14ac:dyDescent="0.2">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2" x14ac:dyDescent="0.2">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2" x14ac:dyDescent="0.2">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2" x14ac:dyDescent="0.2">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2" x14ac:dyDescent="0.2">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2" x14ac:dyDescent="0.2">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2" x14ac:dyDescent="0.2">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2" x14ac:dyDescent="0.2">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2" x14ac:dyDescent="0.2">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2" x14ac:dyDescent="0.2">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2" x14ac:dyDescent="0.2">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2" x14ac:dyDescent="0.2">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2" x14ac:dyDescent="0.2">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2" x14ac:dyDescent="0.2">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2" x14ac:dyDescent="0.2">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2" x14ac:dyDescent="0.2">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2" x14ac:dyDescent="0.2">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2" x14ac:dyDescent="0.2">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2" x14ac:dyDescent="0.2">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2" x14ac:dyDescent="0.2">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2" x14ac:dyDescent="0.2">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2" x14ac:dyDescent="0.2">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2" x14ac:dyDescent="0.2">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2" x14ac:dyDescent="0.2">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2" x14ac:dyDescent="0.2">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2" x14ac:dyDescent="0.2">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2" x14ac:dyDescent="0.2">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2" x14ac:dyDescent="0.2">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2" x14ac:dyDescent="0.2">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2" x14ac:dyDescent="0.2">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2" x14ac:dyDescent="0.2">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2" x14ac:dyDescent="0.2">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2" x14ac:dyDescent="0.2">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2" x14ac:dyDescent="0.2">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2" x14ac:dyDescent="0.2">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2" x14ac:dyDescent="0.2">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2" x14ac:dyDescent="0.2">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2" x14ac:dyDescent="0.2">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2" x14ac:dyDescent="0.2">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2" x14ac:dyDescent="0.2">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2" x14ac:dyDescent="0.2">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2" x14ac:dyDescent="0.2">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2" x14ac:dyDescent="0.2">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2" x14ac:dyDescent="0.2">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2" x14ac:dyDescent="0.2">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2" x14ac:dyDescent="0.2">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2" x14ac:dyDescent="0.2">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2" x14ac:dyDescent="0.2">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2" x14ac:dyDescent="0.2">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2" x14ac:dyDescent="0.2">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2" x14ac:dyDescent="0.2">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2" x14ac:dyDescent="0.2">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2" x14ac:dyDescent="0.2">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2" x14ac:dyDescent="0.2">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2" x14ac:dyDescent="0.2">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2" x14ac:dyDescent="0.2">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2" x14ac:dyDescent="0.2">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2" x14ac:dyDescent="0.2">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2" x14ac:dyDescent="0.2">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2" x14ac:dyDescent="0.2">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2" x14ac:dyDescent="0.2">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2" x14ac:dyDescent="0.2">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2" x14ac:dyDescent="0.2">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2" x14ac:dyDescent="0.2">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2" x14ac:dyDescent="0.2">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2" x14ac:dyDescent="0.2">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2" x14ac:dyDescent="0.2">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2" x14ac:dyDescent="0.2">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2" x14ac:dyDescent="0.2">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2" x14ac:dyDescent="0.2">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2" x14ac:dyDescent="0.2">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2" x14ac:dyDescent="0.2">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2" x14ac:dyDescent="0.2">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2" x14ac:dyDescent="0.2">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2" x14ac:dyDescent="0.2">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2" x14ac:dyDescent="0.2">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2" x14ac:dyDescent="0.2">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2" x14ac:dyDescent="0.2">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2" x14ac:dyDescent="0.2">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2" x14ac:dyDescent="0.2">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2" x14ac:dyDescent="0.2">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2" x14ac:dyDescent="0.2">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2" x14ac:dyDescent="0.2">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2" x14ac:dyDescent="0.2">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2" x14ac:dyDescent="0.2">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2" x14ac:dyDescent="0.2">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2" x14ac:dyDescent="0.2">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2" x14ac:dyDescent="0.2">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2" x14ac:dyDescent="0.2">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2" x14ac:dyDescent="0.2">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2" x14ac:dyDescent="0.2">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2" x14ac:dyDescent="0.2">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2" x14ac:dyDescent="0.2">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2" x14ac:dyDescent="0.2">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2" x14ac:dyDescent="0.2">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2" x14ac:dyDescent="0.2">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2" x14ac:dyDescent="0.2">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2" x14ac:dyDescent="0.2">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2" x14ac:dyDescent="0.2">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2" x14ac:dyDescent="0.2">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2" x14ac:dyDescent="0.2">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2" x14ac:dyDescent="0.2">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2" x14ac:dyDescent="0.2">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2" x14ac:dyDescent="0.2">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2" x14ac:dyDescent="0.2">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2" x14ac:dyDescent="0.2">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2" x14ac:dyDescent="0.2">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2" x14ac:dyDescent="0.2">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2" x14ac:dyDescent="0.2">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2" x14ac:dyDescent="0.2">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2" x14ac:dyDescent="0.2">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2" x14ac:dyDescent="0.2">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2" x14ac:dyDescent="0.2">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0" workbookViewId="0">
      <selection activeCell="A468" sqref="A468"/>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64"/>
      <c r="B1" s="464"/>
      <c r="C1" s="464"/>
      <c r="D1" s="464"/>
      <c r="E1" s="464"/>
      <c r="F1" s="464"/>
      <c r="G1" s="464"/>
      <c r="H1" s="464"/>
      <c r="I1" s="46"/>
      <c r="J1" s="46"/>
      <c r="K1" s="46"/>
      <c r="L1" s="46"/>
      <c r="M1" s="46"/>
      <c r="N1" s="46"/>
      <c r="O1" s="46"/>
      <c r="P1" s="46"/>
      <c r="Q1" s="46"/>
      <c r="R1" s="46"/>
      <c r="S1" s="46"/>
      <c r="T1" s="46"/>
      <c r="U1" s="46"/>
      <c r="V1" s="46"/>
      <c r="W1" s="46"/>
      <c r="X1" s="46"/>
      <c r="Y1" s="46"/>
      <c r="Z1" s="46"/>
      <c r="AA1" s="46"/>
      <c r="AB1" s="46"/>
      <c r="AC1" s="46"/>
    </row>
    <row r="2" spans="1:29" ht="12" x14ac:dyDescent="0.2">
      <c r="A2" s="464"/>
      <c r="B2" s="464"/>
      <c r="C2" s="464"/>
      <c r="D2" s="464"/>
      <c r="E2" s="464"/>
      <c r="F2" s="464"/>
      <c r="G2" s="464"/>
      <c r="H2" s="464"/>
      <c r="I2" s="46"/>
      <c r="J2" s="46"/>
      <c r="K2" s="46"/>
      <c r="L2" s="46"/>
      <c r="M2" s="46"/>
      <c r="N2" s="46"/>
      <c r="O2" s="46"/>
      <c r="P2" s="46"/>
      <c r="Q2" s="46"/>
      <c r="R2" s="46"/>
      <c r="S2" s="46"/>
      <c r="T2" s="46"/>
      <c r="U2" s="46"/>
      <c r="V2" s="46"/>
      <c r="W2" s="46"/>
      <c r="X2" s="46"/>
      <c r="Y2" s="46"/>
      <c r="Z2" s="46"/>
      <c r="AA2" s="46"/>
      <c r="AB2" s="46"/>
      <c r="AC2" s="46"/>
    </row>
    <row r="3" spans="1:29" ht="12" x14ac:dyDescent="0.2">
      <c r="A3" s="464"/>
      <c r="B3" s="464"/>
      <c r="C3" s="464"/>
      <c r="D3" s="464"/>
      <c r="E3" s="464"/>
      <c r="F3" s="464"/>
      <c r="G3" s="464"/>
      <c r="H3" s="464"/>
      <c r="I3" s="46"/>
      <c r="J3" s="46"/>
      <c r="K3" s="46"/>
      <c r="L3" s="46"/>
      <c r="M3" s="46"/>
      <c r="N3" s="46"/>
      <c r="O3" s="46"/>
      <c r="P3" s="46"/>
      <c r="Q3" s="46"/>
      <c r="R3" s="46"/>
      <c r="S3" s="46"/>
      <c r="T3" s="46"/>
      <c r="U3" s="46"/>
      <c r="V3" s="46"/>
      <c r="W3" s="46"/>
      <c r="X3" s="46"/>
      <c r="Y3" s="46"/>
      <c r="Z3" s="46"/>
      <c r="AA3" s="46"/>
      <c r="AB3" s="46"/>
      <c r="AC3" s="46"/>
    </row>
    <row r="4" spans="1:29" ht="12" x14ac:dyDescent="0.2">
      <c r="A4" s="464"/>
      <c r="B4" s="464"/>
      <c r="C4" s="464"/>
      <c r="D4" s="464"/>
      <c r="E4" s="464"/>
      <c r="F4" s="464"/>
      <c r="G4" s="464"/>
      <c r="H4" s="464"/>
      <c r="I4" s="46"/>
      <c r="J4" s="46"/>
      <c r="K4" s="46"/>
      <c r="L4" s="46"/>
      <c r="M4" s="46"/>
      <c r="N4" s="46"/>
      <c r="O4" s="46"/>
      <c r="P4" s="46"/>
      <c r="Q4" s="46"/>
      <c r="R4" s="46"/>
      <c r="S4" s="46"/>
      <c r="T4" s="46"/>
      <c r="U4" s="46"/>
      <c r="V4" s="46"/>
      <c r="W4" s="46"/>
      <c r="X4" s="46"/>
      <c r="Y4" s="46"/>
      <c r="Z4" s="46"/>
      <c r="AA4" s="46"/>
      <c r="AB4" s="46"/>
      <c r="AC4" s="46"/>
    </row>
    <row r="5" spans="1:29" ht="15.75" x14ac:dyDescent="0.25">
      <c r="A5" s="465" t="s">
        <v>998</v>
      </c>
      <c r="B5" s="465"/>
      <c r="C5" s="465"/>
      <c r="D5" s="465"/>
      <c r="E5" s="465"/>
      <c r="F5" s="465"/>
      <c r="G5" s="465"/>
      <c r="H5" s="465"/>
      <c r="I5" s="46"/>
      <c r="J5" s="46"/>
      <c r="K5" s="46"/>
      <c r="L5" s="46"/>
      <c r="M5" s="46"/>
      <c r="N5" s="46"/>
      <c r="O5" s="46"/>
      <c r="P5" s="46"/>
      <c r="Q5" s="46"/>
      <c r="R5" s="46"/>
      <c r="S5" s="46"/>
      <c r="T5" s="46"/>
      <c r="U5" s="46"/>
      <c r="V5" s="46"/>
      <c r="W5" s="46"/>
      <c r="X5" s="46"/>
      <c r="Y5" s="46"/>
      <c r="Z5" s="46"/>
      <c r="AA5" s="46"/>
      <c r="AB5" s="46"/>
      <c r="AC5" s="46"/>
    </row>
    <row r="6" spans="1:29" ht="12.75" x14ac:dyDescent="0.2">
      <c r="A6" s="463" t="s">
        <v>999</v>
      </c>
      <c r="B6" s="463"/>
      <c r="C6" s="463"/>
      <c r="D6" s="463"/>
      <c r="E6" s="463"/>
      <c r="F6" s="463"/>
      <c r="G6" s="463"/>
      <c r="H6" s="463"/>
      <c r="I6" s="46"/>
      <c r="J6" s="46"/>
      <c r="K6" s="46"/>
      <c r="L6" s="46"/>
      <c r="M6" s="46"/>
      <c r="N6" s="46"/>
      <c r="O6" s="46"/>
      <c r="P6" s="46"/>
      <c r="Q6" s="46"/>
      <c r="R6" s="46"/>
      <c r="S6" s="46"/>
      <c r="T6" s="46"/>
      <c r="U6" s="46"/>
      <c r="V6" s="46"/>
      <c r="W6" s="46"/>
      <c r="X6" s="46"/>
      <c r="Y6" s="46"/>
      <c r="Z6" s="46"/>
      <c r="AA6" s="46"/>
      <c r="AB6" s="46"/>
      <c r="AC6" s="46"/>
    </row>
    <row r="7" spans="1:29" ht="12.75" x14ac:dyDescent="0.2">
      <c r="A7" s="463" t="s">
        <v>1000</v>
      </c>
      <c r="B7" s="463"/>
      <c r="C7" s="463"/>
      <c r="D7" s="463"/>
      <c r="E7" s="463"/>
      <c r="F7" s="463"/>
      <c r="G7" s="463"/>
      <c r="H7" s="463"/>
      <c r="I7" s="46"/>
      <c r="J7" s="46"/>
      <c r="K7" s="46"/>
      <c r="L7" s="46"/>
      <c r="M7" s="46"/>
      <c r="N7" s="46"/>
      <c r="O7" s="46"/>
      <c r="P7" s="46"/>
      <c r="Q7" s="46"/>
      <c r="R7" s="46"/>
      <c r="S7" s="46"/>
      <c r="T7" s="46"/>
      <c r="U7" s="46"/>
      <c r="V7" s="46"/>
      <c r="W7" s="46"/>
      <c r="X7" s="46"/>
      <c r="Y7" s="46"/>
      <c r="Z7" s="46"/>
      <c r="AA7" s="46"/>
      <c r="AB7" s="46"/>
      <c r="AC7" s="46"/>
    </row>
    <row r="8" spans="1:29" ht="12" x14ac:dyDescent="0.2">
      <c r="A8" s="464"/>
      <c r="B8" s="464"/>
      <c r="C8" s="464"/>
      <c r="D8" s="464"/>
      <c r="E8" s="464"/>
      <c r="F8" s="464"/>
      <c r="G8" s="464"/>
      <c r="H8" s="464"/>
      <c r="I8" s="46"/>
      <c r="J8" s="46"/>
      <c r="K8" s="46"/>
      <c r="L8" s="46"/>
      <c r="M8" s="46"/>
      <c r="N8" s="46"/>
      <c r="O8" s="46"/>
      <c r="P8" s="46"/>
      <c r="Q8" s="46"/>
      <c r="R8" s="46"/>
      <c r="S8" s="46"/>
      <c r="T8" s="46"/>
      <c r="U8" s="46"/>
      <c r="V8" s="46"/>
      <c r="W8" s="46"/>
      <c r="X8" s="46"/>
      <c r="Y8" s="46"/>
      <c r="Z8" s="46"/>
      <c r="AA8" s="46"/>
      <c r="AB8" s="46"/>
      <c r="AC8" s="46"/>
    </row>
    <row r="9" spans="1:29" ht="12.75" x14ac:dyDescent="0.2">
      <c r="A9" s="469" t="s">
        <v>1001</v>
      </c>
      <c r="B9" s="469"/>
      <c r="C9" s="469"/>
      <c r="D9" s="469"/>
      <c r="E9" s="469"/>
      <c r="F9" s="469"/>
      <c r="G9" s="469"/>
      <c r="H9" s="469"/>
      <c r="I9" s="46"/>
      <c r="J9" s="46"/>
      <c r="K9" s="46"/>
      <c r="L9" s="46"/>
      <c r="M9" s="46"/>
      <c r="N9" s="46"/>
      <c r="O9" s="46"/>
      <c r="P9" s="46"/>
      <c r="Q9" s="46"/>
      <c r="R9" s="46"/>
      <c r="S9" s="46"/>
      <c r="T9" s="46"/>
      <c r="U9" s="46"/>
      <c r="V9" s="46"/>
      <c r="W9" s="46"/>
      <c r="X9" s="46"/>
      <c r="Y9" s="46"/>
      <c r="Z9" s="46"/>
      <c r="AA9" s="46"/>
      <c r="AB9" s="46"/>
      <c r="AC9" s="46"/>
    </row>
    <row r="10" spans="1:29" ht="12.75" x14ac:dyDescent="0.2">
      <c r="A10" s="463" t="s">
        <v>1280</v>
      </c>
      <c r="B10" s="463"/>
      <c r="C10" s="463"/>
      <c r="D10" s="463"/>
      <c r="E10" s="463"/>
      <c r="F10" s="463"/>
      <c r="G10" s="463"/>
      <c r="H10" s="463"/>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70" t="s">
        <v>1003</v>
      </c>
      <c r="B11" s="470"/>
      <c r="C11" s="470"/>
      <c r="D11" s="470"/>
      <c r="E11" s="470"/>
      <c r="F11" s="470"/>
      <c r="G11" s="470"/>
      <c r="H11" s="470"/>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71" t="s">
        <v>1281</v>
      </c>
      <c r="B12" s="471"/>
      <c r="C12" s="471"/>
      <c r="D12" s="471"/>
      <c r="E12" s="471"/>
      <c r="F12" s="471"/>
      <c r="G12" s="471"/>
      <c r="H12" s="471"/>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66" t="s">
        <v>1005</v>
      </c>
      <c r="B13" s="466"/>
      <c r="C13" s="466"/>
      <c r="D13" s="466"/>
      <c r="E13" s="466"/>
      <c r="F13" s="466"/>
      <c r="G13" s="466"/>
      <c r="H13" s="466"/>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67" t="s">
        <v>1006</v>
      </c>
      <c r="B14" s="467"/>
      <c r="C14" s="467"/>
      <c r="D14" s="467"/>
      <c r="E14" s="467"/>
      <c r="F14" s="467"/>
      <c r="G14" s="467"/>
      <c r="H14" s="467"/>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68"/>
      <c r="B15" s="468"/>
      <c r="C15" s="468"/>
      <c r="D15" s="468"/>
      <c r="E15" s="468"/>
      <c r="F15" s="468"/>
      <c r="G15" s="468"/>
      <c r="H15" s="468"/>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2" hidden="1" x14ac:dyDescent="0.2">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2" hidden="1" x14ac:dyDescent="0.2">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2" hidden="1" x14ac:dyDescent="0.2">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2" hidden="1" x14ac:dyDescent="0.2">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2" hidden="1" x14ac:dyDescent="0.2">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2" hidden="1" x14ac:dyDescent="0.2">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2" hidden="1" x14ac:dyDescent="0.2">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2" hidden="1" x14ac:dyDescent="0.2">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2" hidden="1" x14ac:dyDescent="0.2">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2" hidden="1" x14ac:dyDescent="0.2">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2" hidden="1" x14ac:dyDescent="0.2">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2" hidden="1" x14ac:dyDescent="0.2">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2" hidden="1" x14ac:dyDescent="0.2">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2" hidden="1" x14ac:dyDescent="0.2">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2" hidden="1" x14ac:dyDescent="0.2">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2" hidden="1" x14ac:dyDescent="0.2">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2" hidden="1" x14ac:dyDescent="0.2">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2" hidden="1" x14ac:dyDescent="0.2">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2" hidden="1" x14ac:dyDescent="0.2">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2" hidden="1" x14ac:dyDescent="0.2">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2" hidden="1" x14ac:dyDescent="0.2">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2" hidden="1" x14ac:dyDescent="0.2">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2" hidden="1" x14ac:dyDescent="0.2">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2" hidden="1" x14ac:dyDescent="0.2">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2" hidden="1" x14ac:dyDescent="0.2">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2" hidden="1" x14ac:dyDescent="0.2">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2" hidden="1" x14ac:dyDescent="0.2">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2" hidden="1" x14ac:dyDescent="0.2">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2" hidden="1" x14ac:dyDescent="0.2">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2" hidden="1" x14ac:dyDescent="0.2">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2" hidden="1" x14ac:dyDescent="0.2">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2" hidden="1" x14ac:dyDescent="0.2">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2" hidden="1" x14ac:dyDescent="0.2">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2" hidden="1" x14ac:dyDescent="0.2">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2" hidden="1" x14ac:dyDescent="0.2">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2" hidden="1" x14ac:dyDescent="0.2">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2" hidden="1" x14ac:dyDescent="0.2">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2" hidden="1" x14ac:dyDescent="0.2">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2" hidden="1" x14ac:dyDescent="0.2">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2" hidden="1" x14ac:dyDescent="0.2">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2" hidden="1" x14ac:dyDescent="0.2">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2" hidden="1" x14ac:dyDescent="0.2">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2" hidden="1" x14ac:dyDescent="0.2">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2" hidden="1" x14ac:dyDescent="0.2">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2" hidden="1" x14ac:dyDescent="0.2">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2" hidden="1" x14ac:dyDescent="0.2">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2" hidden="1" x14ac:dyDescent="0.2">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2" hidden="1" x14ac:dyDescent="0.2">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2" hidden="1" x14ac:dyDescent="0.2">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2" hidden="1" x14ac:dyDescent="0.2">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2" hidden="1" x14ac:dyDescent="0.2">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2" hidden="1" x14ac:dyDescent="0.2">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2" hidden="1" x14ac:dyDescent="0.2">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2" hidden="1" x14ac:dyDescent="0.2">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2" hidden="1" x14ac:dyDescent="0.2">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2" hidden="1" x14ac:dyDescent="0.2">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2" hidden="1" x14ac:dyDescent="0.2">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2" hidden="1" x14ac:dyDescent="0.2">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2" hidden="1" x14ac:dyDescent="0.2">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2" hidden="1" x14ac:dyDescent="0.2">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2" hidden="1" x14ac:dyDescent="0.2">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2" hidden="1" x14ac:dyDescent="0.2">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2" hidden="1" x14ac:dyDescent="0.2">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2" hidden="1" x14ac:dyDescent="0.2">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2" hidden="1" x14ac:dyDescent="0.2">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2" hidden="1" x14ac:dyDescent="0.2">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2" hidden="1" x14ac:dyDescent="0.2">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2" hidden="1" x14ac:dyDescent="0.2">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2" hidden="1" x14ac:dyDescent="0.2">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2" hidden="1" x14ac:dyDescent="0.2">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2" hidden="1" x14ac:dyDescent="0.2">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2" hidden="1" x14ac:dyDescent="0.2">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2" hidden="1" x14ac:dyDescent="0.2">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2" hidden="1" x14ac:dyDescent="0.2">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2" hidden="1" x14ac:dyDescent="0.2">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4" hidden="1" x14ac:dyDescent="0.2">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4" hidden="1" x14ac:dyDescent="0.2">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4" hidden="1" x14ac:dyDescent="0.2">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4" hidden="1" x14ac:dyDescent="0.2">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4" hidden="1" x14ac:dyDescent="0.2">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4" hidden="1" x14ac:dyDescent="0.2">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4" hidden="1" x14ac:dyDescent="0.2">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4" hidden="1" x14ac:dyDescent="0.2">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4" hidden="1" x14ac:dyDescent="0.2">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4" hidden="1" x14ac:dyDescent="0.2">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4" hidden="1" x14ac:dyDescent="0.2">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4" hidden="1" x14ac:dyDescent="0.2">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4" hidden="1" x14ac:dyDescent="0.2">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4" hidden="1" x14ac:dyDescent="0.2">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4" hidden="1" x14ac:dyDescent="0.2">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2" hidden="1" x14ac:dyDescent="0.2">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2" hidden="1" x14ac:dyDescent="0.2">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2" hidden="1" x14ac:dyDescent="0.2">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2" hidden="1" x14ac:dyDescent="0.2">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2" hidden="1" x14ac:dyDescent="0.2">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2" hidden="1" x14ac:dyDescent="0.2">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2" hidden="1" x14ac:dyDescent="0.2">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2" hidden="1" x14ac:dyDescent="0.2">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2" hidden="1" x14ac:dyDescent="0.2">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2" hidden="1" x14ac:dyDescent="0.2">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2" hidden="1" x14ac:dyDescent="0.2">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2" hidden="1" x14ac:dyDescent="0.2">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2" hidden="1" x14ac:dyDescent="0.2">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2" hidden="1" x14ac:dyDescent="0.2">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2" hidden="1" x14ac:dyDescent="0.2">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2" hidden="1" x14ac:dyDescent="0.2">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2" hidden="1" x14ac:dyDescent="0.2">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2" hidden="1" x14ac:dyDescent="0.2">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2" hidden="1" x14ac:dyDescent="0.2">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2" hidden="1" x14ac:dyDescent="0.2">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2" hidden="1" x14ac:dyDescent="0.2">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2" hidden="1" x14ac:dyDescent="0.2">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2" hidden="1" x14ac:dyDescent="0.2">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2" hidden="1" x14ac:dyDescent="0.2">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2" hidden="1" x14ac:dyDescent="0.2">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2" hidden="1" x14ac:dyDescent="0.2">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2" hidden="1" x14ac:dyDescent="0.2">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2" hidden="1" x14ac:dyDescent="0.2">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2" hidden="1" x14ac:dyDescent="0.2">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2" hidden="1" x14ac:dyDescent="0.2">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2" hidden="1" x14ac:dyDescent="0.2">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2" hidden="1" x14ac:dyDescent="0.2">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2" hidden="1" x14ac:dyDescent="0.2">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2" hidden="1" x14ac:dyDescent="0.2">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2" hidden="1" x14ac:dyDescent="0.2">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2" hidden="1" x14ac:dyDescent="0.2">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2" hidden="1" x14ac:dyDescent="0.2">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2" hidden="1" x14ac:dyDescent="0.2">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2" hidden="1" x14ac:dyDescent="0.2">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2" hidden="1" x14ac:dyDescent="0.2">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2" hidden="1" x14ac:dyDescent="0.2">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2" hidden="1" x14ac:dyDescent="0.2">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2" hidden="1" x14ac:dyDescent="0.2">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2" hidden="1" x14ac:dyDescent="0.2">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2" hidden="1" x14ac:dyDescent="0.2">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2" hidden="1" x14ac:dyDescent="0.2">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2" hidden="1" x14ac:dyDescent="0.2">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2" hidden="1" x14ac:dyDescent="0.2">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2" hidden="1" x14ac:dyDescent="0.2">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2" hidden="1" x14ac:dyDescent="0.2">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2" hidden="1" x14ac:dyDescent="0.2">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2" hidden="1" x14ac:dyDescent="0.2">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2" hidden="1" x14ac:dyDescent="0.2">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2" hidden="1" x14ac:dyDescent="0.2">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2" hidden="1" x14ac:dyDescent="0.2">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2" hidden="1" x14ac:dyDescent="0.2">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2" hidden="1" x14ac:dyDescent="0.2">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2" hidden="1" x14ac:dyDescent="0.2">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2" hidden="1" x14ac:dyDescent="0.2">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2" hidden="1" x14ac:dyDescent="0.2">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2" hidden="1" x14ac:dyDescent="0.2">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2" hidden="1" x14ac:dyDescent="0.2">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2" hidden="1" x14ac:dyDescent="0.2">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2" hidden="1" x14ac:dyDescent="0.2">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2" hidden="1" x14ac:dyDescent="0.2">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2" hidden="1" x14ac:dyDescent="0.2">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2" hidden="1" x14ac:dyDescent="0.2">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2" hidden="1" x14ac:dyDescent="0.2">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2" hidden="1" x14ac:dyDescent="0.2">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2" hidden="1" x14ac:dyDescent="0.2">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2" hidden="1" x14ac:dyDescent="0.2">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2" hidden="1" x14ac:dyDescent="0.2">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2" hidden="1" x14ac:dyDescent="0.2">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2" hidden="1" x14ac:dyDescent="0.2">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2" hidden="1" x14ac:dyDescent="0.2">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2" hidden="1" x14ac:dyDescent="0.2">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2" hidden="1" x14ac:dyDescent="0.2">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2" hidden="1" x14ac:dyDescent="0.2">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2" hidden="1" x14ac:dyDescent="0.2">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2" hidden="1" x14ac:dyDescent="0.2">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2" hidden="1" x14ac:dyDescent="0.2">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2" hidden="1" x14ac:dyDescent="0.2">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2" hidden="1" x14ac:dyDescent="0.2">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2" hidden="1" x14ac:dyDescent="0.2">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2" hidden="1" x14ac:dyDescent="0.2">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2" hidden="1" x14ac:dyDescent="0.2">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2" hidden="1" x14ac:dyDescent="0.2">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2" hidden="1" x14ac:dyDescent="0.2">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2" hidden="1" x14ac:dyDescent="0.2">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2" hidden="1" x14ac:dyDescent="0.2">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2" hidden="1" x14ac:dyDescent="0.2">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2" hidden="1" x14ac:dyDescent="0.2">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2" hidden="1" x14ac:dyDescent="0.2">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2" hidden="1" x14ac:dyDescent="0.2">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2" hidden="1" x14ac:dyDescent="0.2">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2" hidden="1" x14ac:dyDescent="0.2">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2" hidden="1" x14ac:dyDescent="0.2">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2" hidden="1" x14ac:dyDescent="0.2">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2" hidden="1" x14ac:dyDescent="0.2">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2" hidden="1" x14ac:dyDescent="0.2">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2" hidden="1" x14ac:dyDescent="0.2">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2" hidden="1" x14ac:dyDescent="0.2">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2" hidden="1" x14ac:dyDescent="0.2">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2" hidden="1" x14ac:dyDescent="0.2">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2" hidden="1" x14ac:dyDescent="0.2">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2" hidden="1" x14ac:dyDescent="0.2">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2" hidden="1" x14ac:dyDescent="0.2">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2" hidden="1" x14ac:dyDescent="0.2">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2" hidden="1" x14ac:dyDescent="0.2">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2" hidden="1" x14ac:dyDescent="0.2">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2" hidden="1" x14ac:dyDescent="0.2">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2" hidden="1" x14ac:dyDescent="0.2">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2" hidden="1" x14ac:dyDescent="0.2">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2" hidden="1" x14ac:dyDescent="0.2">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2" hidden="1" x14ac:dyDescent="0.2">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2" hidden="1" x14ac:dyDescent="0.2">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2" hidden="1" x14ac:dyDescent="0.2">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2" hidden="1" x14ac:dyDescent="0.2">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2" hidden="1" x14ac:dyDescent="0.2">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2" hidden="1" x14ac:dyDescent="0.2">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2" hidden="1" x14ac:dyDescent="0.2">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2" hidden="1" x14ac:dyDescent="0.2">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2" hidden="1" x14ac:dyDescent="0.2">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2" hidden="1" x14ac:dyDescent="0.2">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2" hidden="1" x14ac:dyDescent="0.2">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2" hidden="1" x14ac:dyDescent="0.2">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2" hidden="1" x14ac:dyDescent="0.2">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2" hidden="1" x14ac:dyDescent="0.2">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2" hidden="1" x14ac:dyDescent="0.2">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2" hidden="1" x14ac:dyDescent="0.2">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2" hidden="1" x14ac:dyDescent="0.2">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2" hidden="1" x14ac:dyDescent="0.2">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2" hidden="1" x14ac:dyDescent="0.2">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2" hidden="1" x14ac:dyDescent="0.2">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2" hidden="1" x14ac:dyDescent="0.2">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2" hidden="1" x14ac:dyDescent="0.2">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2" hidden="1" x14ac:dyDescent="0.2">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2" hidden="1" x14ac:dyDescent="0.2">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2" hidden="1" x14ac:dyDescent="0.2">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2" hidden="1" x14ac:dyDescent="0.2">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2" hidden="1" x14ac:dyDescent="0.2">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2" hidden="1" x14ac:dyDescent="0.2">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2" hidden="1" x14ac:dyDescent="0.2">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2" hidden="1" x14ac:dyDescent="0.2">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2" hidden="1" x14ac:dyDescent="0.2">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2" hidden="1" x14ac:dyDescent="0.2">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2" hidden="1" x14ac:dyDescent="0.2">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2" hidden="1" x14ac:dyDescent="0.2">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2" hidden="1" x14ac:dyDescent="0.2">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2" hidden="1" x14ac:dyDescent="0.2">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2" hidden="1" x14ac:dyDescent="0.2">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2" hidden="1" x14ac:dyDescent="0.2">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2" hidden="1" x14ac:dyDescent="0.2">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2" hidden="1" x14ac:dyDescent="0.2">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2" hidden="1" x14ac:dyDescent="0.2">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2" hidden="1" x14ac:dyDescent="0.2">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2" hidden="1" x14ac:dyDescent="0.2">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2" hidden="1" x14ac:dyDescent="0.2">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2" hidden="1" x14ac:dyDescent="0.2">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2" hidden="1" x14ac:dyDescent="0.2">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2" hidden="1" x14ac:dyDescent="0.2">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2" hidden="1" x14ac:dyDescent="0.2">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2" hidden="1" x14ac:dyDescent="0.2">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2" hidden="1" x14ac:dyDescent="0.2">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2" hidden="1" x14ac:dyDescent="0.2">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2" hidden="1" x14ac:dyDescent="0.2">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2" hidden="1" x14ac:dyDescent="0.2">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2" hidden="1" x14ac:dyDescent="0.2">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2" hidden="1" x14ac:dyDescent="0.2">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2" hidden="1" x14ac:dyDescent="0.2">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2" hidden="1" x14ac:dyDescent="0.2">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2" hidden="1" x14ac:dyDescent="0.2">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2" hidden="1" x14ac:dyDescent="0.2">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2" hidden="1" x14ac:dyDescent="0.2">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2" hidden="1" x14ac:dyDescent="0.2">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2" hidden="1" x14ac:dyDescent="0.2">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2" hidden="1" x14ac:dyDescent="0.2">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2" hidden="1" x14ac:dyDescent="0.2">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2" hidden="1" x14ac:dyDescent="0.2">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2" hidden="1" x14ac:dyDescent="0.2">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2" hidden="1" x14ac:dyDescent="0.2">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2" hidden="1" x14ac:dyDescent="0.2">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2" hidden="1" x14ac:dyDescent="0.2">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2" hidden="1" x14ac:dyDescent="0.2">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2" hidden="1" x14ac:dyDescent="0.2">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2" hidden="1" x14ac:dyDescent="0.2">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2" hidden="1" x14ac:dyDescent="0.2">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2" hidden="1" x14ac:dyDescent="0.2">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2" hidden="1" x14ac:dyDescent="0.2">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2" hidden="1" x14ac:dyDescent="0.2">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2" hidden="1" x14ac:dyDescent="0.2">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2" hidden="1" x14ac:dyDescent="0.2">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2" hidden="1" x14ac:dyDescent="0.2">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2" hidden="1" x14ac:dyDescent="0.2">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2" hidden="1" x14ac:dyDescent="0.2">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2" hidden="1" x14ac:dyDescent="0.2">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2" hidden="1" x14ac:dyDescent="0.2">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2" hidden="1" x14ac:dyDescent="0.2">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2" hidden="1" x14ac:dyDescent="0.2">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2" hidden="1" x14ac:dyDescent="0.2">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2" hidden="1" x14ac:dyDescent="0.2">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2" hidden="1" x14ac:dyDescent="0.2">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2" hidden="1" x14ac:dyDescent="0.2">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2" hidden="1" x14ac:dyDescent="0.2">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2" hidden="1" x14ac:dyDescent="0.2">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2" hidden="1" x14ac:dyDescent="0.2">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2" hidden="1" x14ac:dyDescent="0.2">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2" hidden="1" x14ac:dyDescent="0.2">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2" hidden="1" x14ac:dyDescent="0.2">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2" hidden="1" x14ac:dyDescent="0.2">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2" hidden="1" x14ac:dyDescent="0.2">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2" hidden="1" x14ac:dyDescent="0.2">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2" hidden="1" x14ac:dyDescent="0.2">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2" hidden="1" x14ac:dyDescent="0.2">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2" hidden="1" x14ac:dyDescent="0.2">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2" hidden="1" x14ac:dyDescent="0.2">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2" hidden="1" x14ac:dyDescent="0.2">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2" hidden="1" x14ac:dyDescent="0.2">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2" hidden="1" x14ac:dyDescent="0.2">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2" hidden="1" x14ac:dyDescent="0.2">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2" hidden="1" x14ac:dyDescent="0.2">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2" hidden="1" x14ac:dyDescent="0.2">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2" hidden="1" x14ac:dyDescent="0.2">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2" hidden="1" x14ac:dyDescent="0.2">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2" hidden="1" x14ac:dyDescent="0.2">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2" hidden="1" x14ac:dyDescent="0.2">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2" hidden="1" x14ac:dyDescent="0.2">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2" hidden="1" x14ac:dyDescent="0.2">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2" hidden="1" x14ac:dyDescent="0.2">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2" hidden="1" x14ac:dyDescent="0.2">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2" hidden="1" x14ac:dyDescent="0.2">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2" hidden="1" x14ac:dyDescent="0.2">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2" hidden="1" x14ac:dyDescent="0.2">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2" hidden="1" x14ac:dyDescent="0.2">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2" hidden="1" x14ac:dyDescent="0.2">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2" hidden="1" x14ac:dyDescent="0.2">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2" hidden="1" x14ac:dyDescent="0.2">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2" hidden="1" x14ac:dyDescent="0.2">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2" hidden="1" x14ac:dyDescent="0.2">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2" hidden="1" x14ac:dyDescent="0.2">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2" hidden="1" x14ac:dyDescent="0.2">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2" hidden="1" x14ac:dyDescent="0.2">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2" hidden="1" x14ac:dyDescent="0.2">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2" hidden="1" x14ac:dyDescent="0.2">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2" hidden="1" x14ac:dyDescent="0.2">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2" hidden="1" x14ac:dyDescent="0.2">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2" hidden="1" x14ac:dyDescent="0.2">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2" hidden="1" x14ac:dyDescent="0.2">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2" hidden="1" x14ac:dyDescent="0.2">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2" hidden="1" x14ac:dyDescent="0.2">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2" hidden="1" x14ac:dyDescent="0.2">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2" hidden="1" x14ac:dyDescent="0.2">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2" hidden="1" x14ac:dyDescent="0.2">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2" hidden="1" x14ac:dyDescent="0.2">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2" hidden="1" x14ac:dyDescent="0.2">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2" hidden="1" x14ac:dyDescent="0.2">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2" hidden="1" x14ac:dyDescent="0.2">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2" hidden="1" x14ac:dyDescent="0.2">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2" hidden="1" x14ac:dyDescent="0.2">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2" hidden="1" x14ac:dyDescent="0.2">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2" hidden="1" x14ac:dyDescent="0.2">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2" hidden="1" x14ac:dyDescent="0.2">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2" hidden="1" x14ac:dyDescent="0.2">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2" hidden="1" x14ac:dyDescent="0.2">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2" hidden="1" x14ac:dyDescent="0.2">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2" hidden="1" x14ac:dyDescent="0.2">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2" hidden="1" x14ac:dyDescent="0.2">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2" hidden="1" x14ac:dyDescent="0.2">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2" hidden="1" x14ac:dyDescent="0.2">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2" hidden="1" x14ac:dyDescent="0.2">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2" hidden="1" x14ac:dyDescent="0.2">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2" hidden="1" x14ac:dyDescent="0.2">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2" hidden="1" x14ac:dyDescent="0.2">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2" hidden="1" x14ac:dyDescent="0.2">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2" hidden="1" x14ac:dyDescent="0.2">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2" hidden="1" x14ac:dyDescent="0.2">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2" hidden="1" x14ac:dyDescent="0.2">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2" hidden="1" x14ac:dyDescent="0.2">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2" hidden="1" x14ac:dyDescent="0.2">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2" hidden="1" x14ac:dyDescent="0.2">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2" hidden="1" x14ac:dyDescent="0.2">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2" hidden="1" x14ac:dyDescent="0.2">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2" hidden="1" x14ac:dyDescent="0.2">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2" hidden="1" x14ac:dyDescent="0.2">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2" hidden="1" x14ac:dyDescent="0.2">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2" hidden="1" x14ac:dyDescent="0.2">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2" hidden="1" x14ac:dyDescent="0.2">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2" hidden="1" x14ac:dyDescent="0.2">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2" hidden="1" x14ac:dyDescent="0.2">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2" hidden="1" x14ac:dyDescent="0.2">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2" hidden="1" x14ac:dyDescent="0.2">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2" hidden="1" x14ac:dyDescent="0.2">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2" hidden="1" x14ac:dyDescent="0.2">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2" hidden="1" x14ac:dyDescent="0.2">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2" hidden="1" x14ac:dyDescent="0.2">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2" hidden="1" x14ac:dyDescent="0.2">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2" hidden="1" x14ac:dyDescent="0.2">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2" hidden="1" x14ac:dyDescent="0.2">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2" hidden="1" x14ac:dyDescent="0.2">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2" hidden="1" x14ac:dyDescent="0.2">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2" hidden="1" x14ac:dyDescent="0.2">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2" hidden="1" x14ac:dyDescent="0.2">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2" hidden="1" x14ac:dyDescent="0.2">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2" hidden="1" x14ac:dyDescent="0.2">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2" hidden="1" x14ac:dyDescent="0.2">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2" hidden="1" x14ac:dyDescent="0.2">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2" hidden="1" x14ac:dyDescent="0.2">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2" hidden="1" x14ac:dyDescent="0.2">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2" hidden="1" x14ac:dyDescent="0.2">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2" hidden="1" x14ac:dyDescent="0.2">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2" hidden="1" x14ac:dyDescent="0.2">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2" hidden="1" x14ac:dyDescent="0.2">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2" hidden="1" x14ac:dyDescent="0.2">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2" hidden="1" x14ac:dyDescent="0.2">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2" hidden="1" x14ac:dyDescent="0.2">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2" hidden="1" x14ac:dyDescent="0.2">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2" hidden="1" x14ac:dyDescent="0.2">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2" hidden="1" x14ac:dyDescent="0.2">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2" hidden="1" x14ac:dyDescent="0.2">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2" hidden="1" x14ac:dyDescent="0.2">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2" hidden="1" x14ac:dyDescent="0.2">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2" hidden="1" x14ac:dyDescent="0.2">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2" hidden="1" x14ac:dyDescent="0.2">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2" hidden="1" x14ac:dyDescent="0.2">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2" hidden="1" x14ac:dyDescent="0.2">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2" hidden="1" x14ac:dyDescent="0.2">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2" hidden="1" x14ac:dyDescent="0.2">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2" hidden="1" x14ac:dyDescent="0.2">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2" hidden="1" x14ac:dyDescent="0.2">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2" hidden="1" x14ac:dyDescent="0.2">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2" hidden="1" x14ac:dyDescent="0.2">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2" hidden="1" x14ac:dyDescent="0.2">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2" hidden="1" x14ac:dyDescent="0.2">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2" hidden="1" x14ac:dyDescent="0.2">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2" hidden="1" x14ac:dyDescent="0.2">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2" hidden="1" x14ac:dyDescent="0.2">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2" hidden="1" x14ac:dyDescent="0.2">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2" hidden="1" x14ac:dyDescent="0.2">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2" hidden="1" x14ac:dyDescent="0.2">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2" hidden="1" x14ac:dyDescent="0.2">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2" hidden="1" x14ac:dyDescent="0.2">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2" hidden="1" x14ac:dyDescent="0.2">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2" hidden="1" x14ac:dyDescent="0.2">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2" hidden="1" x14ac:dyDescent="0.2">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2" hidden="1" x14ac:dyDescent="0.2">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2" hidden="1" x14ac:dyDescent="0.2">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2" hidden="1" x14ac:dyDescent="0.2">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2" hidden="1" x14ac:dyDescent="0.2">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2" hidden="1" x14ac:dyDescent="0.2">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2" hidden="1" x14ac:dyDescent="0.2">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2" hidden="1" x14ac:dyDescent="0.2">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2" hidden="1" x14ac:dyDescent="0.2">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2" hidden="1" x14ac:dyDescent="0.2">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2" hidden="1" x14ac:dyDescent="0.2">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2" hidden="1" x14ac:dyDescent="0.2">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2" hidden="1" x14ac:dyDescent="0.2">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2" hidden="1" x14ac:dyDescent="0.2">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2" hidden="1" x14ac:dyDescent="0.2">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2" hidden="1" x14ac:dyDescent="0.2">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2" hidden="1" x14ac:dyDescent="0.2">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2" x14ac:dyDescent="0.2">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2" x14ac:dyDescent="0.2">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2" x14ac:dyDescent="0.2">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2" x14ac:dyDescent="0.2">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2" x14ac:dyDescent="0.2">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2" x14ac:dyDescent="0.2">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2" x14ac:dyDescent="0.2">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2" x14ac:dyDescent="0.2">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2" x14ac:dyDescent="0.2">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2" x14ac:dyDescent="0.2">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2" x14ac:dyDescent="0.2">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2" x14ac:dyDescent="0.2">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2" x14ac:dyDescent="0.2">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2" x14ac:dyDescent="0.2">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2" x14ac:dyDescent="0.2">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2" hidden="1" x14ac:dyDescent="0.2">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2" hidden="1" x14ac:dyDescent="0.2">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2" hidden="1" x14ac:dyDescent="0.2">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2" hidden="1" x14ac:dyDescent="0.2">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2" hidden="1" x14ac:dyDescent="0.2">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2" hidden="1" x14ac:dyDescent="0.2">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2" hidden="1" x14ac:dyDescent="0.2">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2" hidden="1" x14ac:dyDescent="0.2">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2" hidden="1" x14ac:dyDescent="0.2">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2" hidden="1" x14ac:dyDescent="0.2">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2" hidden="1" x14ac:dyDescent="0.2">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2" hidden="1" x14ac:dyDescent="0.2">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2" hidden="1" x14ac:dyDescent="0.2">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2" hidden="1" x14ac:dyDescent="0.2">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2" hidden="1" x14ac:dyDescent="0.2">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2" hidden="1" x14ac:dyDescent="0.2">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2" hidden="1" x14ac:dyDescent="0.2">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2" hidden="1" x14ac:dyDescent="0.2">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2" hidden="1" x14ac:dyDescent="0.2">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2" hidden="1" x14ac:dyDescent="0.2">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2" hidden="1" x14ac:dyDescent="0.2">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2" hidden="1" x14ac:dyDescent="0.2">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2" hidden="1" x14ac:dyDescent="0.2">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2" hidden="1" x14ac:dyDescent="0.2">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2" hidden="1" x14ac:dyDescent="0.2">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2" hidden="1" x14ac:dyDescent="0.2">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2" hidden="1" x14ac:dyDescent="0.2">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2" hidden="1" x14ac:dyDescent="0.2">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2" hidden="1" x14ac:dyDescent="0.2">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2" hidden="1" x14ac:dyDescent="0.2">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2" hidden="1" x14ac:dyDescent="0.2">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2" hidden="1" x14ac:dyDescent="0.2">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2" hidden="1" x14ac:dyDescent="0.2">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2" hidden="1" x14ac:dyDescent="0.2">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2" hidden="1" x14ac:dyDescent="0.2">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2" hidden="1" x14ac:dyDescent="0.2">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2" hidden="1" x14ac:dyDescent="0.2">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2" hidden="1" x14ac:dyDescent="0.2">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2" hidden="1" x14ac:dyDescent="0.2">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2" hidden="1" x14ac:dyDescent="0.2">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2" hidden="1" x14ac:dyDescent="0.2">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2" hidden="1" x14ac:dyDescent="0.2">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2" hidden="1" x14ac:dyDescent="0.2">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2" hidden="1" x14ac:dyDescent="0.2">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2" hidden="1" x14ac:dyDescent="0.2">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2" hidden="1" x14ac:dyDescent="0.2">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2" hidden="1" x14ac:dyDescent="0.2">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2" hidden="1" x14ac:dyDescent="0.2">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2" hidden="1" x14ac:dyDescent="0.2">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2" hidden="1" x14ac:dyDescent="0.2">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2" hidden="1" x14ac:dyDescent="0.2">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2" hidden="1" x14ac:dyDescent="0.2">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2" hidden="1" x14ac:dyDescent="0.2">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2" hidden="1" x14ac:dyDescent="0.2">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2" hidden="1" x14ac:dyDescent="0.2">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2" hidden="1" x14ac:dyDescent="0.2">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2" hidden="1" x14ac:dyDescent="0.2">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2" hidden="1" x14ac:dyDescent="0.2">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2" hidden="1" x14ac:dyDescent="0.2">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2" hidden="1" x14ac:dyDescent="0.2">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2" hidden="1" x14ac:dyDescent="0.2">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2" hidden="1" x14ac:dyDescent="0.2">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2" hidden="1" x14ac:dyDescent="0.2">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2" hidden="1" x14ac:dyDescent="0.2">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2" hidden="1" x14ac:dyDescent="0.2">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2" hidden="1" x14ac:dyDescent="0.2">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2" hidden="1" x14ac:dyDescent="0.2">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2" hidden="1" x14ac:dyDescent="0.2">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2" hidden="1" x14ac:dyDescent="0.2">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2" hidden="1" x14ac:dyDescent="0.2">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2" hidden="1" x14ac:dyDescent="0.2">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2" hidden="1" x14ac:dyDescent="0.2">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2" hidden="1" x14ac:dyDescent="0.2">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2" hidden="1" x14ac:dyDescent="0.2">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2" hidden="1" x14ac:dyDescent="0.2">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2" hidden="1" x14ac:dyDescent="0.2">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2" hidden="1" x14ac:dyDescent="0.2">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2" hidden="1" x14ac:dyDescent="0.2">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2" hidden="1" x14ac:dyDescent="0.2">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2" hidden="1" x14ac:dyDescent="0.2">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2" hidden="1" x14ac:dyDescent="0.2">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2" hidden="1" x14ac:dyDescent="0.2">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2" hidden="1" x14ac:dyDescent="0.2">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2" hidden="1" x14ac:dyDescent="0.2">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2" hidden="1" x14ac:dyDescent="0.2">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2" hidden="1" x14ac:dyDescent="0.2">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2" hidden="1" x14ac:dyDescent="0.2">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2" hidden="1" x14ac:dyDescent="0.2">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2" hidden="1" x14ac:dyDescent="0.2">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2" hidden="1" x14ac:dyDescent="0.2">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2" hidden="1" x14ac:dyDescent="0.2">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2" hidden="1" x14ac:dyDescent="0.2">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2" hidden="1" x14ac:dyDescent="0.2">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2" hidden="1" x14ac:dyDescent="0.2">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2" hidden="1" x14ac:dyDescent="0.2">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2" hidden="1" x14ac:dyDescent="0.2">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2" hidden="1" x14ac:dyDescent="0.2">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2" hidden="1" x14ac:dyDescent="0.2">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2" hidden="1" x14ac:dyDescent="0.2">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2" hidden="1" x14ac:dyDescent="0.2">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2" hidden="1" x14ac:dyDescent="0.2">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2" hidden="1" x14ac:dyDescent="0.2">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2" hidden="1" x14ac:dyDescent="0.2">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2" hidden="1" x14ac:dyDescent="0.2">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2" hidden="1" x14ac:dyDescent="0.2">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2" hidden="1" x14ac:dyDescent="0.2">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2" hidden="1" x14ac:dyDescent="0.2">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2" hidden="1" x14ac:dyDescent="0.2">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2" hidden="1" x14ac:dyDescent="0.2">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2" hidden="1" x14ac:dyDescent="0.2">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2" hidden="1" x14ac:dyDescent="0.2">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2" hidden="1" x14ac:dyDescent="0.2">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2" hidden="1" x14ac:dyDescent="0.2">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2" hidden="1" x14ac:dyDescent="0.2">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2" hidden="1" x14ac:dyDescent="0.2">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2" hidden="1" x14ac:dyDescent="0.2">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2" hidden="1" x14ac:dyDescent="0.2">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2" hidden="1" x14ac:dyDescent="0.2">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2" hidden="1" x14ac:dyDescent="0.2">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2" hidden="1" x14ac:dyDescent="0.2">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2" hidden="1" x14ac:dyDescent="0.2">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2" hidden="1" x14ac:dyDescent="0.2">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2" hidden="1" x14ac:dyDescent="0.2">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2" hidden="1" x14ac:dyDescent="0.2">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2" hidden="1" x14ac:dyDescent="0.2">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2" hidden="1" x14ac:dyDescent="0.2">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2" hidden="1" x14ac:dyDescent="0.2">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2" hidden="1" x14ac:dyDescent="0.2">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2" hidden="1" x14ac:dyDescent="0.2">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2" hidden="1" x14ac:dyDescent="0.2">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2" hidden="1" x14ac:dyDescent="0.2">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2" hidden="1" x14ac:dyDescent="0.2">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2" hidden="1" x14ac:dyDescent="0.2">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2" hidden="1" x14ac:dyDescent="0.2">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2" hidden="1" x14ac:dyDescent="0.2">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2" hidden="1" x14ac:dyDescent="0.2">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2" hidden="1" x14ac:dyDescent="0.2">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2" hidden="1" x14ac:dyDescent="0.2">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2" hidden="1" x14ac:dyDescent="0.2">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2" hidden="1" x14ac:dyDescent="0.2">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2" hidden="1" x14ac:dyDescent="0.2">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2" hidden="1" x14ac:dyDescent="0.2">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2" hidden="1" x14ac:dyDescent="0.2">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2" hidden="1" x14ac:dyDescent="0.2">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2" hidden="1" x14ac:dyDescent="0.2">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2" hidden="1" x14ac:dyDescent="0.2">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2" hidden="1" x14ac:dyDescent="0.2">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2" hidden="1" x14ac:dyDescent="0.2">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2" hidden="1" x14ac:dyDescent="0.2">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2" hidden="1" x14ac:dyDescent="0.2">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2" hidden="1" x14ac:dyDescent="0.2">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2" hidden="1" x14ac:dyDescent="0.2">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2" hidden="1" x14ac:dyDescent="0.2">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2" hidden="1" x14ac:dyDescent="0.2">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2" hidden="1" x14ac:dyDescent="0.2">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2" hidden="1" x14ac:dyDescent="0.2">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2" hidden="1" x14ac:dyDescent="0.2">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2" hidden="1" x14ac:dyDescent="0.2">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2" hidden="1" x14ac:dyDescent="0.2">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2" hidden="1" x14ac:dyDescent="0.2">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2" hidden="1" x14ac:dyDescent="0.2">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2" hidden="1" x14ac:dyDescent="0.2">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2" hidden="1" x14ac:dyDescent="0.2">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2" hidden="1" x14ac:dyDescent="0.2">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2" hidden="1" x14ac:dyDescent="0.2">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2" hidden="1" x14ac:dyDescent="0.2">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2" hidden="1" x14ac:dyDescent="0.2">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2" hidden="1" x14ac:dyDescent="0.2">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2" hidden="1" x14ac:dyDescent="0.2">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2" hidden="1" x14ac:dyDescent="0.2">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2" hidden="1" x14ac:dyDescent="0.2">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2" hidden="1" x14ac:dyDescent="0.2">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2" hidden="1" x14ac:dyDescent="0.2">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2" hidden="1" x14ac:dyDescent="0.2">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2" hidden="1" x14ac:dyDescent="0.2">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2" hidden="1" x14ac:dyDescent="0.2">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2" hidden="1" x14ac:dyDescent="0.2">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2" hidden="1" x14ac:dyDescent="0.2">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2" hidden="1" x14ac:dyDescent="0.2">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2" hidden="1" x14ac:dyDescent="0.2">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2" hidden="1" x14ac:dyDescent="0.2">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2" hidden="1" x14ac:dyDescent="0.2">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2" hidden="1" x14ac:dyDescent="0.2">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2" hidden="1" x14ac:dyDescent="0.2">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2" hidden="1" x14ac:dyDescent="0.2">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2" hidden="1" x14ac:dyDescent="0.2">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2" hidden="1" x14ac:dyDescent="0.2">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2" hidden="1" x14ac:dyDescent="0.2">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2" hidden="1" x14ac:dyDescent="0.2">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2" hidden="1" x14ac:dyDescent="0.2">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2" hidden="1" x14ac:dyDescent="0.2">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2" hidden="1" x14ac:dyDescent="0.2">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2" hidden="1" x14ac:dyDescent="0.2">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2" hidden="1" x14ac:dyDescent="0.2">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2" hidden="1" x14ac:dyDescent="0.2">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2" hidden="1" x14ac:dyDescent="0.2">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2" hidden="1" x14ac:dyDescent="0.2">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2" hidden="1" x14ac:dyDescent="0.2">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2" hidden="1" x14ac:dyDescent="0.2">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2" hidden="1" x14ac:dyDescent="0.2">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2" hidden="1" x14ac:dyDescent="0.2">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2" hidden="1" x14ac:dyDescent="0.2">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2" hidden="1" x14ac:dyDescent="0.2">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2" hidden="1" x14ac:dyDescent="0.2">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2" hidden="1" x14ac:dyDescent="0.2">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2" hidden="1" x14ac:dyDescent="0.2">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2" hidden="1" x14ac:dyDescent="0.2">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2" hidden="1" x14ac:dyDescent="0.2">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2" hidden="1" x14ac:dyDescent="0.2">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2" hidden="1" x14ac:dyDescent="0.2">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2" hidden="1" x14ac:dyDescent="0.2">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2" hidden="1" x14ac:dyDescent="0.2">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2" hidden="1" x14ac:dyDescent="0.2">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2" hidden="1" x14ac:dyDescent="0.2">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2" hidden="1" x14ac:dyDescent="0.2">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2" hidden="1" x14ac:dyDescent="0.2">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2" hidden="1" x14ac:dyDescent="0.2">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2" hidden="1" x14ac:dyDescent="0.2">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2" hidden="1" x14ac:dyDescent="0.2">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2" hidden="1" x14ac:dyDescent="0.2">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2" hidden="1" x14ac:dyDescent="0.2">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2" hidden="1" x14ac:dyDescent="0.2">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2" hidden="1" x14ac:dyDescent="0.2">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2" hidden="1" x14ac:dyDescent="0.2">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2" hidden="1" x14ac:dyDescent="0.2">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2" hidden="1" x14ac:dyDescent="0.2">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2" hidden="1" x14ac:dyDescent="0.2">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2" hidden="1" x14ac:dyDescent="0.2">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2" hidden="1" x14ac:dyDescent="0.2">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2" hidden="1" x14ac:dyDescent="0.2">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2" hidden="1" x14ac:dyDescent="0.2">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2" hidden="1" x14ac:dyDescent="0.2">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2" hidden="1" x14ac:dyDescent="0.2">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2" hidden="1" x14ac:dyDescent="0.2">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2" hidden="1" x14ac:dyDescent="0.2">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2" hidden="1" x14ac:dyDescent="0.2">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2" hidden="1" x14ac:dyDescent="0.2">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2" hidden="1" x14ac:dyDescent="0.2">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2" hidden="1" x14ac:dyDescent="0.2">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2" hidden="1" x14ac:dyDescent="0.2">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2" hidden="1" x14ac:dyDescent="0.2">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2" hidden="1" x14ac:dyDescent="0.2">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2" hidden="1" x14ac:dyDescent="0.2">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2" hidden="1" x14ac:dyDescent="0.2">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2" hidden="1" x14ac:dyDescent="0.2">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2" hidden="1" x14ac:dyDescent="0.2">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2" hidden="1" x14ac:dyDescent="0.2">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2" hidden="1" x14ac:dyDescent="0.2">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2" hidden="1" x14ac:dyDescent="0.2">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2" hidden="1" x14ac:dyDescent="0.2">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2" hidden="1" x14ac:dyDescent="0.2">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2" hidden="1" x14ac:dyDescent="0.2">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2" hidden="1" x14ac:dyDescent="0.2">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2" hidden="1" x14ac:dyDescent="0.2">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2" hidden="1" x14ac:dyDescent="0.2">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2" hidden="1" x14ac:dyDescent="0.2">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2" hidden="1" x14ac:dyDescent="0.2">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2" hidden="1" x14ac:dyDescent="0.2">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2" hidden="1" x14ac:dyDescent="0.2">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2" hidden="1" x14ac:dyDescent="0.2">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2" hidden="1" x14ac:dyDescent="0.2">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2" hidden="1" x14ac:dyDescent="0.2">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2" hidden="1" x14ac:dyDescent="0.2">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2" hidden="1" x14ac:dyDescent="0.2">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2" hidden="1" x14ac:dyDescent="0.2">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2" hidden="1" x14ac:dyDescent="0.2">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2" hidden="1" x14ac:dyDescent="0.2">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2" hidden="1" x14ac:dyDescent="0.2">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2" hidden="1" x14ac:dyDescent="0.2">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2" hidden="1" x14ac:dyDescent="0.2">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2" hidden="1" x14ac:dyDescent="0.2">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2" hidden="1" x14ac:dyDescent="0.2">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2" hidden="1" x14ac:dyDescent="0.2">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2" hidden="1" x14ac:dyDescent="0.2">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2" hidden="1" x14ac:dyDescent="0.2">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2" hidden="1" x14ac:dyDescent="0.2">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2" hidden="1" x14ac:dyDescent="0.2">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2" hidden="1" x14ac:dyDescent="0.2">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2" hidden="1" x14ac:dyDescent="0.2">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2" hidden="1" x14ac:dyDescent="0.2">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2" hidden="1" x14ac:dyDescent="0.2">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2" hidden="1" x14ac:dyDescent="0.2">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2" hidden="1" x14ac:dyDescent="0.2">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2" hidden="1" x14ac:dyDescent="0.2">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2" hidden="1" x14ac:dyDescent="0.2">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2" hidden="1" x14ac:dyDescent="0.2">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2" hidden="1" x14ac:dyDescent="0.2">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2" hidden="1" x14ac:dyDescent="0.2">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2" hidden="1" x14ac:dyDescent="0.2">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2" hidden="1" x14ac:dyDescent="0.2">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2" hidden="1" x14ac:dyDescent="0.2">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2" hidden="1" x14ac:dyDescent="0.2">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2" hidden="1" x14ac:dyDescent="0.2">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2" hidden="1" x14ac:dyDescent="0.2">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2" hidden="1" x14ac:dyDescent="0.2">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2" hidden="1" x14ac:dyDescent="0.2">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2" hidden="1" x14ac:dyDescent="0.2">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2" hidden="1" x14ac:dyDescent="0.2">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2" hidden="1" x14ac:dyDescent="0.2">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2" hidden="1" x14ac:dyDescent="0.2">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2" hidden="1" x14ac:dyDescent="0.2">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2" hidden="1" x14ac:dyDescent="0.2">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2" hidden="1" x14ac:dyDescent="0.2">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2" hidden="1" x14ac:dyDescent="0.2">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2" hidden="1" x14ac:dyDescent="0.2">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2" hidden="1" x14ac:dyDescent="0.2">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2" hidden="1" x14ac:dyDescent="0.2">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2" hidden="1" x14ac:dyDescent="0.2">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2" hidden="1" x14ac:dyDescent="0.2">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2" hidden="1" x14ac:dyDescent="0.2">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2" hidden="1" x14ac:dyDescent="0.2">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2" hidden="1" x14ac:dyDescent="0.2">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2" hidden="1" x14ac:dyDescent="0.2">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2" hidden="1" x14ac:dyDescent="0.2">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2" hidden="1" x14ac:dyDescent="0.2">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2" hidden="1" x14ac:dyDescent="0.2">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2" hidden="1" x14ac:dyDescent="0.2">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2" hidden="1" x14ac:dyDescent="0.2">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2" hidden="1" x14ac:dyDescent="0.2">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2" hidden="1" x14ac:dyDescent="0.2">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2" hidden="1" x14ac:dyDescent="0.2">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2" hidden="1" x14ac:dyDescent="0.2">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2" hidden="1" x14ac:dyDescent="0.2">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2" hidden="1" x14ac:dyDescent="0.2">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2" hidden="1" x14ac:dyDescent="0.2">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2" hidden="1" x14ac:dyDescent="0.2">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2" hidden="1" x14ac:dyDescent="0.2">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2" hidden="1" x14ac:dyDescent="0.2">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2" hidden="1" x14ac:dyDescent="0.2">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2" hidden="1" x14ac:dyDescent="0.2">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2" hidden="1" x14ac:dyDescent="0.2">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2" hidden="1" x14ac:dyDescent="0.2">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2" hidden="1" x14ac:dyDescent="0.2">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2" hidden="1" x14ac:dyDescent="0.2">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2" hidden="1" x14ac:dyDescent="0.2">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2" hidden="1" x14ac:dyDescent="0.2">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2" hidden="1" x14ac:dyDescent="0.2">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2" hidden="1" x14ac:dyDescent="0.2">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2" hidden="1" x14ac:dyDescent="0.2">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2" hidden="1" x14ac:dyDescent="0.2">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2" hidden="1" x14ac:dyDescent="0.2">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2" hidden="1" x14ac:dyDescent="0.2">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2" hidden="1" x14ac:dyDescent="0.2">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2" hidden="1" x14ac:dyDescent="0.2">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2" hidden="1" x14ac:dyDescent="0.2">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2" hidden="1" x14ac:dyDescent="0.2">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2" hidden="1" x14ac:dyDescent="0.2">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2" hidden="1" x14ac:dyDescent="0.2">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2" hidden="1" x14ac:dyDescent="0.2">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2" hidden="1" x14ac:dyDescent="0.2">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2" hidden="1" x14ac:dyDescent="0.2">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2" hidden="1" x14ac:dyDescent="0.2">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2" hidden="1" x14ac:dyDescent="0.2">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2" hidden="1" x14ac:dyDescent="0.2">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2" hidden="1" x14ac:dyDescent="0.2">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2" hidden="1" x14ac:dyDescent="0.2">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2" hidden="1" x14ac:dyDescent="0.2">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2" hidden="1" x14ac:dyDescent="0.2">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2" hidden="1" x14ac:dyDescent="0.2">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2" hidden="1" x14ac:dyDescent="0.2">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2" hidden="1" x14ac:dyDescent="0.2">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2" hidden="1" x14ac:dyDescent="0.2">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2" hidden="1" x14ac:dyDescent="0.2">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2" hidden="1" x14ac:dyDescent="0.2">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2" hidden="1" x14ac:dyDescent="0.2">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2" hidden="1" x14ac:dyDescent="0.2">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2" hidden="1" x14ac:dyDescent="0.2">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2" hidden="1" x14ac:dyDescent="0.2">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2" hidden="1" x14ac:dyDescent="0.2">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2" hidden="1" x14ac:dyDescent="0.2">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2" hidden="1" x14ac:dyDescent="0.2">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2" hidden="1" x14ac:dyDescent="0.2">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2" hidden="1" x14ac:dyDescent="0.2">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2" hidden="1" x14ac:dyDescent="0.2">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2" hidden="1" x14ac:dyDescent="0.2">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2" hidden="1" x14ac:dyDescent="0.2">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2" hidden="1" x14ac:dyDescent="0.2">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2" hidden="1" x14ac:dyDescent="0.2">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2" hidden="1" x14ac:dyDescent="0.2">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2" hidden="1" x14ac:dyDescent="0.2">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2" hidden="1" x14ac:dyDescent="0.2">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2" hidden="1" x14ac:dyDescent="0.2">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2" hidden="1" x14ac:dyDescent="0.2">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2" hidden="1" x14ac:dyDescent="0.2">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2" hidden="1" x14ac:dyDescent="0.2">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2" hidden="1" x14ac:dyDescent="0.2">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2" hidden="1" x14ac:dyDescent="0.2">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2" hidden="1" x14ac:dyDescent="0.2">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2" hidden="1" x14ac:dyDescent="0.2">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2" hidden="1" x14ac:dyDescent="0.2">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2" hidden="1" x14ac:dyDescent="0.2">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2" hidden="1" x14ac:dyDescent="0.2">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2" hidden="1" x14ac:dyDescent="0.2">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2" hidden="1" x14ac:dyDescent="0.2">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2" hidden="1" x14ac:dyDescent="0.2">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2" hidden="1" x14ac:dyDescent="0.2">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2" hidden="1" x14ac:dyDescent="0.2">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2" hidden="1" x14ac:dyDescent="0.2">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2" hidden="1" x14ac:dyDescent="0.2">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2" hidden="1" x14ac:dyDescent="0.2">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2" hidden="1" x14ac:dyDescent="0.2">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2" hidden="1" x14ac:dyDescent="0.2">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2" hidden="1" x14ac:dyDescent="0.2">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2" hidden="1" x14ac:dyDescent="0.2">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2" hidden="1" x14ac:dyDescent="0.2">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2" hidden="1" x14ac:dyDescent="0.2">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2" hidden="1" x14ac:dyDescent="0.2">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2" hidden="1" x14ac:dyDescent="0.2">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2" hidden="1" x14ac:dyDescent="0.2">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2" hidden="1" x14ac:dyDescent="0.2">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2" hidden="1" x14ac:dyDescent="0.2">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2" hidden="1" x14ac:dyDescent="0.2">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2" hidden="1" x14ac:dyDescent="0.2">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2" hidden="1" x14ac:dyDescent="0.2">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2" hidden="1" x14ac:dyDescent="0.2">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2" hidden="1" x14ac:dyDescent="0.2">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2" hidden="1" x14ac:dyDescent="0.2">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2" hidden="1" x14ac:dyDescent="0.2">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2" hidden="1" x14ac:dyDescent="0.2">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2" hidden="1" x14ac:dyDescent="0.2">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2" hidden="1" x14ac:dyDescent="0.2">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2" hidden="1" x14ac:dyDescent="0.2">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2" hidden="1" x14ac:dyDescent="0.2">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2" hidden="1" x14ac:dyDescent="0.2">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2" hidden="1" x14ac:dyDescent="0.2">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2" hidden="1" x14ac:dyDescent="0.2">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2" hidden="1" x14ac:dyDescent="0.2">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2" hidden="1" x14ac:dyDescent="0.2">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2" hidden="1" x14ac:dyDescent="0.2">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2" hidden="1" x14ac:dyDescent="0.2">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2" hidden="1" x14ac:dyDescent="0.2">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2" hidden="1" x14ac:dyDescent="0.2">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2" hidden="1" x14ac:dyDescent="0.2">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2" hidden="1" x14ac:dyDescent="0.2">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2" hidden="1" x14ac:dyDescent="0.2">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2" hidden="1" x14ac:dyDescent="0.2">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2" hidden="1" x14ac:dyDescent="0.2">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2" hidden="1" x14ac:dyDescent="0.2">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2" hidden="1" x14ac:dyDescent="0.2">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2" hidden="1" x14ac:dyDescent="0.2">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2" hidden="1" x14ac:dyDescent="0.2">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2" hidden="1" x14ac:dyDescent="0.2">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2" hidden="1" x14ac:dyDescent="0.2">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2" hidden="1" x14ac:dyDescent="0.2">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2" hidden="1" x14ac:dyDescent="0.2">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2" hidden="1" x14ac:dyDescent="0.2">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2" hidden="1" x14ac:dyDescent="0.2">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2" hidden="1" x14ac:dyDescent="0.2">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2" hidden="1" x14ac:dyDescent="0.2">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2" hidden="1" x14ac:dyDescent="0.2">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2" hidden="1" x14ac:dyDescent="0.2">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2" hidden="1" x14ac:dyDescent="0.2">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2" hidden="1" x14ac:dyDescent="0.2">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2" hidden="1" x14ac:dyDescent="0.2">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2" hidden="1" x14ac:dyDescent="0.2">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2" hidden="1" x14ac:dyDescent="0.2">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2" hidden="1" x14ac:dyDescent="0.2">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2" hidden="1" x14ac:dyDescent="0.2">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2" hidden="1" x14ac:dyDescent="0.2">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2" hidden="1" x14ac:dyDescent="0.2">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2" hidden="1" x14ac:dyDescent="0.2">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2" hidden="1" x14ac:dyDescent="0.2">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2" hidden="1" x14ac:dyDescent="0.2">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2" hidden="1" x14ac:dyDescent="0.2">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2" hidden="1" x14ac:dyDescent="0.2">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2" hidden="1" x14ac:dyDescent="0.2">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2" hidden="1" x14ac:dyDescent="0.2">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2" hidden="1" x14ac:dyDescent="0.2">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2" hidden="1" x14ac:dyDescent="0.2">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2" hidden="1" x14ac:dyDescent="0.2">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2" hidden="1" x14ac:dyDescent="0.2">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2" hidden="1" x14ac:dyDescent="0.2">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2" hidden="1" x14ac:dyDescent="0.2">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2" hidden="1" x14ac:dyDescent="0.2">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2" hidden="1" x14ac:dyDescent="0.2">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2" hidden="1" x14ac:dyDescent="0.2">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2" hidden="1" x14ac:dyDescent="0.2">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2" hidden="1" x14ac:dyDescent="0.2">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2" hidden="1" x14ac:dyDescent="0.2">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2" hidden="1" x14ac:dyDescent="0.2">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2" hidden="1" x14ac:dyDescent="0.2">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2" hidden="1" x14ac:dyDescent="0.2">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2" hidden="1" x14ac:dyDescent="0.2">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2" hidden="1" x14ac:dyDescent="0.2">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2" hidden="1" x14ac:dyDescent="0.2">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2" hidden="1" x14ac:dyDescent="0.2">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2" hidden="1" x14ac:dyDescent="0.2">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2" hidden="1" x14ac:dyDescent="0.2">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2" hidden="1" x14ac:dyDescent="0.2">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2" hidden="1" x14ac:dyDescent="0.2">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2" hidden="1" x14ac:dyDescent="0.2">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2" hidden="1" x14ac:dyDescent="0.2">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2" hidden="1" x14ac:dyDescent="0.2">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2" hidden="1" x14ac:dyDescent="0.2">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2" hidden="1" x14ac:dyDescent="0.2">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2" hidden="1" x14ac:dyDescent="0.2">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2" hidden="1" x14ac:dyDescent="0.2">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2" hidden="1" x14ac:dyDescent="0.2">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2" hidden="1" x14ac:dyDescent="0.2">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2" hidden="1" x14ac:dyDescent="0.2">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2" hidden="1" x14ac:dyDescent="0.2">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2" hidden="1" x14ac:dyDescent="0.2">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2" hidden="1" x14ac:dyDescent="0.2">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2" hidden="1" x14ac:dyDescent="0.2">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2" hidden="1" x14ac:dyDescent="0.2">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2" hidden="1" x14ac:dyDescent="0.2">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2" hidden="1" x14ac:dyDescent="0.2">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2" hidden="1" x14ac:dyDescent="0.2">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2" hidden="1" x14ac:dyDescent="0.2">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2" hidden="1" x14ac:dyDescent="0.2">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2" hidden="1" x14ac:dyDescent="0.2">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2" hidden="1" x14ac:dyDescent="0.2">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2" hidden="1" x14ac:dyDescent="0.2">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2" hidden="1" x14ac:dyDescent="0.2">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2" hidden="1" x14ac:dyDescent="0.2">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2" hidden="1" x14ac:dyDescent="0.2">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2" hidden="1" x14ac:dyDescent="0.2">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2" hidden="1" x14ac:dyDescent="0.2">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2" hidden="1" x14ac:dyDescent="0.2">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2" hidden="1" x14ac:dyDescent="0.2">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2" hidden="1" x14ac:dyDescent="0.2">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2" hidden="1" x14ac:dyDescent="0.2">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2" hidden="1" x14ac:dyDescent="0.2">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2" hidden="1" x14ac:dyDescent="0.2">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2" hidden="1" x14ac:dyDescent="0.2">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2" hidden="1" x14ac:dyDescent="0.2">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2" hidden="1" x14ac:dyDescent="0.2">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2" hidden="1" x14ac:dyDescent="0.2">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2" hidden="1" x14ac:dyDescent="0.2">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2" hidden="1" x14ac:dyDescent="0.2">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2" hidden="1" x14ac:dyDescent="0.2">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2" hidden="1" x14ac:dyDescent="0.2">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2" hidden="1" x14ac:dyDescent="0.2">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2" hidden="1" x14ac:dyDescent="0.2">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2" hidden="1" x14ac:dyDescent="0.2">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2" hidden="1" x14ac:dyDescent="0.2">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2" hidden="1" x14ac:dyDescent="0.2">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2" hidden="1" x14ac:dyDescent="0.2">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2" hidden="1" x14ac:dyDescent="0.2">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2" hidden="1" x14ac:dyDescent="0.2">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2" hidden="1" x14ac:dyDescent="0.2">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2" hidden="1" x14ac:dyDescent="0.2">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2" hidden="1" x14ac:dyDescent="0.2">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2" hidden="1" x14ac:dyDescent="0.2">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2" hidden="1" x14ac:dyDescent="0.2">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2" hidden="1" x14ac:dyDescent="0.2">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2" hidden="1" x14ac:dyDescent="0.2">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2" hidden="1" x14ac:dyDescent="0.2">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2" hidden="1" x14ac:dyDescent="0.2">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2" hidden="1" x14ac:dyDescent="0.2">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2" hidden="1" x14ac:dyDescent="0.2">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2" hidden="1" x14ac:dyDescent="0.2">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2" hidden="1" x14ac:dyDescent="0.2">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2" hidden="1" x14ac:dyDescent="0.2">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2" hidden="1" x14ac:dyDescent="0.2">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2" hidden="1" x14ac:dyDescent="0.2">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2" hidden="1" x14ac:dyDescent="0.2">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2" hidden="1" x14ac:dyDescent="0.2">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2" hidden="1" x14ac:dyDescent="0.2">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2" hidden="1" x14ac:dyDescent="0.2">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2" hidden="1" x14ac:dyDescent="0.2">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2" hidden="1" x14ac:dyDescent="0.2">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2" hidden="1" x14ac:dyDescent="0.2">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2" hidden="1" x14ac:dyDescent="0.2">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2" hidden="1" x14ac:dyDescent="0.2">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2" hidden="1" x14ac:dyDescent="0.2">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2" hidden="1" x14ac:dyDescent="0.2">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2" hidden="1" x14ac:dyDescent="0.2">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2" hidden="1" x14ac:dyDescent="0.2">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2" hidden="1" x14ac:dyDescent="0.2">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2" hidden="1" x14ac:dyDescent="0.2">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2" hidden="1" x14ac:dyDescent="0.2">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2" hidden="1" x14ac:dyDescent="0.2">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2" hidden="1" x14ac:dyDescent="0.2">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2" hidden="1" x14ac:dyDescent="0.2">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2" hidden="1" x14ac:dyDescent="0.2">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2" hidden="1" x14ac:dyDescent="0.2">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2" hidden="1" x14ac:dyDescent="0.2">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2" hidden="1" x14ac:dyDescent="0.2">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2" hidden="1" x14ac:dyDescent="0.2">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2" hidden="1" x14ac:dyDescent="0.2">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2" hidden="1" x14ac:dyDescent="0.2">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2" hidden="1" x14ac:dyDescent="0.2">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2" hidden="1" x14ac:dyDescent="0.2">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2" hidden="1" x14ac:dyDescent="0.2">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2" hidden="1" x14ac:dyDescent="0.2">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2" hidden="1" x14ac:dyDescent="0.2">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2" hidden="1" x14ac:dyDescent="0.2">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2" hidden="1" x14ac:dyDescent="0.2">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2" hidden="1" x14ac:dyDescent="0.2">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2" hidden="1" x14ac:dyDescent="0.2">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2" hidden="1" x14ac:dyDescent="0.2">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2" hidden="1" x14ac:dyDescent="0.2">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2" hidden="1" x14ac:dyDescent="0.2">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2" hidden="1" x14ac:dyDescent="0.2">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2" hidden="1" x14ac:dyDescent="0.2">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2" hidden="1" x14ac:dyDescent="0.2">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2" hidden="1" x14ac:dyDescent="0.2">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2" hidden="1" x14ac:dyDescent="0.2">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2" hidden="1" x14ac:dyDescent="0.2">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2" hidden="1" x14ac:dyDescent="0.2">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2" hidden="1" x14ac:dyDescent="0.2">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2" hidden="1" x14ac:dyDescent="0.2">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2" hidden="1" x14ac:dyDescent="0.2">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2" hidden="1" x14ac:dyDescent="0.2">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2" hidden="1" x14ac:dyDescent="0.2">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2" hidden="1" x14ac:dyDescent="0.2">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2" hidden="1" x14ac:dyDescent="0.2">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2" hidden="1" x14ac:dyDescent="0.2">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2" hidden="1" x14ac:dyDescent="0.2">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2" hidden="1" x14ac:dyDescent="0.2">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2" hidden="1" x14ac:dyDescent="0.2">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2" hidden="1" x14ac:dyDescent="0.2">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2" hidden="1" x14ac:dyDescent="0.2">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2" hidden="1" x14ac:dyDescent="0.2">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2" hidden="1" x14ac:dyDescent="0.2">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2" hidden="1" x14ac:dyDescent="0.2">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2" hidden="1" x14ac:dyDescent="0.2">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2" hidden="1" x14ac:dyDescent="0.2">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2" hidden="1" x14ac:dyDescent="0.2">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2" hidden="1" x14ac:dyDescent="0.2">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2" hidden="1" x14ac:dyDescent="0.2">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2" hidden="1" x14ac:dyDescent="0.2">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2" hidden="1" x14ac:dyDescent="0.2">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2" hidden="1" x14ac:dyDescent="0.2">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2" hidden="1" x14ac:dyDescent="0.2">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2" hidden="1" x14ac:dyDescent="0.2">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2" hidden="1" x14ac:dyDescent="0.2">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2" hidden="1" x14ac:dyDescent="0.2">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2" hidden="1" x14ac:dyDescent="0.2">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2" hidden="1" x14ac:dyDescent="0.2">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2" hidden="1" x14ac:dyDescent="0.2">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2" hidden="1" x14ac:dyDescent="0.2">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2" hidden="1" x14ac:dyDescent="0.2">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2" hidden="1" x14ac:dyDescent="0.2">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2" hidden="1" x14ac:dyDescent="0.2">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2" hidden="1" x14ac:dyDescent="0.2">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2" hidden="1" x14ac:dyDescent="0.2">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2" hidden="1" x14ac:dyDescent="0.2">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2" hidden="1" x14ac:dyDescent="0.2">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2" hidden="1" x14ac:dyDescent="0.2">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2" hidden="1" x14ac:dyDescent="0.2">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2" hidden="1" x14ac:dyDescent="0.2">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2" hidden="1" x14ac:dyDescent="0.2">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2" hidden="1" x14ac:dyDescent="0.2">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2" hidden="1" x14ac:dyDescent="0.2">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2" hidden="1" x14ac:dyDescent="0.2">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2" hidden="1" x14ac:dyDescent="0.2">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2" hidden="1" x14ac:dyDescent="0.2">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2" hidden="1" x14ac:dyDescent="0.2">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2" hidden="1" x14ac:dyDescent="0.2">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2" hidden="1" x14ac:dyDescent="0.2">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2" hidden="1" x14ac:dyDescent="0.2">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2" hidden="1" x14ac:dyDescent="0.2">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2" hidden="1" x14ac:dyDescent="0.2">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2" hidden="1" x14ac:dyDescent="0.2">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2" hidden="1" x14ac:dyDescent="0.2">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2" hidden="1" x14ac:dyDescent="0.2">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2" hidden="1" x14ac:dyDescent="0.2">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2" hidden="1" x14ac:dyDescent="0.2">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2" hidden="1" x14ac:dyDescent="0.2">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2" hidden="1" x14ac:dyDescent="0.2">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2" hidden="1" x14ac:dyDescent="0.2">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2" hidden="1" x14ac:dyDescent="0.2">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2" hidden="1" x14ac:dyDescent="0.2">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2" hidden="1" x14ac:dyDescent="0.2">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2" hidden="1" x14ac:dyDescent="0.2">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2" hidden="1" x14ac:dyDescent="0.2">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2" hidden="1" x14ac:dyDescent="0.2">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2" hidden="1" x14ac:dyDescent="0.2">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2" hidden="1" x14ac:dyDescent="0.2">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2" hidden="1" x14ac:dyDescent="0.2">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2" hidden="1" x14ac:dyDescent="0.2">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2" hidden="1" x14ac:dyDescent="0.2">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2" hidden="1" x14ac:dyDescent="0.2">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2" hidden="1" x14ac:dyDescent="0.2">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2" hidden="1" x14ac:dyDescent="0.2">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2" hidden="1" x14ac:dyDescent="0.2">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2" hidden="1" x14ac:dyDescent="0.2">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2" hidden="1" x14ac:dyDescent="0.2">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2" hidden="1" x14ac:dyDescent="0.2">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2" hidden="1" x14ac:dyDescent="0.2">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2" hidden="1" x14ac:dyDescent="0.2">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2" hidden="1" x14ac:dyDescent="0.2">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2" hidden="1" x14ac:dyDescent="0.2">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2" hidden="1" x14ac:dyDescent="0.2">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2" hidden="1" x14ac:dyDescent="0.2">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2" hidden="1" x14ac:dyDescent="0.2">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2" hidden="1" x14ac:dyDescent="0.2">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2" hidden="1" x14ac:dyDescent="0.2">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2" hidden="1" x14ac:dyDescent="0.2">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2" hidden="1" x14ac:dyDescent="0.2">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2" hidden="1" x14ac:dyDescent="0.2">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2" hidden="1" x14ac:dyDescent="0.2">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2" hidden="1" x14ac:dyDescent="0.2">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2" hidden="1" x14ac:dyDescent="0.2">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2" hidden="1" x14ac:dyDescent="0.2">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2" hidden="1" x14ac:dyDescent="0.2">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2" hidden="1" x14ac:dyDescent="0.2">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2" hidden="1" x14ac:dyDescent="0.2">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2" hidden="1" x14ac:dyDescent="0.2">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2" hidden="1" x14ac:dyDescent="0.2">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2" hidden="1" x14ac:dyDescent="0.2">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2" hidden="1" x14ac:dyDescent="0.2">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2" hidden="1" x14ac:dyDescent="0.2">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2" hidden="1" x14ac:dyDescent="0.2">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2" hidden="1" x14ac:dyDescent="0.2">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2" hidden="1" x14ac:dyDescent="0.2">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2" hidden="1" x14ac:dyDescent="0.2">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2" hidden="1" x14ac:dyDescent="0.2">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2" hidden="1" x14ac:dyDescent="0.2">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2" hidden="1" x14ac:dyDescent="0.2">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2" hidden="1" x14ac:dyDescent="0.2">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2" hidden="1" x14ac:dyDescent="0.2">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2" hidden="1" x14ac:dyDescent="0.2">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2" hidden="1" x14ac:dyDescent="0.2">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2" hidden="1" x14ac:dyDescent="0.2">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2" hidden="1" x14ac:dyDescent="0.2">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2" hidden="1" x14ac:dyDescent="0.2">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2" hidden="1" x14ac:dyDescent="0.2">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2" hidden="1" x14ac:dyDescent="0.2">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2" hidden="1" x14ac:dyDescent="0.2">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2" hidden="1" x14ac:dyDescent="0.2">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2" hidden="1" x14ac:dyDescent="0.2">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2" hidden="1" x14ac:dyDescent="0.2">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2" hidden="1" x14ac:dyDescent="0.2">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2" hidden="1" x14ac:dyDescent="0.2">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2" hidden="1" x14ac:dyDescent="0.2">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2" hidden="1" x14ac:dyDescent="0.2">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2" hidden="1" x14ac:dyDescent="0.2">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2" hidden="1" x14ac:dyDescent="0.2">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2" hidden="1" x14ac:dyDescent="0.2">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2" hidden="1" x14ac:dyDescent="0.2">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2" hidden="1" x14ac:dyDescent="0.2">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2" hidden="1" x14ac:dyDescent="0.2">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2" hidden="1" x14ac:dyDescent="0.2">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2" hidden="1" x14ac:dyDescent="0.2">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2" hidden="1" x14ac:dyDescent="0.2">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2" hidden="1" x14ac:dyDescent="0.2">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2" hidden="1" x14ac:dyDescent="0.2">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2" hidden="1" x14ac:dyDescent="0.2">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2" hidden="1" x14ac:dyDescent="0.2">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2" hidden="1" x14ac:dyDescent="0.2">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2" hidden="1" x14ac:dyDescent="0.2">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2" hidden="1" x14ac:dyDescent="0.2">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2" hidden="1" x14ac:dyDescent="0.2">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2" hidden="1" x14ac:dyDescent="0.2">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2" hidden="1" x14ac:dyDescent="0.2">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2" hidden="1" x14ac:dyDescent="0.2">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2" hidden="1" x14ac:dyDescent="0.2">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2" hidden="1" x14ac:dyDescent="0.2">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2" hidden="1" x14ac:dyDescent="0.2">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2" hidden="1" x14ac:dyDescent="0.2">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2" hidden="1" x14ac:dyDescent="0.2">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2" hidden="1" x14ac:dyDescent="0.2">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2" hidden="1" x14ac:dyDescent="0.2">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2" hidden="1" x14ac:dyDescent="0.2">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2" hidden="1" x14ac:dyDescent="0.2">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2" hidden="1" x14ac:dyDescent="0.2">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2" hidden="1" x14ac:dyDescent="0.2">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2" hidden="1" x14ac:dyDescent="0.2">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2" hidden="1" x14ac:dyDescent="0.2">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2" hidden="1" x14ac:dyDescent="0.2">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2" hidden="1" x14ac:dyDescent="0.2">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2" hidden="1" x14ac:dyDescent="0.2">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2" hidden="1" x14ac:dyDescent="0.2">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2" hidden="1" x14ac:dyDescent="0.2">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2" hidden="1" x14ac:dyDescent="0.2">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2" hidden="1" x14ac:dyDescent="0.2">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2" hidden="1" x14ac:dyDescent="0.2">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2" hidden="1" x14ac:dyDescent="0.2">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2" hidden="1" x14ac:dyDescent="0.2">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2" hidden="1" x14ac:dyDescent="0.2">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2" hidden="1" x14ac:dyDescent="0.2">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2" hidden="1" x14ac:dyDescent="0.2">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2" hidden="1" x14ac:dyDescent="0.2">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2" hidden="1" x14ac:dyDescent="0.2">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2" hidden="1" x14ac:dyDescent="0.2">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2" hidden="1" x14ac:dyDescent="0.2">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2" hidden="1" x14ac:dyDescent="0.2">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2" hidden="1" x14ac:dyDescent="0.2">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2" hidden="1" x14ac:dyDescent="0.2">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2" hidden="1" x14ac:dyDescent="0.2">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2" hidden="1" x14ac:dyDescent="0.2">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2" hidden="1" x14ac:dyDescent="0.2">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2" hidden="1" x14ac:dyDescent="0.2">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2" hidden="1" x14ac:dyDescent="0.2">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2" hidden="1" x14ac:dyDescent="0.2">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2" hidden="1" x14ac:dyDescent="0.2">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2" hidden="1" x14ac:dyDescent="0.2">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2" hidden="1" x14ac:dyDescent="0.2">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2" hidden="1" x14ac:dyDescent="0.2">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2" hidden="1" x14ac:dyDescent="0.2">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2" hidden="1" x14ac:dyDescent="0.2">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2" hidden="1" x14ac:dyDescent="0.2">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2" hidden="1" x14ac:dyDescent="0.2">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2" hidden="1" x14ac:dyDescent="0.2">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2" hidden="1" x14ac:dyDescent="0.2">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2" hidden="1" x14ac:dyDescent="0.2">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2" hidden="1" x14ac:dyDescent="0.2">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2" hidden="1" x14ac:dyDescent="0.2">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2" hidden="1" x14ac:dyDescent="0.2">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2" hidden="1" x14ac:dyDescent="0.2">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2" hidden="1" x14ac:dyDescent="0.2">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2" hidden="1" x14ac:dyDescent="0.2">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2" hidden="1" x14ac:dyDescent="0.2">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2" hidden="1" x14ac:dyDescent="0.2">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2" hidden="1" x14ac:dyDescent="0.2">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2" hidden="1" x14ac:dyDescent="0.2">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2" hidden="1" x14ac:dyDescent="0.2">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2" hidden="1" x14ac:dyDescent="0.2">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2" hidden="1" x14ac:dyDescent="0.2">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2" hidden="1" x14ac:dyDescent="0.2">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2" hidden="1" x14ac:dyDescent="0.2">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2" hidden="1" x14ac:dyDescent="0.2">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2" hidden="1" x14ac:dyDescent="0.2">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2" hidden="1" x14ac:dyDescent="0.2">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2" hidden="1" x14ac:dyDescent="0.2">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2" hidden="1" x14ac:dyDescent="0.2">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2" hidden="1" x14ac:dyDescent="0.2">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2" hidden="1" x14ac:dyDescent="0.2">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2" hidden="1" x14ac:dyDescent="0.2">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2" hidden="1" x14ac:dyDescent="0.2">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2" hidden="1" x14ac:dyDescent="0.2">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2" hidden="1" x14ac:dyDescent="0.2">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2" hidden="1" x14ac:dyDescent="0.2">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2" hidden="1" x14ac:dyDescent="0.2">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2" hidden="1" x14ac:dyDescent="0.2">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2" hidden="1" x14ac:dyDescent="0.2">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2" hidden="1" x14ac:dyDescent="0.2">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2" hidden="1" x14ac:dyDescent="0.2">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2" hidden="1" x14ac:dyDescent="0.2">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2" hidden="1" x14ac:dyDescent="0.2">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2" hidden="1" x14ac:dyDescent="0.2">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2" hidden="1" x14ac:dyDescent="0.2">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2" hidden="1" x14ac:dyDescent="0.2">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2" hidden="1" x14ac:dyDescent="0.2">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2" hidden="1" x14ac:dyDescent="0.2">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2" hidden="1" x14ac:dyDescent="0.2">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2" hidden="1" x14ac:dyDescent="0.2">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2" hidden="1" x14ac:dyDescent="0.2">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2" hidden="1" x14ac:dyDescent="0.2">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2" hidden="1" x14ac:dyDescent="0.2">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2" hidden="1" x14ac:dyDescent="0.2">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2" hidden="1" x14ac:dyDescent="0.2">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2" hidden="1" x14ac:dyDescent="0.2">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2" hidden="1" x14ac:dyDescent="0.2">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2" hidden="1" x14ac:dyDescent="0.2">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2" hidden="1" x14ac:dyDescent="0.2">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2" hidden="1" x14ac:dyDescent="0.2">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2" hidden="1" x14ac:dyDescent="0.2">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2" hidden="1" x14ac:dyDescent="0.2">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2" hidden="1" x14ac:dyDescent="0.2">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2" hidden="1" x14ac:dyDescent="0.2">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2" hidden="1" x14ac:dyDescent="0.2">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2" hidden="1" x14ac:dyDescent="0.2">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2" hidden="1" x14ac:dyDescent="0.2">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2" hidden="1" x14ac:dyDescent="0.2">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2" hidden="1" x14ac:dyDescent="0.2">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2" hidden="1" x14ac:dyDescent="0.2">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2" hidden="1" x14ac:dyDescent="0.2">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2" hidden="1" x14ac:dyDescent="0.2">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2" hidden="1" x14ac:dyDescent="0.2">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2" hidden="1" x14ac:dyDescent="0.2">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2" hidden="1" x14ac:dyDescent="0.2">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2" hidden="1" x14ac:dyDescent="0.2">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2" hidden="1" x14ac:dyDescent="0.2">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2" hidden="1" x14ac:dyDescent="0.2">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2" hidden="1" x14ac:dyDescent="0.2">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2" hidden="1" x14ac:dyDescent="0.2">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2" hidden="1" x14ac:dyDescent="0.2">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2" hidden="1" x14ac:dyDescent="0.2">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2" hidden="1" x14ac:dyDescent="0.2">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2" hidden="1" x14ac:dyDescent="0.2">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2" hidden="1" x14ac:dyDescent="0.2">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2" hidden="1" x14ac:dyDescent="0.2">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2" hidden="1" x14ac:dyDescent="0.2">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2" hidden="1" x14ac:dyDescent="0.2">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2" hidden="1" x14ac:dyDescent="0.2">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2" hidden="1" x14ac:dyDescent="0.2">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2" hidden="1" x14ac:dyDescent="0.2">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2" hidden="1" x14ac:dyDescent="0.2">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2" hidden="1" x14ac:dyDescent="0.2">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2" hidden="1" x14ac:dyDescent="0.2">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2" hidden="1" x14ac:dyDescent="0.2">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2" hidden="1" x14ac:dyDescent="0.2">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2" hidden="1" x14ac:dyDescent="0.2">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2" hidden="1" x14ac:dyDescent="0.2">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2" hidden="1" x14ac:dyDescent="0.2">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2" hidden="1" x14ac:dyDescent="0.2">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2" hidden="1" x14ac:dyDescent="0.2">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2" hidden="1" x14ac:dyDescent="0.2">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2" hidden="1" x14ac:dyDescent="0.2">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2" hidden="1" x14ac:dyDescent="0.2">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2" hidden="1" x14ac:dyDescent="0.2">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2" hidden="1" x14ac:dyDescent="0.2">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2" hidden="1" x14ac:dyDescent="0.2">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2" hidden="1" x14ac:dyDescent="0.2">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2" hidden="1" x14ac:dyDescent="0.2">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2" hidden="1" x14ac:dyDescent="0.2">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2" hidden="1" x14ac:dyDescent="0.2">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2" hidden="1" x14ac:dyDescent="0.2">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2" hidden="1" x14ac:dyDescent="0.2">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2" hidden="1" x14ac:dyDescent="0.2">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2" hidden="1" x14ac:dyDescent="0.2">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2" hidden="1" x14ac:dyDescent="0.2">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2" hidden="1" x14ac:dyDescent="0.2">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2" hidden="1" x14ac:dyDescent="0.2">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2" hidden="1" x14ac:dyDescent="0.2">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2" hidden="1" x14ac:dyDescent="0.2">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2" hidden="1" x14ac:dyDescent="0.2">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2" hidden="1" x14ac:dyDescent="0.2">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2" hidden="1" x14ac:dyDescent="0.2">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2" hidden="1" x14ac:dyDescent="0.2">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2" hidden="1" x14ac:dyDescent="0.2">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2" hidden="1" x14ac:dyDescent="0.2">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2" hidden="1" x14ac:dyDescent="0.2">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2" hidden="1" x14ac:dyDescent="0.2">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2" hidden="1" x14ac:dyDescent="0.2">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2" hidden="1" x14ac:dyDescent="0.2">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2" hidden="1" x14ac:dyDescent="0.2">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2" hidden="1" x14ac:dyDescent="0.2">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2" hidden="1" x14ac:dyDescent="0.2">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2" hidden="1" x14ac:dyDescent="0.2">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2" hidden="1" x14ac:dyDescent="0.2">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2" hidden="1" x14ac:dyDescent="0.2">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2" hidden="1" x14ac:dyDescent="0.2">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2" hidden="1" x14ac:dyDescent="0.2">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2" hidden="1" x14ac:dyDescent="0.2">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2" hidden="1" x14ac:dyDescent="0.2">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2" hidden="1" x14ac:dyDescent="0.2">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2" hidden="1" x14ac:dyDescent="0.2">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2" hidden="1" x14ac:dyDescent="0.2">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2" hidden="1" x14ac:dyDescent="0.2">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2" hidden="1" x14ac:dyDescent="0.2">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2" hidden="1" x14ac:dyDescent="0.2">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2" hidden="1" x14ac:dyDescent="0.2">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2" hidden="1" x14ac:dyDescent="0.2">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2" hidden="1" x14ac:dyDescent="0.2">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2" hidden="1" x14ac:dyDescent="0.2">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2" hidden="1" x14ac:dyDescent="0.2">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2" hidden="1" x14ac:dyDescent="0.2">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2" hidden="1" x14ac:dyDescent="0.2">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2" hidden="1" x14ac:dyDescent="0.2">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2" hidden="1" x14ac:dyDescent="0.2">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2" hidden="1" x14ac:dyDescent="0.2">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2" hidden="1" x14ac:dyDescent="0.2">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2" hidden="1" x14ac:dyDescent="0.2">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2" hidden="1" x14ac:dyDescent="0.2">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2" hidden="1" x14ac:dyDescent="0.2">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2" hidden="1" x14ac:dyDescent="0.2">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2" hidden="1" x14ac:dyDescent="0.2">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2" hidden="1" x14ac:dyDescent="0.2">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2" hidden="1" x14ac:dyDescent="0.2">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2" hidden="1" x14ac:dyDescent="0.2">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2" hidden="1" x14ac:dyDescent="0.2">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2" hidden="1" x14ac:dyDescent="0.2">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2" hidden="1" x14ac:dyDescent="0.2">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2" hidden="1" x14ac:dyDescent="0.2">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2" hidden="1" x14ac:dyDescent="0.2">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2" hidden="1" x14ac:dyDescent="0.2">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2" hidden="1" x14ac:dyDescent="0.2">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2" hidden="1" x14ac:dyDescent="0.2">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2" hidden="1" x14ac:dyDescent="0.2">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2" hidden="1" x14ac:dyDescent="0.2">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2" hidden="1" x14ac:dyDescent="0.2">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2" hidden="1" x14ac:dyDescent="0.2">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2" hidden="1" x14ac:dyDescent="0.2">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2" hidden="1" x14ac:dyDescent="0.2">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2" hidden="1" x14ac:dyDescent="0.2">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2" hidden="1" x14ac:dyDescent="0.2">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2" hidden="1" x14ac:dyDescent="0.2">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2" hidden="1" x14ac:dyDescent="0.2">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2" hidden="1" x14ac:dyDescent="0.2">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2" hidden="1" x14ac:dyDescent="0.2">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2" hidden="1" x14ac:dyDescent="0.2">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2" hidden="1" x14ac:dyDescent="0.2">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2" hidden="1" x14ac:dyDescent="0.2">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2" hidden="1" x14ac:dyDescent="0.2">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2" hidden="1" x14ac:dyDescent="0.2">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2" hidden="1" x14ac:dyDescent="0.2">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2" hidden="1" x14ac:dyDescent="0.2">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2" hidden="1" x14ac:dyDescent="0.2">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2" hidden="1" x14ac:dyDescent="0.2">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2" hidden="1" x14ac:dyDescent="0.2">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2" hidden="1" x14ac:dyDescent="0.2">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2" hidden="1" x14ac:dyDescent="0.2">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2" hidden="1" x14ac:dyDescent="0.2">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2" hidden="1" x14ac:dyDescent="0.2">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2" hidden="1" x14ac:dyDescent="0.2">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2" hidden="1" x14ac:dyDescent="0.2">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2" hidden="1" x14ac:dyDescent="0.2">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2" hidden="1" x14ac:dyDescent="0.2">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2" hidden="1" x14ac:dyDescent="0.2">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2" hidden="1" x14ac:dyDescent="0.2">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2" hidden="1" x14ac:dyDescent="0.2">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2" hidden="1" x14ac:dyDescent="0.2">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2" hidden="1" x14ac:dyDescent="0.2">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2" hidden="1" x14ac:dyDescent="0.2">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2" hidden="1" x14ac:dyDescent="0.2">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2" hidden="1" x14ac:dyDescent="0.2">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2" hidden="1" x14ac:dyDescent="0.2">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2" hidden="1" x14ac:dyDescent="0.2">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2" hidden="1" x14ac:dyDescent="0.2">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2" hidden="1" x14ac:dyDescent="0.2">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2" hidden="1" x14ac:dyDescent="0.2">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2" hidden="1" x14ac:dyDescent="0.2">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2" hidden="1" x14ac:dyDescent="0.2">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2" hidden="1" x14ac:dyDescent="0.2">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2" hidden="1" x14ac:dyDescent="0.2">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2" hidden="1" x14ac:dyDescent="0.2">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2" hidden="1" x14ac:dyDescent="0.2">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2" hidden="1" x14ac:dyDescent="0.2">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2" hidden="1" x14ac:dyDescent="0.2">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2" hidden="1" x14ac:dyDescent="0.2">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2" hidden="1" x14ac:dyDescent="0.2">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2" hidden="1" x14ac:dyDescent="0.2">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2" hidden="1" x14ac:dyDescent="0.2">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2" hidden="1" x14ac:dyDescent="0.2">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2" hidden="1" x14ac:dyDescent="0.2">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2" hidden="1" x14ac:dyDescent="0.2">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2" hidden="1" x14ac:dyDescent="0.2">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2" hidden="1" x14ac:dyDescent="0.2">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2" hidden="1" x14ac:dyDescent="0.2">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2" hidden="1" x14ac:dyDescent="0.2">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2" hidden="1" x14ac:dyDescent="0.2">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2" hidden="1" x14ac:dyDescent="0.2">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2" hidden="1" x14ac:dyDescent="0.2">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2" hidden="1" x14ac:dyDescent="0.2">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2" hidden="1" x14ac:dyDescent="0.2">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2" hidden="1" x14ac:dyDescent="0.2">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2" hidden="1" x14ac:dyDescent="0.2">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2" hidden="1" x14ac:dyDescent="0.2">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2" hidden="1" x14ac:dyDescent="0.2">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2" hidden="1" x14ac:dyDescent="0.2">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2" hidden="1" x14ac:dyDescent="0.2">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2" hidden="1" x14ac:dyDescent="0.2">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2" hidden="1" x14ac:dyDescent="0.2">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2" hidden="1" x14ac:dyDescent="0.2">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2" hidden="1" x14ac:dyDescent="0.2">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2" hidden="1" x14ac:dyDescent="0.2">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2" hidden="1" x14ac:dyDescent="0.2">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2" hidden="1" x14ac:dyDescent="0.2">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2" hidden="1" x14ac:dyDescent="0.2">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2" hidden="1" x14ac:dyDescent="0.2">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2" hidden="1" x14ac:dyDescent="0.2">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2" hidden="1" x14ac:dyDescent="0.2">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2" hidden="1" x14ac:dyDescent="0.2">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2" hidden="1" x14ac:dyDescent="0.2">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2" hidden="1" x14ac:dyDescent="0.2">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2" hidden="1" x14ac:dyDescent="0.2">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2" hidden="1" x14ac:dyDescent="0.2">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2" hidden="1" x14ac:dyDescent="0.2">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2" hidden="1" x14ac:dyDescent="0.2">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2" hidden="1" x14ac:dyDescent="0.2">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2" hidden="1" x14ac:dyDescent="0.2">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2" hidden="1" x14ac:dyDescent="0.2">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2" hidden="1" x14ac:dyDescent="0.2">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2" hidden="1" x14ac:dyDescent="0.2">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2" hidden="1" x14ac:dyDescent="0.2">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2" hidden="1" x14ac:dyDescent="0.2">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2" hidden="1" x14ac:dyDescent="0.2">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2" hidden="1" x14ac:dyDescent="0.2">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2" hidden="1" x14ac:dyDescent="0.2">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2" hidden="1" x14ac:dyDescent="0.2">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2" hidden="1" x14ac:dyDescent="0.2">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2" hidden="1" x14ac:dyDescent="0.2">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2" hidden="1" x14ac:dyDescent="0.2">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2" hidden="1" x14ac:dyDescent="0.2">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2" hidden="1" x14ac:dyDescent="0.2">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2" hidden="1" x14ac:dyDescent="0.2">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2" hidden="1" x14ac:dyDescent="0.2">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2" hidden="1" x14ac:dyDescent="0.2">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2" hidden="1" x14ac:dyDescent="0.2">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2" hidden="1" x14ac:dyDescent="0.2">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2" hidden="1" x14ac:dyDescent="0.2">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2" hidden="1" x14ac:dyDescent="0.2">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2" hidden="1" x14ac:dyDescent="0.2">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2" hidden="1" x14ac:dyDescent="0.2">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2" hidden="1" x14ac:dyDescent="0.2">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2" hidden="1" x14ac:dyDescent="0.2">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2" hidden="1" x14ac:dyDescent="0.2">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2" hidden="1" x14ac:dyDescent="0.2">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2" hidden="1" x14ac:dyDescent="0.2">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2" hidden="1" x14ac:dyDescent="0.2">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2" hidden="1" x14ac:dyDescent="0.2">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2" hidden="1" x14ac:dyDescent="0.2">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2" hidden="1" x14ac:dyDescent="0.2">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2" hidden="1" x14ac:dyDescent="0.2">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2" hidden="1" x14ac:dyDescent="0.2">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2" hidden="1" x14ac:dyDescent="0.2">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2" hidden="1" x14ac:dyDescent="0.2">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2" hidden="1" x14ac:dyDescent="0.2">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2" hidden="1" x14ac:dyDescent="0.2">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2" hidden="1" x14ac:dyDescent="0.2">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2" hidden="1" x14ac:dyDescent="0.2">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2" hidden="1" x14ac:dyDescent="0.2">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2" hidden="1" x14ac:dyDescent="0.2">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2" hidden="1" x14ac:dyDescent="0.2">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2" hidden="1" x14ac:dyDescent="0.2">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2" hidden="1" x14ac:dyDescent="0.2">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2" hidden="1" x14ac:dyDescent="0.2">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2" hidden="1" x14ac:dyDescent="0.2">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2" hidden="1" x14ac:dyDescent="0.2">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2" hidden="1" x14ac:dyDescent="0.2">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2" hidden="1" x14ac:dyDescent="0.2">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2" hidden="1" x14ac:dyDescent="0.2">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2" hidden="1" x14ac:dyDescent="0.2">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2" hidden="1" x14ac:dyDescent="0.2">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2" hidden="1" x14ac:dyDescent="0.2">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2" hidden="1" x14ac:dyDescent="0.2">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2" hidden="1" x14ac:dyDescent="0.2">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2" hidden="1" x14ac:dyDescent="0.2">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2" hidden="1" x14ac:dyDescent="0.2">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2" hidden="1" x14ac:dyDescent="0.2">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2" hidden="1" x14ac:dyDescent="0.2">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2" hidden="1" x14ac:dyDescent="0.2">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2" hidden="1" x14ac:dyDescent="0.2">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2" hidden="1" x14ac:dyDescent="0.2">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2" hidden="1" x14ac:dyDescent="0.2">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2" hidden="1" x14ac:dyDescent="0.2">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2" hidden="1" x14ac:dyDescent="0.2">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2" hidden="1" x14ac:dyDescent="0.2">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2" hidden="1" x14ac:dyDescent="0.2">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2" hidden="1" x14ac:dyDescent="0.2">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2" hidden="1" x14ac:dyDescent="0.2">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2" hidden="1" x14ac:dyDescent="0.2">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2" hidden="1" x14ac:dyDescent="0.2">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2" hidden="1" x14ac:dyDescent="0.2">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2" hidden="1" x14ac:dyDescent="0.2">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2" hidden="1" x14ac:dyDescent="0.2">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2" hidden="1" x14ac:dyDescent="0.2">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2" hidden="1" x14ac:dyDescent="0.2">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2" hidden="1" x14ac:dyDescent="0.2">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2" hidden="1" x14ac:dyDescent="0.2">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2" hidden="1" x14ac:dyDescent="0.2">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2" hidden="1" x14ac:dyDescent="0.2">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2" hidden="1" x14ac:dyDescent="0.2">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2" hidden="1" x14ac:dyDescent="0.2">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2" hidden="1" x14ac:dyDescent="0.2">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2" hidden="1" x14ac:dyDescent="0.2">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2" hidden="1" x14ac:dyDescent="0.2">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2" hidden="1" x14ac:dyDescent="0.2">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2" hidden="1" x14ac:dyDescent="0.2">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2" hidden="1" x14ac:dyDescent="0.2">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2" hidden="1" x14ac:dyDescent="0.2">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2" hidden="1" x14ac:dyDescent="0.2">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2" hidden="1" x14ac:dyDescent="0.2">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2" hidden="1" x14ac:dyDescent="0.2">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2" hidden="1" x14ac:dyDescent="0.2">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2" hidden="1" x14ac:dyDescent="0.2">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2" hidden="1" x14ac:dyDescent="0.2">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2" hidden="1" x14ac:dyDescent="0.2">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2" hidden="1" x14ac:dyDescent="0.2">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2" hidden="1" x14ac:dyDescent="0.2">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2" hidden="1" x14ac:dyDescent="0.2">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2" hidden="1" x14ac:dyDescent="0.2">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2" hidden="1" x14ac:dyDescent="0.2">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2" hidden="1" x14ac:dyDescent="0.2">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2" hidden="1" x14ac:dyDescent="0.2">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2" hidden="1" x14ac:dyDescent="0.2">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2" hidden="1" x14ac:dyDescent="0.2">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2" hidden="1" x14ac:dyDescent="0.2">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2" hidden="1" x14ac:dyDescent="0.2">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2" hidden="1" x14ac:dyDescent="0.2">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2" hidden="1" x14ac:dyDescent="0.2">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2" hidden="1" x14ac:dyDescent="0.2">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2" hidden="1" x14ac:dyDescent="0.2">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2" hidden="1" x14ac:dyDescent="0.2">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2" hidden="1" x14ac:dyDescent="0.2">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2" hidden="1" x14ac:dyDescent="0.2">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2" hidden="1" x14ac:dyDescent="0.2">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2" hidden="1" x14ac:dyDescent="0.2">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2" hidden="1" x14ac:dyDescent="0.2">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2" hidden="1" x14ac:dyDescent="0.2">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2" hidden="1" x14ac:dyDescent="0.2">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2" hidden="1" x14ac:dyDescent="0.2">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2" hidden="1" x14ac:dyDescent="0.2">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2" hidden="1" x14ac:dyDescent="0.2">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2" hidden="1" x14ac:dyDescent="0.2">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2" hidden="1" x14ac:dyDescent="0.2">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2" hidden="1" x14ac:dyDescent="0.2">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2" hidden="1" x14ac:dyDescent="0.2">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2" hidden="1" x14ac:dyDescent="0.2">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2" hidden="1" x14ac:dyDescent="0.2">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2" hidden="1" x14ac:dyDescent="0.2">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2" hidden="1" x14ac:dyDescent="0.2">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2" hidden="1" x14ac:dyDescent="0.2">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2" hidden="1" x14ac:dyDescent="0.2">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2" hidden="1" x14ac:dyDescent="0.2">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2" hidden="1" x14ac:dyDescent="0.2">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2" hidden="1" x14ac:dyDescent="0.2">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2" hidden="1" x14ac:dyDescent="0.2">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2" hidden="1" x14ac:dyDescent="0.2">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2" hidden="1" x14ac:dyDescent="0.2">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2" hidden="1" x14ac:dyDescent="0.2">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2" hidden="1" x14ac:dyDescent="0.2">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2" hidden="1" x14ac:dyDescent="0.2">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2" hidden="1" x14ac:dyDescent="0.2">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2" hidden="1" x14ac:dyDescent="0.2">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2" hidden="1" x14ac:dyDescent="0.2">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2" hidden="1" x14ac:dyDescent="0.2">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2" hidden="1" x14ac:dyDescent="0.2">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2" hidden="1" x14ac:dyDescent="0.2">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2" hidden="1" x14ac:dyDescent="0.2">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2" hidden="1" x14ac:dyDescent="0.2">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2" hidden="1" x14ac:dyDescent="0.2">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2" hidden="1" x14ac:dyDescent="0.2">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2" hidden="1" x14ac:dyDescent="0.2">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2" hidden="1" x14ac:dyDescent="0.2">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2" hidden="1" x14ac:dyDescent="0.2">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2" hidden="1" x14ac:dyDescent="0.2">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2" hidden="1" x14ac:dyDescent="0.2">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2" hidden="1" x14ac:dyDescent="0.2">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2" hidden="1" x14ac:dyDescent="0.2">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2" hidden="1" x14ac:dyDescent="0.2">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2" hidden="1" x14ac:dyDescent="0.2">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2" hidden="1" x14ac:dyDescent="0.2">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2" hidden="1" x14ac:dyDescent="0.2">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2" hidden="1" x14ac:dyDescent="0.2">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2" hidden="1" x14ac:dyDescent="0.2">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2" hidden="1" x14ac:dyDescent="0.2">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2" hidden="1" x14ac:dyDescent="0.2">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2" hidden="1" x14ac:dyDescent="0.2">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2" hidden="1" x14ac:dyDescent="0.2">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2" hidden="1" x14ac:dyDescent="0.2">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2" hidden="1" x14ac:dyDescent="0.2">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2" hidden="1" x14ac:dyDescent="0.2">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2" hidden="1" x14ac:dyDescent="0.2">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2" hidden="1" x14ac:dyDescent="0.2">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2" hidden="1" x14ac:dyDescent="0.2">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2" hidden="1" x14ac:dyDescent="0.2">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2" hidden="1" x14ac:dyDescent="0.2">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2" hidden="1" x14ac:dyDescent="0.2">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2" hidden="1" x14ac:dyDescent="0.2">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2" hidden="1" x14ac:dyDescent="0.2">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2" hidden="1" x14ac:dyDescent="0.2">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2" hidden="1" x14ac:dyDescent="0.2">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2" hidden="1" x14ac:dyDescent="0.2">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2" hidden="1" x14ac:dyDescent="0.2">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2" hidden="1" x14ac:dyDescent="0.2">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2" hidden="1" x14ac:dyDescent="0.2">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2" hidden="1" x14ac:dyDescent="0.2">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2" hidden="1" x14ac:dyDescent="0.2">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2" hidden="1" x14ac:dyDescent="0.2">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2" hidden="1" x14ac:dyDescent="0.2">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2" hidden="1" x14ac:dyDescent="0.2">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2" hidden="1" x14ac:dyDescent="0.2">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2" hidden="1" x14ac:dyDescent="0.2">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2" hidden="1" x14ac:dyDescent="0.2">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2" hidden="1" x14ac:dyDescent="0.2">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2" hidden="1" x14ac:dyDescent="0.2">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2" hidden="1" x14ac:dyDescent="0.2">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2" hidden="1" x14ac:dyDescent="0.2">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2" hidden="1" x14ac:dyDescent="0.2">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2" hidden="1" x14ac:dyDescent="0.2">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2" hidden="1" x14ac:dyDescent="0.2">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2" hidden="1" x14ac:dyDescent="0.2">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2" hidden="1" x14ac:dyDescent="0.2">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2" hidden="1" x14ac:dyDescent="0.2">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2" hidden="1" x14ac:dyDescent="0.2">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2" hidden="1" x14ac:dyDescent="0.2">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2" hidden="1" x14ac:dyDescent="0.2">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2" hidden="1" x14ac:dyDescent="0.2">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2" hidden="1" x14ac:dyDescent="0.2">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2" hidden="1" x14ac:dyDescent="0.2">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2" hidden="1" x14ac:dyDescent="0.2">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2" hidden="1" x14ac:dyDescent="0.2">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2" hidden="1" x14ac:dyDescent="0.2">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2" hidden="1" x14ac:dyDescent="0.2">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2" hidden="1" x14ac:dyDescent="0.2">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2" hidden="1" x14ac:dyDescent="0.2">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2" hidden="1" x14ac:dyDescent="0.2">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2" hidden="1" x14ac:dyDescent="0.2">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2" hidden="1" x14ac:dyDescent="0.2">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2" hidden="1" x14ac:dyDescent="0.2">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2" hidden="1" x14ac:dyDescent="0.2">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2" hidden="1" x14ac:dyDescent="0.2">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2" hidden="1" x14ac:dyDescent="0.2">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2" hidden="1" x14ac:dyDescent="0.2">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2" hidden="1" x14ac:dyDescent="0.2">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2" hidden="1" x14ac:dyDescent="0.2">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2" hidden="1" x14ac:dyDescent="0.2">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2" hidden="1" x14ac:dyDescent="0.2">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2" hidden="1" x14ac:dyDescent="0.2">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2" hidden="1" x14ac:dyDescent="0.2">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2" hidden="1" x14ac:dyDescent="0.2">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2" hidden="1" x14ac:dyDescent="0.2">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2" hidden="1" x14ac:dyDescent="0.2">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2" hidden="1" x14ac:dyDescent="0.2">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2" hidden="1" x14ac:dyDescent="0.2">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2" hidden="1" x14ac:dyDescent="0.2">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2" hidden="1" x14ac:dyDescent="0.2">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2" hidden="1" x14ac:dyDescent="0.2">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2" hidden="1" x14ac:dyDescent="0.2">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2" hidden="1" x14ac:dyDescent="0.2">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2" hidden="1" x14ac:dyDescent="0.2">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2" hidden="1" x14ac:dyDescent="0.2">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2" hidden="1" x14ac:dyDescent="0.2">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2" hidden="1" x14ac:dyDescent="0.2">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2" hidden="1" x14ac:dyDescent="0.2">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2" hidden="1" x14ac:dyDescent="0.2">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2" hidden="1" x14ac:dyDescent="0.2">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2" hidden="1" x14ac:dyDescent="0.2">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2" hidden="1" x14ac:dyDescent="0.2">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2" hidden="1" x14ac:dyDescent="0.2">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2" hidden="1" x14ac:dyDescent="0.2">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2" hidden="1" x14ac:dyDescent="0.2">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2" hidden="1" x14ac:dyDescent="0.2">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2" hidden="1" x14ac:dyDescent="0.2">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2" hidden="1" x14ac:dyDescent="0.2">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2" hidden="1" x14ac:dyDescent="0.2">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2" hidden="1" x14ac:dyDescent="0.2">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2" hidden="1" x14ac:dyDescent="0.2">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2" hidden="1" x14ac:dyDescent="0.2">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2" hidden="1" x14ac:dyDescent="0.2">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2" hidden="1" x14ac:dyDescent="0.2">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2" hidden="1" x14ac:dyDescent="0.2">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2" hidden="1" x14ac:dyDescent="0.2">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2" hidden="1" x14ac:dyDescent="0.2">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2" hidden="1" x14ac:dyDescent="0.2">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2" hidden="1" x14ac:dyDescent="0.2">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2" hidden="1" x14ac:dyDescent="0.2">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2" hidden="1" x14ac:dyDescent="0.2">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2" hidden="1" x14ac:dyDescent="0.2">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2" hidden="1" x14ac:dyDescent="0.2">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2" hidden="1" x14ac:dyDescent="0.2">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2" hidden="1" x14ac:dyDescent="0.2">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2" hidden="1" x14ac:dyDescent="0.2">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2" hidden="1" x14ac:dyDescent="0.2">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2" hidden="1" x14ac:dyDescent="0.2">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2" hidden="1" x14ac:dyDescent="0.2">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2" hidden="1" x14ac:dyDescent="0.2">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2" hidden="1" x14ac:dyDescent="0.2">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2" hidden="1" x14ac:dyDescent="0.2">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2" hidden="1" x14ac:dyDescent="0.2">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2" hidden="1" x14ac:dyDescent="0.2">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2" hidden="1" x14ac:dyDescent="0.2">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2" hidden="1" x14ac:dyDescent="0.2">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2" hidden="1" x14ac:dyDescent="0.2">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2" hidden="1" x14ac:dyDescent="0.2">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2" hidden="1" x14ac:dyDescent="0.2">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2" hidden="1" x14ac:dyDescent="0.2">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2" hidden="1" x14ac:dyDescent="0.2">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2" hidden="1" x14ac:dyDescent="0.2">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2" hidden="1" x14ac:dyDescent="0.2">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2" hidden="1" x14ac:dyDescent="0.2">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2" hidden="1" x14ac:dyDescent="0.2">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2" hidden="1" x14ac:dyDescent="0.2">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2" hidden="1" x14ac:dyDescent="0.2">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2" hidden="1" x14ac:dyDescent="0.2">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2" hidden="1" x14ac:dyDescent="0.2">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2" hidden="1" x14ac:dyDescent="0.2">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2" hidden="1" x14ac:dyDescent="0.2">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2" hidden="1" x14ac:dyDescent="0.2">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2" hidden="1" x14ac:dyDescent="0.2">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2" hidden="1" x14ac:dyDescent="0.2">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2" hidden="1" x14ac:dyDescent="0.2">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2" hidden="1" x14ac:dyDescent="0.2">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2" hidden="1" x14ac:dyDescent="0.2">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2" hidden="1" x14ac:dyDescent="0.2">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2" hidden="1" x14ac:dyDescent="0.2">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2" hidden="1" x14ac:dyDescent="0.2">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2" hidden="1" x14ac:dyDescent="0.2">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2" hidden="1" x14ac:dyDescent="0.2">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2" hidden="1" x14ac:dyDescent="0.2">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2" hidden="1" x14ac:dyDescent="0.2">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2" hidden="1" x14ac:dyDescent="0.2">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2" hidden="1" x14ac:dyDescent="0.2">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2" hidden="1" x14ac:dyDescent="0.2">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2" hidden="1" x14ac:dyDescent="0.2">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2" hidden="1" x14ac:dyDescent="0.2">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2" hidden="1" x14ac:dyDescent="0.2">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2" hidden="1" x14ac:dyDescent="0.2">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2" hidden="1" x14ac:dyDescent="0.2">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2" hidden="1" x14ac:dyDescent="0.2">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2" hidden="1" x14ac:dyDescent="0.2">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2" hidden="1" x14ac:dyDescent="0.2">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2" hidden="1" x14ac:dyDescent="0.2">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2" hidden="1" x14ac:dyDescent="0.2">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2" hidden="1" x14ac:dyDescent="0.2">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2" hidden="1" x14ac:dyDescent="0.2">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2" hidden="1" x14ac:dyDescent="0.2">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2" hidden="1" x14ac:dyDescent="0.2">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2" hidden="1" x14ac:dyDescent="0.2">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2" hidden="1" x14ac:dyDescent="0.2">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2" hidden="1" x14ac:dyDescent="0.2">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2" hidden="1" x14ac:dyDescent="0.2">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2" hidden="1" x14ac:dyDescent="0.2">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2" hidden="1" x14ac:dyDescent="0.2">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2" hidden="1" x14ac:dyDescent="0.2">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2" hidden="1" x14ac:dyDescent="0.2">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2" hidden="1" x14ac:dyDescent="0.2">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2" hidden="1" x14ac:dyDescent="0.2">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2" hidden="1" x14ac:dyDescent="0.2">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2" hidden="1" x14ac:dyDescent="0.2">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2" hidden="1" x14ac:dyDescent="0.2">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2" hidden="1" x14ac:dyDescent="0.2">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2" hidden="1" x14ac:dyDescent="0.2">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2" hidden="1" x14ac:dyDescent="0.2">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2" hidden="1" x14ac:dyDescent="0.2">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2" hidden="1" x14ac:dyDescent="0.2">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2" hidden="1" x14ac:dyDescent="0.2">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2" hidden="1" x14ac:dyDescent="0.2">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2" hidden="1" x14ac:dyDescent="0.2">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2" hidden="1" x14ac:dyDescent="0.2">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2" hidden="1" x14ac:dyDescent="0.2">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2" hidden="1" x14ac:dyDescent="0.2">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2" hidden="1" x14ac:dyDescent="0.2">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2" hidden="1" x14ac:dyDescent="0.2">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2" hidden="1" x14ac:dyDescent="0.2">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2" hidden="1" x14ac:dyDescent="0.2">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2" hidden="1" x14ac:dyDescent="0.2">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2" hidden="1" x14ac:dyDescent="0.2">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2" hidden="1" x14ac:dyDescent="0.2">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2" hidden="1" x14ac:dyDescent="0.2">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2" hidden="1" x14ac:dyDescent="0.2">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2" hidden="1" x14ac:dyDescent="0.2">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2" hidden="1" x14ac:dyDescent="0.2">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2" hidden="1" x14ac:dyDescent="0.2">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2" hidden="1" x14ac:dyDescent="0.2">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2" hidden="1" x14ac:dyDescent="0.2">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2" hidden="1" x14ac:dyDescent="0.2">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2" hidden="1" x14ac:dyDescent="0.2">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2" hidden="1" x14ac:dyDescent="0.2">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2" hidden="1" x14ac:dyDescent="0.2">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2" hidden="1" x14ac:dyDescent="0.2">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2" hidden="1" x14ac:dyDescent="0.2">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2" hidden="1" x14ac:dyDescent="0.2">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2" hidden="1" x14ac:dyDescent="0.2">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2" hidden="1" x14ac:dyDescent="0.2">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2" hidden="1" x14ac:dyDescent="0.2">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2" hidden="1" x14ac:dyDescent="0.2">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2" hidden="1" x14ac:dyDescent="0.2">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2" hidden="1" x14ac:dyDescent="0.2">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2" hidden="1" x14ac:dyDescent="0.2">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2" hidden="1" x14ac:dyDescent="0.2">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2" hidden="1" x14ac:dyDescent="0.2">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2" hidden="1" x14ac:dyDescent="0.2">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2" hidden="1" x14ac:dyDescent="0.2">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2" hidden="1" x14ac:dyDescent="0.2">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2" hidden="1" x14ac:dyDescent="0.2">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2" hidden="1" x14ac:dyDescent="0.2">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2" hidden="1" x14ac:dyDescent="0.2">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2" hidden="1" x14ac:dyDescent="0.2">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2" hidden="1" x14ac:dyDescent="0.2">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2" hidden="1" x14ac:dyDescent="0.2">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2" hidden="1" x14ac:dyDescent="0.2">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2" hidden="1" x14ac:dyDescent="0.2">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2" hidden="1" x14ac:dyDescent="0.2">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2" hidden="1" x14ac:dyDescent="0.2">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2" hidden="1" x14ac:dyDescent="0.2">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2" hidden="1" x14ac:dyDescent="0.2">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2" hidden="1" x14ac:dyDescent="0.2">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2" hidden="1" x14ac:dyDescent="0.2">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2" hidden="1" x14ac:dyDescent="0.2">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2" hidden="1" x14ac:dyDescent="0.2">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2" hidden="1" x14ac:dyDescent="0.2">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2" hidden="1" x14ac:dyDescent="0.2">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2" hidden="1" x14ac:dyDescent="0.2">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2" hidden="1" x14ac:dyDescent="0.2">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2" hidden="1" x14ac:dyDescent="0.2">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2" hidden="1" x14ac:dyDescent="0.2">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2" hidden="1" x14ac:dyDescent="0.2">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2" hidden="1" x14ac:dyDescent="0.2">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2" hidden="1" x14ac:dyDescent="0.2">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2" hidden="1" x14ac:dyDescent="0.2">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2" hidden="1" x14ac:dyDescent="0.2">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2" hidden="1" x14ac:dyDescent="0.2">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2" hidden="1" x14ac:dyDescent="0.2">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2" hidden="1" x14ac:dyDescent="0.2">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2" hidden="1" x14ac:dyDescent="0.2">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2" hidden="1" x14ac:dyDescent="0.2">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2" hidden="1" x14ac:dyDescent="0.2">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2" hidden="1" x14ac:dyDescent="0.2">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2" hidden="1" x14ac:dyDescent="0.2">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2" hidden="1" x14ac:dyDescent="0.2">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2" hidden="1" x14ac:dyDescent="0.2">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2" hidden="1" x14ac:dyDescent="0.2">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2" hidden="1" x14ac:dyDescent="0.2">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2" hidden="1" x14ac:dyDescent="0.2">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2" hidden="1" x14ac:dyDescent="0.2">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2" hidden="1" x14ac:dyDescent="0.2">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2" hidden="1" x14ac:dyDescent="0.2">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2" hidden="1" x14ac:dyDescent="0.2">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2" hidden="1" x14ac:dyDescent="0.2">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2" hidden="1" x14ac:dyDescent="0.2">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2" hidden="1" x14ac:dyDescent="0.2">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2" hidden="1" x14ac:dyDescent="0.2">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2" hidden="1" x14ac:dyDescent="0.2">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2" hidden="1" x14ac:dyDescent="0.2">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2" hidden="1" x14ac:dyDescent="0.2">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2" hidden="1" x14ac:dyDescent="0.2">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2" hidden="1" x14ac:dyDescent="0.2">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2" hidden="1" x14ac:dyDescent="0.2">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2" hidden="1" x14ac:dyDescent="0.2">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2" hidden="1" x14ac:dyDescent="0.2">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2" hidden="1" x14ac:dyDescent="0.2">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2" hidden="1" x14ac:dyDescent="0.2">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2" hidden="1" x14ac:dyDescent="0.2">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2" hidden="1" x14ac:dyDescent="0.2">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2" hidden="1" x14ac:dyDescent="0.2">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2" hidden="1" x14ac:dyDescent="0.2">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2" hidden="1" x14ac:dyDescent="0.2">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2" hidden="1" x14ac:dyDescent="0.2">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2" hidden="1" x14ac:dyDescent="0.2">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2" hidden="1" x14ac:dyDescent="0.2">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2" hidden="1" x14ac:dyDescent="0.2">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2" hidden="1" x14ac:dyDescent="0.2">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2" hidden="1" x14ac:dyDescent="0.2">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2" hidden="1" x14ac:dyDescent="0.2">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2" hidden="1" x14ac:dyDescent="0.2">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2" hidden="1" x14ac:dyDescent="0.2">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2" hidden="1" x14ac:dyDescent="0.2">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2" hidden="1" x14ac:dyDescent="0.2">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2" hidden="1" x14ac:dyDescent="0.2">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2" hidden="1" x14ac:dyDescent="0.2">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2" hidden="1" x14ac:dyDescent="0.2">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2" hidden="1" x14ac:dyDescent="0.2">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2" hidden="1" x14ac:dyDescent="0.2">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2" hidden="1" x14ac:dyDescent="0.2">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2" hidden="1" x14ac:dyDescent="0.2">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2" hidden="1" x14ac:dyDescent="0.2">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2" hidden="1" x14ac:dyDescent="0.2">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2" hidden="1" x14ac:dyDescent="0.2">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2" hidden="1" x14ac:dyDescent="0.2">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2" hidden="1" x14ac:dyDescent="0.2">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2" hidden="1" x14ac:dyDescent="0.2">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2" hidden="1" x14ac:dyDescent="0.2">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2" hidden="1" x14ac:dyDescent="0.2">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2" hidden="1" x14ac:dyDescent="0.2">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2" hidden="1" x14ac:dyDescent="0.2">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2" hidden="1" x14ac:dyDescent="0.2">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2" hidden="1" x14ac:dyDescent="0.2">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2" hidden="1" x14ac:dyDescent="0.2">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2" hidden="1" x14ac:dyDescent="0.2">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2" hidden="1" x14ac:dyDescent="0.2">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2" hidden="1" x14ac:dyDescent="0.2">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2" hidden="1" x14ac:dyDescent="0.2">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2" hidden="1" x14ac:dyDescent="0.2">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2" hidden="1" x14ac:dyDescent="0.2">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2" hidden="1" x14ac:dyDescent="0.2">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2" hidden="1" x14ac:dyDescent="0.2">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2" hidden="1" x14ac:dyDescent="0.2">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2" hidden="1" x14ac:dyDescent="0.2">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2" hidden="1" x14ac:dyDescent="0.2">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2" hidden="1" x14ac:dyDescent="0.2">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2" hidden="1" x14ac:dyDescent="0.2">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2" hidden="1" x14ac:dyDescent="0.2">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2" hidden="1" x14ac:dyDescent="0.2">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2" hidden="1" x14ac:dyDescent="0.2">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2" hidden="1" x14ac:dyDescent="0.2">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2" hidden="1" x14ac:dyDescent="0.2">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2" hidden="1" x14ac:dyDescent="0.2">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2" hidden="1" x14ac:dyDescent="0.2">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2" hidden="1" x14ac:dyDescent="0.2">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2" hidden="1" x14ac:dyDescent="0.2">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2" hidden="1" x14ac:dyDescent="0.2">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2" hidden="1" x14ac:dyDescent="0.2">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2" hidden="1" x14ac:dyDescent="0.2">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2" hidden="1" x14ac:dyDescent="0.2">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2" hidden="1" x14ac:dyDescent="0.2">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2" hidden="1" x14ac:dyDescent="0.2">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2" hidden="1" x14ac:dyDescent="0.2">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2" hidden="1" x14ac:dyDescent="0.2">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2" hidden="1" x14ac:dyDescent="0.2">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2" hidden="1" x14ac:dyDescent="0.2">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2" hidden="1" x14ac:dyDescent="0.2">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2" hidden="1" x14ac:dyDescent="0.2">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2" hidden="1" x14ac:dyDescent="0.2">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2" hidden="1" x14ac:dyDescent="0.2">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2" hidden="1" x14ac:dyDescent="0.2">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2" hidden="1" x14ac:dyDescent="0.2">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2" hidden="1" x14ac:dyDescent="0.2">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2" hidden="1" x14ac:dyDescent="0.2">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2" hidden="1" x14ac:dyDescent="0.2">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2" hidden="1" x14ac:dyDescent="0.2">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2" hidden="1" x14ac:dyDescent="0.2">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2" hidden="1" x14ac:dyDescent="0.2">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2" hidden="1" x14ac:dyDescent="0.2">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2" hidden="1" x14ac:dyDescent="0.2">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2" hidden="1" x14ac:dyDescent="0.2">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2" hidden="1" x14ac:dyDescent="0.2">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2" hidden="1" x14ac:dyDescent="0.2">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2" hidden="1" x14ac:dyDescent="0.2">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2" hidden="1" x14ac:dyDescent="0.2">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2" hidden="1" x14ac:dyDescent="0.2">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2" hidden="1" x14ac:dyDescent="0.2">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2" hidden="1" x14ac:dyDescent="0.2">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2" hidden="1" x14ac:dyDescent="0.2">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2" hidden="1" x14ac:dyDescent="0.2">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2" hidden="1" x14ac:dyDescent="0.2">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2" hidden="1" x14ac:dyDescent="0.2">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2" hidden="1" x14ac:dyDescent="0.2">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2" hidden="1" x14ac:dyDescent="0.2">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2" hidden="1" x14ac:dyDescent="0.2">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2" hidden="1" x14ac:dyDescent="0.2">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2" hidden="1" x14ac:dyDescent="0.2">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2" hidden="1" x14ac:dyDescent="0.2">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2" hidden="1" x14ac:dyDescent="0.2">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2" hidden="1" x14ac:dyDescent="0.2">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2" hidden="1" x14ac:dyDescent="0.2">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2" hidden="1" x14ac:dyDescent="0.2">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2" hidden="1" x14ac:dyDescent="0.2">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2" hidden="1" x14ac:dyDescent="0.2">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2" hidden="1" x14ac:dyDescent="0.2">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2" hidden="1" x14ac:dyDescent="0.2">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2" hidden="1" x14ac:dyDescent="0.2">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2" hidden="1" x14ac:dyDescent="0.2">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2" hidden="1" x14ac:dyDescent="0.2">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2" hidden="1" x14ac:dyDescent="0.2">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2" hidden="1" x14ac:dyDescent="0.2">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2" hidden="1" x14ac:dyDescent="0.2">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2" hidden="1" x14ac:dyDescent="0.2">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2" hidden="1" x14ac:dyDescent="0.2">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2" hidden="1" x14ac:dyDescent="0.2">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2" hidden="1" x14ac:dyDescent="0.2">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2" hidden="1" x14ac:dyDescent="0.2">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2" hidden="1" x14ac:dyDescent="0.2">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2" hidden="1" x14ac:dyDescent="0.2">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2" hidden="1" x14ac:dyDescent="0.2">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2" hidden="1" x14ac:dyDescent="0.2">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2" hidden="1" x14ac:dyDescent="0.2">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2" hidden="1" x14ac:dyDescent="0.2">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2" hidden="1" x14ac:dyDescent="0.2">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2" hidden="1" x14ac:dyDescent="0.2">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2" hidden="1" x14ac:dyDescent="0.2">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2" hidden="1" x14ac:dyDescent="0.2">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2" hidden="1" x14ac:dyDescent="0.2">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2" hidden="1" x14ac:dyDescent="0.2">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2" hidden="1" x14ac:dyDescent="0.2">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2" hidden="1" x14ac:dyDescent="0.2">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2" hidden="1" x14ac:dyDescent="0.2">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2" hidden="1" x14ac:dyDescent="0.2">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2" hidden="1" x14ac:dyDescent="0.2">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2" hidden="1" x14ac:dyDescent="0.2">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2" hidden="1" x14ac:dyDescent="0.2">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2" hidden="1" x14ac:dyDescent="0.2">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2" hidden="1" x14ac:dyDescent="0.2">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2" hidden="1" x14ac:dyDescent="0.2">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2" hidden="1" x14ac:dyDescent="0.2">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2" hidden="1" x14ac:dyDescent="0.2">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2" hidden="1" x14ac:dyDescent="0.2">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2" hidden="1" x14ac:dyDescent="0.2">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2" hidden="1" x14ac:dyDescent="0.2">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2" hidden="1" x14ac:dyDescent="0.2">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2" hidden="1" x14ac:dyDescent="0.2">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2" hidden="1" x14ac:dyDescent="0.2">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2" hidden="1" x14ac:dyDescent="0.2">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2" hidden="1" x14ac:dyDescent="0.2">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2" hidden="1" x14ac:dyDescent="0.2">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2" hidden="1" x14ac:dyDescent="0.2">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2" hidden="1" x14ac:dyDescent="0.2">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2" hidden="1" x14ac:dyDescent="0.2">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2" hidden="1" x14ac:dyDescent="0.2">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2" hidden="1" x14ac:dyDescent="0.2">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2" hidden="1" x14ac:dyDescent="0.2">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2" hidden="1" x14ac:dyDescent="0.2">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2" hidden="1" x14ac:dyDescent="0.2">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2" hidden="1" x14ac:dyDescent="0.2">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2" hidden="1" x14ac:dyDescent="0.2">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2" hidden="1" x14ac:dyDescent="0.2">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2" hidden="1" x14ac:dyDescent="0.2">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2" hidden="1" x14ac:dyDescent="0.2">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2" hidden="1" x14ac:dyDescent="0.2">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2" hidden="1" x14ac:dyDescent="0.2">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2" hidden="1" x14ac:dyDescent="0.2">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2" hidden="1" x14ac:dyDescent="0.2">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2" hidden="1" x14ac:dyDescent="0.2">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2" hidden="1" x14ac:dyDescent="0.2">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2" hidden="1" x14ac:dyDescent="0.2">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2" hidden="1" x14ac:dyDescent="0.2">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2" hidden="1" x14ac:dyDescent="0.2">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2" hidden="1" x14ac:dyDescent="0.2">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2" hidden="1" x14ac:dyDescent="0.2">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2" hidden="1" x14ac:dyDescent="0.2">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2" hidden="1" x14ac:dyDescent="0.2">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2" hidden="1" x14ac:dyDescent="0.2">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2" hidden="1" x14ac:dyDescent="0.2">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2" hidden="1" x14ac:dyDescent="0.2">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2" hidden="1" x14ac:dyDescent="0.2">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2" hidden="1" x14ac:dyDescent="0.2">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2" hidden="1" x14ac:dyDescent="0.2">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2" hidden="1" x14ac:dyDescent="0.2">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2" hidden="1" x14ac:dyDescent="0.2">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2" hidden="1" x14ac:dyDescent="0.2">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2" hidden="1" x14ac:dyDescent="0.2">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2" hidden="1" x14ac:dyDescent="0.2">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2" hidden="1" x14ac:dyDescent="0.2">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2" hidden="1" x14ac:dyDescent="0.2">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2" hidden="1" x14ac:dyDescent="0.2">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2" hidden="1" x14ac:dyDescent="0.2">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2" hidden="1" x14ac:dyDescent="0.2">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2" hidden="1" x14ac:dyDescent="0.2">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2" hidden="1" x14ac:dyDescent="0.2">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2" hidden="1" x14ac:dyDescent="0.2">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2" hidden="1" x14ac:dyDescent="0.2">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2" hidden="1" x14ac:dyDescent="0.2">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2" hidden="1" x14ac:dyDescent="0.2">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2" hidden="1" x14ac:dyDescent="0.2">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2" hidden="1" x14ac:dyDescent="0.2">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2" hidden="1" x14ac:dyDescent="0.2">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2" hidden="1" x14ac:dyDescent="0.2">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2" hidden="1" x14ac:dyDescent="0.2">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2" hidden="1" x14ac:dyDescent="0.2">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2" hidden="1" x14ac:dyDescent="0.2">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2" hidden="1" x14ac:dyDescent="0.2">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2" hidden="1" x14ac:dyDescent="0.2">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2" hidden="1" x14ac:dyDescent="0.2">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2" hidden="1" x14ac:dyDescent="0.2">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2" hidden="1" x14ac:dyDescent="0.2">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2" hidden="1" x14ac:dyDescent="0.2">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2" hidden="1" x14ac:dyDescent="0.2">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2" hidden="1" x14ac:dyDescent="0.2">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2" hidden="1" x14ac:dyDescent="0.2">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2" hidden="1" x14ac:dyDescent="0.2">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2" hidden="1" x14ac:dyDescent="0.2">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2" hidden="1" x14ac:dyDescent="0.2">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2" hidden="1" x14ac:dyDescent="0.2">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2" hidden="1" x14ac:dyDescent="0.2">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2" hidden="1" x14ac:dyDescent="0.2">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2" hidden="1" x14ac:dyDescent="0.2">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2" hidden="1" x14ac:dyDescent="0.2">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2" hidden="1" x14ac:dyDescent="0.2">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2" hidden="1" x14ac:dyDescent="0.2">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2" hidden="1" x14ac:dyDescent="0.2">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2" hidden="1" x14ac:dyDescent="0.2">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2" hidden="1" x14ac:dyDescent="0.2">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2" hidden="1" x14ac:dyDescent="0.2">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2" hidden="1" x14ac:dyDescent="0.2">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2" hidden="1" x14ac:dyDescent="0.2">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2" hidden="1" x14ac:dyDescent="0.2">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2" hidden="1" x14ac:dyDescent="0.2">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2" hidden="1" x14ac:dyDescent="0.2">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2" hidden="1" x14ac:dyDescent="0.2">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2" hidden="1" x14ac:dyDescent="0.2">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2" hidden="1" x14ac:dyDescent="0.2">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2" hidden="1" x14ac:dyDescent="0.2">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2" hidden="1" x14ac:dyDescent="0.2">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2" hidden="1" x14ac:dyDescent="0.2">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2" hidden="1" x14ac:dyDescent="0.2">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2" hidden="1" x14ac:dyDescent="0.2">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2" hidden="1" x14ac:dyDescent="0.2">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2" hidden="1" x14ac:dyDescent="0.2">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2" hidden="1" x14ac:dyDescent="0.2">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2" hidden="1" x14ac:dyDescent="0.2">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2" hidden="1" x14ac:dyDescent="0.2">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2" hidden="1" x14ac:dyDescent="0.2">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2" hidden="1" x14ac:dyDescent="0.2">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2" hidden="1" x14ac:dyDescent="0.2">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2" hidden="1" x14ac:dyDescent="0.2">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2" hidden="1" x14ac:dyDescent="0.2">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2" hidden="1" x14ac:dyDescent="0.2">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2" hidden="1" x14ac:dyDescent="0.2">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2" hidden="1" x14ac:dyDescent="0.2">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2" hidden="1" x14ac:dyDescent="0.2">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2" hidden="1" x14ac:dyDescent="0.2">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2" hidden="1" x14ac:dyDescent="0.2">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2" hidden="1" x14ac:dyDescent="0.2">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2" hidden="1" x14ac:dyDescent="0.2">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2" hidden="1" x14ac:dyDescent="0.2">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2" hidden="1" x14ac:dyDescent="0.2">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2" hidden="1" x14ac:dyDescent="0.2">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2" hidden="1" x14ac:dyDescent="0.2">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2" hidden="1" x14ac:dyDescent="0.2">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2" hidden="1" x14ac:dyDescent="0.2">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2" hidden="1" x14ac:dyDescent="0.2">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2" hidden="1" x14ac:dyDescent="0.2">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2" hidden="1" x14ac:dyDescent="0.2">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2" hidden="1" x14ac:dyDescent="0.2">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2" hidden="1" x14ac:dyDescent="0.2">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2" hidden="1" x14ac:dyDescent="0.2">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2" hidden="1" x14ac:dyDescent="0.2">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2" hidden="1" x14ac:dyDescent="0.2">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2" hidden="1" x14ac:dyDescent="0.2">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2" hidden="1" x14ac:dyDescent="0.2">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2" hidden="1" x14ac:dyDescent="0.2">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2" hidden="1" x14ac:dyDescent="0.2">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2" hidden="1" x14ac:dyDescent="0.2">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2" hidden="1" x14ac:dyDescent="0.2">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2" hidden="1" x14ac:dyDescent="0.2">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2" hidden="1" x14ac:dyDescent="0.2">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2" hidden="1" x14ac:dyDescent="0.2">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2" hidden="1" x14ac:dyDescent="0.2">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2" hidden="1" x14ac:dyDescent="0.2">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2" hidden="1" x14ac:dyDescent="0.2">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2" hidden="1" x14ac:dyDescent="0.2">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2" hidden="1" x14ac:dyDescent="0.2">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2" hidden="1" x14ac:dyDescent="0.2">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2" hidden="1" x14ac:dyDescent="0.2">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2" hidden="1" x14ac:dyDescent="0.2">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2" hidden="1" x14ac:dyDescent="0.2">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2" hidden="1" x14ac:dyDescent="0.2">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2" hidden="1" x14ac:dyDescent="0.2">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2" hidden="1" x14ac:dyDescent="0.2">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2" hidden="1" x14ac:dyDescent="0.2">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2" hidden="1" x14ac:dyDescent="0.2">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2" hidden="1" x14ac:dyDescent="0.2">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2" hidden="1" x14ac:dyDescent="0.2">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2" hidden="1" x14ac:dyDescent="0.2">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2" hidden="1" x14ac:dyDescent="0.2">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2" hidden="1" x14ac:dyDescent="0.2">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2" hidden="1" x14ac:dyDescent="0.2">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2" hidden="1" x14ac:dyDescent="0.2">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2" hidden="1" x14ac:dyDescent="0.2">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2" hidden="1" x14ac:dyDescent="0.2">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2" hidden="1" x14ac:dyDescent="0.2">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2" hidden="1" x14ac:dyDescent="0.2">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2" hidden="1" x14ac:dyDescent="0.2">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2" hidden="1" x14ac:dyDescent="0.2">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2" hidden="1" x14ac:dyDescent="0.2">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2" hidden="1" x14ac:dyDescent="0.2">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2" hidden="1" x14ac:dyDescent="0.2">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2" hidden="1" x14ac:dyDescent="0.2">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2" hidden="1" x14ac:dyDescent="0.2">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2" hidden="1" x14ac:dyDescent="0.2">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2" hidden="1" x14ac:dyDescent="0.2">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2" hidden="1" x14ac:dyDescent="0.2">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2" hidden="1" x14ac:dyDescent="0.2">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2" hidden="1" x14ac:dyDescent="0.2">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2" hidden="1" x14ac:dyDescent="0.2">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2" hidden="1" x14ac:dyDescent="0.2">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2" hidden="1" x14ac:dyDescent="0.2">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2" hidden="1" x14ac:dyDescent="0.2">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2" hidden="1" x14ac:dyDescent="0.2">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2" hidden="1" x14ac:dyDescent="0.2">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2" hidden="1" x14ac:dyDescent="0.2">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2" hidden="1" x14ac:dyDescent="0.2">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2" hidden="1" x14ac:dyDescent="0.2">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2" hidden="1" x14ac:dyDescent="0.2">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2" hidden="1" x14ac:dyDescent="0.2">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2" hidden="1" x14ac:dyDescent="0.2">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2" hidden="1" x14ac:dyDescent="0.2">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2" hidden="1" x14ac:dyDescent="0.2">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2" hidden="1" x14ac:dyDescent="0.2">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2" hidden="1" x14ac:dyDescent="0.2">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2" hidden="1" x14ac:dyDescent="0.2">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2" hidden="1" x14ac:dyDescent="0.2">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2" hidden="1" x14ac:dyDescent="0.2">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2" hidden="1" x14ac:dyDescent="0.2">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2" hidden="1" x14ac:dyDescent="0.2">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2" hidden="1" x14ac:dyDescent="0.2">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2" hidden="1" x14ac:dyDescent="0.2">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2" hidden="1" x14ac:dyDescent="0.2">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2" hidden="1" x14ac:dyDescent="0.2">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2" hidden="1" x14ac:dyDescent="0.2">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2" hidden="1" x14ac:dyDescent="0.2">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2" hidden="1" x14ac:dyDescent="0.2">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2" hidden="1" x14ac:dyDescent="0.2">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2" hidden="1" x14ac:dyDescent="0.2">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2" hidden="1" x14ac:dyDescent="0.2">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2" hidden="1" x14ac:dyDescent="0.2">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2" hidden="1" x14ac:dyDescent="0.2">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2" hidden="1" x14ac:dyDescent="0.2">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2" hidden="1" x14ac:dyDescent="0.2">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2" hidden="1" x14ac:dyDescent="0.2">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2" hidden="1" x14ac:dyDescent="0.2">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2" hidden="1" x14ac:dyDescent="0.2">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2" hidden="1" x14ac:dyDescent="0.2">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2" hidden="1" x14ac:dyDescent="0.2">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2" hidden="1" x14ac:dyDescent="0.2">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2" hidden="1" x14ac:dyDescent="0.2">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2" hidden="1" x14ac:dyDescent="0.2">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2" hidden="1" x14ac:dyDescent="0.2">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2" hidden="1" x14ac:dyDescent="0.2">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2" hidden="1" x14ac:dyDescent="0.2">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2" hidden="1" x14ac:dyDescent="0.2">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2" hidden="1" x14ac:dyDescent="0.2">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2" hidden="1" x14ac:dyDescent="0.2">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2" hidden="1" x14ac:dyDescent="0.2">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2" hidden="1" x14ac:dyDescent="0.2">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2" hidden="1" x14ac:dyDescent="0.2">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2" hidden="1" x14ac:dyDescent="0.2">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2" hidden="1" x14ac:dyDescent="0.2">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2" hidden="1" x14ac:dyDescent="0.2">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2" hidden="1" x14ac:dyDescent="0.2">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2" hidden="1" x14ac:dyDescent="0.2">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2" hidden="1" x14ac:dyDescent="0.2">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2" hidden="1" x14ac:dyDescent="0.2">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2" hidden="1" x14ac:dyDescent="0.2">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2" hidden="1" x14ac:dyDescent="0.2">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2" hidden="1" x14ac:dyDescent="0.2">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2" hidden="1" x14ac:dyDescent="0.2">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2" hidden="1" x14ac:dyDescent="0.2">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2" hidden="1" x14ac:dyDescent="0.2">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2" hidden="1" x14ac:dyDescent="0.2">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2" hidden="1" x14ac:dyDescent="0.2">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2" hidden="1" x14ac:dyDescent="0.2">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2" hidden="1" x14ac:dyDescent="0.2">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2" hidden="1" x14ac:dyDescent="0.2">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2" hidden="1" x14ac:dyDescent="0.2">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2" hidden="1" x14ac:dyDescent="0.2">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2" hidden="1" x14ac:dyDescent="0.2">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2" hidden="1" x14ac:dyDescent="0.2">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2" hidden="1" x14ac:dyDescent="0.2">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2" hidden="1" x14ac:dyDescent="0.2">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2" hidden="1" x14ac:dyDescent="0.2">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2" hidden="1" x14ac:dyDescent="0.2">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2" hidden="1" x14ac:dyDescent="0.2">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2" hidden="1" x14ac:dyDescent="0.2">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2" hidden="1" x14ac:dyDescent="0.2">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2" hidden="1" x14ac:dyDescent="0.2">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2" hidden="1" x14ac:dyDescent="0.2">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2" hidden="1" x14ac:dyDescent="0.2">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2" hidden="1" x14ac:dyDescent="0.2">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2" hidden="1" x14ac:dyDescent="0.2">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2" hidden="1" x14ac:dyDescent="0.2">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2" hidden="1" x14ac:dyDescent="0.2">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2" hidden="1" x14ac:dyDescent="0.2">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2" hidden="1" x14ac:dyDescent="0.2">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2" hidden="1" x14ac:dyDescent="0.2">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2" hidden="1" x14ac:dyDescent="0.2">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2" hidden="1" x14ac:dyDescent="0.2">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2" hidden="1" x14ac:dyDescent="0.2">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2" hidden="1" x14ac:dyDescent="0.2">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2" hidden="1" x14ac:dyDescent="0.2">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2" hidden="1" x14ac:dyDescent="0.2">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2" hidden="1" x14ac:dyDescent="0.2">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2" hidden="1" x14ac:dyDescent="0.2">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2" hidden="1" x14ac:dyDescent="0.2">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2" hidden="1" x14ac:dyDescent="0.2">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2" hidden="1" x14ac:dyDescent="0.2">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2" hidden="1" x14ac:dyDescent="0.2">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2" hidden="1" x14ac:dyDescent="0.2">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2" hidden="1" x14ac:dyDescent="0.2">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2" hidden="1" x14ac:dyDescent="0.2">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2" hidden="1" x14ac:dyDescent="0.2">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2" hidden="1" x14ac:dyDescent="0.2">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2" hidden="1" x14ac:dyDescent="0.2">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2" hidden="1" x14ac:dyDescent="0.2">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2" hidden="1" x14ac:dyDescent="0.2">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2" hidden="1" x14ac:dyDescent="0.2">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2" hidden="1" x14ac:dyDescent="0.2">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2" hidden="1" x14ac:dyDescent="0.2">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2" hidden="1" x14ac:dyDescent="0.2">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2" hidden="1" x14ac:dyDescent="0.2">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2" hidden="1" x14ac:dyDescent="0.2">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2" hidden="1" x14ac:dyDescent="0.2">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2" hidden="1" x14ac:dyDescent="0.2">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2" hidden="1" x14ac:dyDescent="0.2">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2" hidden="1" x14ac:dyDescent="0.2">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2" hidden="1" x14ac:dyDescent="0.2">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2" hidden="1" x14ac:dyDescent="0.2">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2" hidden="1" x14ac:dyDescent="0.2">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2" hidden="1" x14ac:dyDescent="0.2">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2" hidden="1" x14ac:dyDescent="0.2">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2" hidden="1" x14ac:dyDescent="0.2">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2" hidden="1" x14ac:dyDescent="0.2">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2" hidden="1" x14ac:dyDescent="0.2">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2" hidden="1" x14ac:dyDescent="0.2">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2" hidden="1" x14ac:dyDescent="0.2">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2" hidden="1" x14ac:dyDescent="0.2">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2" hidden="1" x14ac:dyDescent="0.2">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2" hidden="1" x14ac:dyDescent="0.2">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2" hidden="1" x14ac:dyDescent="0.2">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2" hidden="1" x14ac:dyDescent="0.2">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2" hidden="1" x14ac:dyDescent="0.2">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2" hidden="1" x14ac:dyDescent="0.2">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2" hidden="1" x14ac:dyDescent="0.2">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2" hidden="1" x14ac:dyDescent="0.2">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2" hidden="1" x14ac:dyDescent="0.2">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2" hidden="1" x14ac:dyDescent="0.2">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2" hidden="1" x14ac:dyDescent="0.2">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2" hidden="1" x14ac:dyDescent="0.2">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2" hidden="1" x14ac:dyDescent="0.2">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2" hidden="1" x14ac:dyDescent="0.2">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2" hidden="1" x14ac:dyDescent="0.2">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2" hidden="1" x14ac:dyDescent="0.2">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2" hidden="1" x14ac:dyDescent="0.2">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2" hidden="1" x14ac:dyDescent="0.2">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2" hidden="1" x14ac:dyDescent="0.2">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2" hidden="1" x14ac:dyDescent="0.2">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2" hidden="1" x14ac:dyDescent="0.2">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2" hidden="1" x14ac:dyDescent="0.2">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2" hidden="1" x14ac:dyDescent="0.2">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2" hidden="1" x14ac:dyDescent="0.2">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2" hidden="1" x14ac:dyDescent="0.2">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2" hidden="1" x14ac:dyDescent="0.2">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2" hidden="1" x14ac:dyDescent="0.2">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2" hidden="1" x14ac:dyDescent="0.2">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2" hidden="1" x14ac:dyDescent="0.2">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2" hidden="1" x14ac:dyDescent="0.2">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2" hidden="1" x14ac:dyDescent="0.2">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2" hidden="1" x14ac:dyDescent="0.2">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2" hidden="1" x14ac:dyDescent="0.2">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2" hidden="1" x14ac:dyDescent="0.2">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2" hidden="1" x14ac:dyDescent="0.2">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2" hidden="1" x14ac:dyDescent="0.2">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2" hidden="1" x14ac:dyDescent="0.2">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2" hidden="1" x14ac:dyDescent="0.2">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2" hidden="1" x14ac:dyDescent="0.2">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2" hidden="1" x14ac:dyDescent="0.2">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2" hidden="1" x14ac:dyDescent="0.2">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2" hidden="1" x14ac:dyDescent="0.2">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2" hidden="1" x14ac:dyDescent="0.2">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2" hidden="1" x14ac:dyDescent="0.2">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2" hidden="1" x14ac:dyDescent="0.2">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2" hidden="1" x14ac:dyDescent="0.2">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2" hidden="1" x14ac:dyDescent="0.2">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2" hidden="1" x14ac:dyDescent="0.2">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2" hidden="1" x14ac:dyDescent="0.2">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2" hidden="1" x14ac:dyDescent="0.2">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2" hidden="1" x14ac:dyDescent="0.2">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2" hidden="1" x14ac:dyDescent="0.2">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2" hidden="1" x14ac:dyDescent="0.2">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2" hidden="1" x14ac:dyDescent="0.2">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2" hidden="1" x14ac:dyDescent="0.2">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2" hidden="1" x14ac:dyDescent="0.2">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2" hidden="1" x14ac:dyDescent="0.2">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2" hidden="1" x14ac:dyDescent="0.2">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2" hidden="1" x14ac:dyDescent="0.2">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2" hidden="1" x14ac:dyDescent="0.2">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2" hidden="1" x14ac:dyDescent="0.2">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2" hidden="1" x14ac:dyDescent="0.2">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2" hidden="1" x14ac:dyDescent="0.2">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2" hidden="1" x14ac:dyDescent="0.2">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2" hidden="1" x14ac:dyDescent="0.2">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2" hidden="1" x14ac:dyDescent="0.2">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2" hidden="1" x14ac:dyDescent="0.2">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2" hidden="1" x14ac:dyDescent="0.2">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2" hidden="1" x14ac:dyDescent="0.2">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2" hidden="1" x14ac:dyDescent="0.2">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2" hidden="1" x14ac:dyDescent="0.2">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2" hidden="1" x14ac:dyDescent="0.2">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2" hidden="1" x14ac:dyDescent="0.2">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2" hidden="1" x14ac:dyDescent="0.2">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2" hidden="1" x14ac:dyDescent="0.2">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2" hidden="1" x14ac:dyDescent="0.2">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2" hidden="1" x14ac:dyDescent="0.2">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2" hidden="1" x14ac:dyDescent="0.2">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2" hidden="1" x14ac:dyDescent="0.2">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2" hidden="1" x14ac:dyDescent="0.2">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2" hidden="1" x14ac:dyDescent="0.2">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2" hidden="1" x14ac:dyDescent="0.2">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2" hidden="1" x14ac:dyDescent="0.2">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2" hidden="1" x14ac:dyDescent="0.2">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2" hidden="1" x14ac:dyDescent="0.2">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2" hidden="1" x14ac:dyDescent="0.2">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2" hidden="1" x14ac:dyDescent="0.2">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2" hidden="1" x14ac:dyDescent="0.2">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2" hidden="1" x14ac:dyDescent="0.2">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2" hidden="1" x14ac:dyDescent="0.2">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2" hidden="1" x14ac:dyDescent="0.2">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2" hidden="1" x14ac:dyDescent="0.2">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2" hidden="1" x14ac:dyDescent="0.2">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2" hidden="1" x14ac:dyDescent="0.2">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2" hidden="1" x14ac:dyDescent="0.2">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2" hidden="1" x14ac:dyDescent="0.2">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2" hidden="1" x14ac:dyDescent="0.2">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2" hidden="1" x14ac:dyDescent="0.2">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2" hidden="1" x14ac:dyDescent="0.2">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2" hidden="1" x14ac:dyDescent="0.2">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2" hidden="1" x14ac:dyDescent="0.2">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2" hidden="1" x14ac:dyDescent="0.2">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2" hidden="1" x14ac:dyDescent="0.2">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2" hidden="1" x14ac:dyDescent="0.2">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2" hidden="1" x14ac:dyDescent="0.2">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2" hidden="1" x14ac:dyDescent="0.2">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2" hidden="1" x14ac:dyDescent="0.2">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2" hidden="1" x14ac:dyDescent="0.2">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2" hidden="1" x14ac:dyDescent="0.2">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2" hidden="1" x14ac:dyDescent="0.2">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2" hidden="1" x14ac:dyDescent="0.2">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2" hidden="1" x14ac:dyDescent="0.2">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2" hidden="1" x14ac:dyDescent="0.2">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2" hidden="1" x14ac:dyDescent="0.2">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2" hidden="1" x14ac:dyDescent="0.2">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2" hidden="1" x14ac:dyDescent="0.2">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2" hidden="1" x14ac:dyDescent="0.2">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2" hidden="1" x14ac:dyDescent="0.2">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2" hidden="1" x14ac:dyDescent="0.2">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2" hidden="1" x14ac:dyDescent="0.2">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2" hidden="1" x14ac:dyDescent="0.2">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2" hidden="1" x14ac:dyDescent="0.2">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2" hidden="1" x14ac:dyDescent="0.2">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2" hidden="1" x14ac:dyDescent="0.2">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2" hidden="1" x14ac:dyDescent="0.2">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2" hidden="1" x14ac:dyDescent="0.2">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2" hidden="1" x14ac:dyDescent="0.2">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2" hidden="1" x14ac:dyDescent="0.2">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2" hidden="1" x14ac:dyDescent="0.2">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2" hidden="1" x14ac:dyDescent="0.2">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2" hidden="1" x14ac:dyDescent="0.2">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2" hidden="1" x14ac:dyDescent="0.2">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2" hidden="1" x14ac:dyDescent="0.2">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2" hidden="1" x14ac:dyDescent="0.2">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2" hidden="1" x14ac:dyDescent="0.2">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2" hidden="1" x14ac:dyDescent="0.2">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2" hidden="1" x14ac:dyDescent="0.2">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2" hidden="1" x14ac:dyDescent="0.2">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2" hidden="1" x14ac:dyDescent="0.2">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2" hidden="1" x14ac:dyDescent="0.2">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2" hidden="1" x14ac:dyDescent="0.2">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2" hidden="1" x14ac:dyDescent="0.2">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2" hidden="1" x14ac:dyDescent="0.2">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2" hidden="1" x14ac:dyDescent="0.2">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2" hidden="1" x14ac:dyDescent="0.2">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2" hidden="1" x14ac:dyDescent="0.2">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2" hidden="1" x14ac:dyDescent="0.2">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2" hidden="1" x14ac:dyDescent="0.2">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2" hidden="1" x14ac:dyDescent="0.2">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2" hidden="1" x14ac:dyDescent="0.2">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2" hidden="1" x14ac:dyDescent="0.2">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2" hidden="1" x14ac:dyDescent="0.2">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2" hidden="1" x14ac:dyDescent="0.2">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2" hidden="1" x14ac:dyDescent="0.2">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2" hidden="1" x14ac:dyDescent="0.2">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2" hidden="1" x14ac:dyDescent="0.2">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2" hidden="1" x14ac:dyDescent="0.2">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2" hidden="1" x14ac:dyDescent="0.2">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2" hidden="1" x14ac:dyDescent="0.2">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2" hidden="1" x14ac:dyDescent="0.2">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2" hidden="1" x14ac:dyDescent="0.2">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2" hidden="1" x14ac:dyDescent="0.2">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2" hidden="1" x14ac:dyDescent="0.2">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2" hidden="1" x14ac:dyDescent="0.2">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2" hidden="1" x14ac:dyDescent="0.2">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2" hidden="1" x14ac:dyDescent="0.2">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2" hidden="1" x14ac:dyDescent="0.2">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2" hidden="1" x14ac:dyDescent="0.2">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2" hidden="1" x14ac:dyDescent="0.2">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2" hidden="1" x14ac:dyDescent="0.2">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2" hidden="1" x14ac:dyDescent="0.2">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2" hidden="1" x14ac:dyDescent="0.2">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2" hidden="1" x14ac:dyDescent="0.2">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2" hidden="1" x14ac:dyDescent="0.2">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2" hidden="1" x14ac:dyDescent="0.2">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2" hidden="1" x14ac:dyDescent="0.2">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2" hidden="1" x14ac:dyDescent="0.2">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2" hidden="1" x14ac:dyDescent="0.2">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2" hidden="1" x14ac:dyDescent="0.2">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2" hidden="1" x14ac:dyDescent="0.2">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2" hidden="1" x14ac:dyDescent="0.2">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2" hidden="1" x14ac:dyDescent="0.2">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2" hidden="1" x14ac:dyDescent="0.2">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2" hidden="1" x14ac:dyDescent="0.2">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2" hidden="1" x14ac:dyDescent="0.2">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2" hidden="1" x14ac:dyDescent="0.2">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2" hidden="1" x14ac:dyDescent="0.2">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2" hidden="1" x14ac:dyDescent="0.2">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2" hidden="1" x14ac:dyDescent="0.2">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2" hidden="1" x14ac:dyDescent="0.2">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2" hidden="1" x14ac:dyDescent="0.2">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2" hidden="1" x14ac:dyDescent="0.2">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2" hidden="1" x14ac:dyDescent="0.2">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2" hidden="1" x14ac:dyDescent="0.2">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2" hidden="1" x14ac:dyDescent="0.2">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2" hidden="1" x14ac:dyDescent="0.2">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2" hidden="1" x14ac:dyDescent="0.2">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2" hidden="1" x14ac:dyDescent="0.2">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2" hidden="1" x14ac:dyDescent="0.2">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2" hidden="1" x14ac:dyDescent="0.2">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2" hidden="1" x14ac:dyDescent="0.2">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2" hidden="1" x14ac:dyDescent="0.2">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2" hidden="1" x14ac:dyDescent="0.2">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2" hidden="1" x14ac:dyDescent="0.2">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2" hidden="1" x14ac:dyDescent="0.2">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2" hidden="1" x14ac:dyDescent="0.2">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2" hidden="1" x14ac:dyDescent="0.2">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2" hidden="1" x14ac:dyDescent="0.2">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2" hidden="1" x14ac:dyDescent="0.2">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2" hidden="1" x14ac:dyDescent="0.2">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2" hidden="1" x14ac:dyDescent="0.2">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2" hidden="1" x14ac:dyDescent="0.2">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2" hidden="1" x14ac:dyDescent="0.2">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2" hidden="1" x14ac:dyDescent="0.2">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2" hidden="1" x14ac:dyDescent="0.2">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2" hidden="1" x14ac:dyDescent="0.2">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2" hidden="1" x14ac:dyDescent="0.2">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2" hidden="1" x14ac:dyDescent="0.2">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2" hidden="1" x14ac:dyDescent="0.2">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2" hidden="1" x14ac:dyDescent="0.2">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2" hidden="1" x14ac:dyDescent="0.2">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2" hidden="1" x14ac:dyDescent="0.2">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2" hidden="1" x14ac:dyDescent="0.2">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2" hidden="1" x14ac:dyDescent="0.2">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2" hidden="1" x14ac:dyDescent="0.2">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2" hidden="1" x14ac:dyDescent="0.2">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2" hidden="1" x14ac:dyDescent="0.2">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2" hidden="1" x14ac:dyDescent="0.2">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2" hidden="1" x14ac:dyDescent="0.2">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2" hidden="1" x14ac:dyDescent="0.2">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2" hidden="1" x14ac:dyDescent="0.2">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2" hidden="1" x14ac:dyDescent="0.2">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2" hidden="1" x14ac:dyDescent="0.2">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2" hidden="1" x14ac:dyDescent="0.2">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2" hidden="1" x14ac:dyDescent="0.2">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2" hidden="1" x14ac:dyDescent="0.2">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2" hidden="1" x14ac:dyDescent="0.2">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2" hidden="1" x14ac:dyDescent="0.2">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2" hidden="1" x14ac:dyDescent="0.2">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2" hidden="1" x14ac:dyDescent="0.2">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2" hidden="1" x14ac:dyDescent="0.2">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2" hidden="1" x14ac:dyDescent="0.2">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2" hidden="1" x14ac:dyDescent="0.2">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2" hidden="1" x14ac:dyDescent="0.2">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2" hidden="1" x14ac:dyDescent="0.2">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2" hidden="1" x14ac:dyDescent="0.2">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2" hidden="1" x14ac:dyDescent="0.2">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2" hidden="1" x14ac:dyDescent="0.2">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2" hidden="1" x14ac:dyDescent="0.2">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2" hidden="1" x14ac:dyDescent="0.2">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2" hidden="1" x14ac:dyDescent="0.2">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2" hidden="1" x14ac:dyDescent="0.2">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2" hidden="1" x14ac:dyDescent="0.2">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2" hidden="1" x14ac:dyDescent="0.2">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2" hidden="1" x14ac:dyDescent="0.2">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2" hidden="1" x14ac:dyDescent="0.2">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2" hidden="1" x14ac:dyDescent="0.2">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2" hidden="1" x14ac:dyDescent="0.2">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2" hidden="1" x14ac:dyDescent="0.2">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2" hidden="1" x14ac:dyDescent="0.2">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2" hidden="1" x14ac:dyDescent="0.2">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2" hidden="1" x14ac:dyDescent="0.2">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2" hidden="1" x14ac:dyDescent="0.2">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2" hidden="1" x14ac:dyDescent="0.2">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2" hidden="1" x14ac:dyDescent="0.2">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2" hidden="1" x14ac:dyDescent="0.2">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2" hidden="1" x14ac:dyDescent="0.2">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2" hidden="1" x14ac:dyDescent="0.2">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2" hidden="1" x14ac:dyDescent="0.2">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2" hidden="1" x14ac:dyDescent="0.2">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2" hidden="1" x14ac:dyDescent="0.2">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2" hidden="1" x14ac:dyDescent="0.2">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2" hidden="1" x14ac:dyDescent="0.2">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2" hidden="1" x14ac:dyDescent="0.2">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2" hidden="1" x14ac:dyDescent="0.2">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2" hidden="1" x14ac:dyDescent="0.2">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2" hidden="1" x14ac:dyDescent="0.2">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2" hidden="1" x14ac:dyDescent="0.2">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2" hidden="1" x14ac:dyDescent="0.2">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2" hidden="1" x14ac:dyDescent="0.2">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2" hidden="1" x14ac:dyDescent="0.2">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2" hidden="1" x14ac:dyDescent="0.2">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2" hidden="1" x14ac:dyDescent="0.2">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2" hidden="1" x14ac:dyDescent="0.2">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2" hidden="1" x14ac:dyDescent="0.2">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2" hidden="1" x14ac:dyDescent="0.2">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2" hidden="1" x14ac:dyDescent="0.2">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2" hidden="1" x14ac:dyDescent="0.2">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2" hidden="1" x14ac:dyDescent="0.2">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2" hidden="1" x14ac:dyDescent="0.2">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2" hidden="1" x14ac:dyDescent="0.2">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2" hidden="1" x14ac:dyDescent="0.2">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2" hidden="1" x14ac:dyDescent="0.2">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2" hidden="1" x14ac:dyDescent="0.2">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2" hidden="1" x14ac:dyDescent="0.2">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2" hidden="1" x14ac:dyDescent="0.2">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2" hidden="1" x14ac:dyDescent="0.2">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2" hidden="1" x14ac:dyDescent="0.2">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2" hidden="1" x14ac:dyDescent="0.2">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2" hidden="1" x14ac:dyDescent="0.2">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2" hidden="1" x14ac:dyDescent="0.2">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2" hidden="1" x14ac:dyDescent="0.2">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2" hidden="1" x14ac:dyDescent="0.2">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2" hidden="1" x14ac:dyDescent="0.2">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2" hidden="1" x14ac:dyDescent="0.2">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2" hidden="1" x14ac:dyDescent="0.2">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2" hidden="1" x14ac:dyDescent="0.2">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2" hidden="1" x14ac:dyDescent="0.2">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2" hidden="1" x14ac:dyDescent="0.2">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2" hidden="1" x14ac:dyDescent="0.2">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2" hidden="1" x14ac:dyDescent="0.2">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2" hidden="1" x14ac:dyDescent="0.2">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2" hidden="1" x14ac:dyDescent="0.2">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2" hidden="1" x14ac:dyDescent="0.2">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2" hidden="1" x14ac:dyDescent="0.2">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2" hidden="1" x14ac:dyDescent="0.2">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2" hidden="1" x14ac:dyDescent="0.2">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2" hidden="1" x14ac:dyDescent="0.2">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2" hidden="1" x14ac:dyDescent="0.2">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2" hidden="1" x14ac:dyDescent="0.2">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2" hidden="1" x14ac:dyDescent="0.2">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2" hidden="1" x14ac:dyDescent="0.2">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2" hidden="1" x14ac:dyDescent="0.2">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2" hidden="1" x14ac:dyDescent="0.2">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2" hidden="1" x14ac:dyDescent="0.2">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2" hidden="1" x14ac:dyDescent="0.2">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2" hidden="1" x14ac:dyDescent="0.2">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2" hidden="1" x14ac:dyDescent="0.2">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2" hidden="1" x14ac:dyDescent="0.2">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2" hidden="1" x14ac:dyDescent="0.2">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2" hidden="1" x14ac:dyDescent="0.2">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2" hidden="1" x14ac:dyDescent="0.2">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2" hidden="1" x14ac:dyDescent="0.2">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2" hidden="1" x14ac:dyDescent="0.2">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2" hidden="1" x14ac:dyDescent="0.2">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2" hidden="1" x14ac:dyDescent="0.2">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2" hidden="1" x14ac:dyDescent="0.2">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2" hidden="1" x14ac:dyDescent="0.2">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2" hidden="1" x14ac:dyDescent="0.2">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2" hidden="1" x14ac:dyDescent="0.2">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2" hidden="1" x14ac:dyDescent="0.2">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2" hidden="1" x14ac:dyDescent="0.2">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2" hidden="1" x14ac:dyDescent="0.2">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2" hidden="1" x14ac:dyDescent="0.2">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2" hidden="1" x14ac:dyDescent="0.2">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2" hidden="1" x14ac:dyDescent="0.2">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2" hidden="1" x14ac:dyDescent="0.2">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2" hidden="1" x14ac:dyDescent="0.2">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2" hidden="1" x14ac:dyDescent="0.2">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2" hidden="1" x14ac:dyDescent="0.2">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2" hidden="1" x14ac:dyDescent="0.2">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2" hidden="1" x14ac:dyDescent="0.2">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2" hidden="1" x14ac:dyDescent="0.2">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2" hidden="1" x14ac:dyDescent="0.2">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2" hidden="1" x14ac:dyDescent="0.2">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2" hidden="1" x14ac:dyDescent="0.2">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2" hidden="1" x14ac:dyDescent="0.2">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2" hidden="1" x14ac:dyDescent="0.2">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2" hidden="1" x14ac:dyDescent="0.2">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2" hidden="1" x14ac:dyDescent="0.2">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2" hidden="1" x14ac:dyDescent="0.2">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2" hidden="1" x14ac:dyDescent="0.2">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2" hidden="1" x14ac:dyDescent="0.2">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2" hidden="1" x14ac:dyDescent="0.2">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2" hidden="1" x14ac:dyDescent="0.2">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2" hidden="1" x14ac:dyDescent="0.2">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2" hidden="1" x14ac:dyDescent="0.2">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2" hidden="1" x14ac:dyDescent="0.2">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2" hidden="1" x14ac:dyDescent="0.2">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2" hidden="1" x14ac:dyDescent="0.2">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2" hidden="1" x14ac:dyDescent="0.2">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2" hidden="1" x14ac:dyDescent="0.2">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2" hidden="1" x14ac:dyDescent="0.2">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2" hidden="1" x14ac:dyDescent="0.2">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2" hidden="1" x14ac:dyDescent="0.2">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2" hidden="1" x14ac:dyDescent="0.2">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2" hidden="1" x14ac:dyDescent="0.2">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2" hidden="1" x14ac:dyDescent="0.2">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2" hidden="1" x14ac:dyDescent="0.2">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2" hidden="1" x14ac:dyDescent="0.2">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2" hidden="1" x14ac:dyDescent="0.2">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2" hidden="1" x14ac:dyDescent="0.2">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2" hidden="1" x14ac:dyDescent="0.2">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2" hidden="1" x14ac:dyDescent="0.2">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2" hidden="1" x14ac:dyDescent="0.2">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2" hidden="1" x14ac:dyDescent="0.2">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2" hidden="1" x14ac:dyDescent="0.2">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2" hidden="1" x14ac:dyDescent="0.2">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2" hidden="1" x14ac:dyDescent="0.2">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2" hidden="1" x14ac:dyDescent="0.2">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2" hidden="1" x14ac:dyDescent="0.2">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2" hidden="1" x14ac:dyDescent="0.2">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2" hidden="1" x14ac:dyDescent="0.2">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2" hidden="1" x14ac:dyDescent="0.2">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2" hidden="1" x14ac:dyDescent="0.2">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2" hidden="1" x14ac:dyDescent="0.2">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2" hidden="1" x14ac:dyDescent="0.2">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2" hidden="1" x14ac:dyDescent="0.2">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2" hidden="1" x14ac:dyDescent="0.2">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2" hidden="1" x14ac:dyDescent="0.2">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2" hidden="1" x14ac:dyDescent="0.2">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2" hidden="1" x14ac:dyDescent="0.2">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2" hidden="1" x14ac:dyDescent="0.2">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2" hidden="1" x14ac:dyDescent="0.2">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2" hidden="1" x14ac:dyDescent="0.2">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2" hidden="1" x14ac:dyDescent="0.2">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2" hidden="1" x14ac:dyDescent="0.2">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2" hidden="1" x14ac:dyDescent="0.2">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2" hidden="1" x14ac:dyDescent="0.2">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2" hidden="1" x14ac:dyDescent="0.2">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2" hidden="1" x14ac:dyDescent="0.2">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2" hidden="1" x14ac:dyDescent="0.2">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2" hidden="1" x14ac:dyDescent="0.2">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2" hidden="1" x14ac:dyDescent="0.2">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2" hidden="1" x14ac:dyDescent="0.2">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2" hidden="1" x14ac:dyDescent="0.2">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2" hidden="1" x14ac:dyDescent="0.2">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2" hidden="1" x14ac:dyDescent="0.2">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2" hidden="1" x14ac:dyDescent="0.2">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2" hidden="1" x14ac:dyDescent="0.2">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2" hidden="1" x14ac:dyDescent="0.2">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2" hidden="1" x14ac:dyDescent="0.2">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2" hidden="1" x14ac:dyDescent="0.2">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2" hidden="1" x14ac:dyDescent="0.2">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2" hidden="1" x14ac:dyDescent="0.2">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2" hidden="1" x14ac:dyDescent="0.2">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2" hidden="1" x14ac:dyDescent="0.2">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2" hidden="1" x14ac:dyDescent="0.2">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2" hidden="1" x14ac:dyDescent="0.2">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2" hidden="1" x14ac:dyDescent="0.2">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2" hidden="1" x14ac:dyDescent="0.2">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2" hidden="1" x14ac:dyDescent="0.2">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2" hidden="1" x14ac:dyDescent="0.2">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2" hidden="1" x14ac:dyDescent="0.2">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2" hidden="1" x14ac:dyDescent="0.2">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2" hidden="1" x14ac:dyDescent="0.2">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2" hidden="1" x14ac:dyDescent="0.2">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2" hidden="1" x14ac:dyDescent="0.2">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2" hidden="1" x14ac:dyDescent="0.2">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2" hidden="1" x14ac:dyDescent="0.2">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2" hidden="1" x14ac:dyDescent="0.2">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2" hidden="1" x14ac:dyDescent="0.2">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2" hidden="1" x14ac:dyDescent="0.2">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2" hidden="1" x14ac:dyDescent="0.2">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2" hidden="1" x14ac:dyDescent="0.2">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2" hidden="1" x14ac:dyDescent="0.2">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2" hidden="1" x14ac:dyDescent="0.2">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2" hidden="1" x14ac:dyDescent="0.2">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4" hidden="1" x14ac:dyDescent="0.2">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4" hidden="1" x14ac:dyDescent="0.2">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4" hidden="1" x14ac:dyDescent="0.2">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4" hidden="1" x14ac:dyDescent="0.2">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4" hidden="1" x14ac:dyDescent="0.2">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4" hidden="1" x14ac:dyDescent="0.2">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4" hidden="1" x14ac:dyDescent="0.2">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4" hidden="1" x14ac:dyDescent="0.2">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4" hidden="1" x14ac:dyDescent="0.2">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4" hidden="1" x14ac:dyDescent="0.2">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4" hidden="1" x14ac:dyDescent="0.2">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4" hidden="1" x14ac:dyDescent="0.2">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4" hidden="1" x14ac:dyDescent="0.2">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4" hidden="1" x14ac:dyDescent="0.2">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4" hidden="1" x14ac:dyDescent="0.2">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2" hidden="1" x14ac:dyDescent="0.2">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2" hidden="1" x14ac:dyDescent="0.2">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2" hidden="1" x14ac:dyDescent="0.2">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2" hidden="1" x14ac:dyDescent="0.2">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2" hidden="1" x14ac:dyDescent="0.2">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2" hidden="1" x14ac:dyDescent="0.2">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2" hidden="1" x14ac:dyDescent="0.2">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2" hidden="1" x14ac:dyDescent="0.2">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2" hidden="1" x14ac:dyDescent="0.2">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2" hidden="1" x14ac:dyDescent="0.2">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2" hidden="1" x14ac:dyDescent="0.2">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2" hidden="1" x14ac:dyDescent="0.2">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2" hidden="1" x14ac:dyDescent="0.2">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2" hidden="1" x14ac:dyDescent="0.2">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2" hidden="1" x14ac:dyDescent="0.2">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2" hidden="1" x14ac:dyDescent="0.2">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2" hidden="1" x14ac:dyDescent="0.2">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2" hidden="1" x14ac:dyDescent="0.2">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2" hidden="1" x14ac:dyDescent="0.2">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2" hidden="1" x14ac:dyDescent="0.2">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2" hidden="1" x14ac:dyDescent="0.2">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2" hidden="1" x14ac:dyDescent="0.2">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2" hidden="1" x14ac:dyDescent="0.2">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2" hidden="1" x14ac:dyDescent="0.2">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2" hidden="1" x14ac:dyDescent="0.2">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2" hidden="1" x14ac:dyDescent="0.2">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2" hidden="1" x14ac:dyDescent="0.2">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2" hidden="1" x14ac:dyDescent="0.2">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2" hidden="1" x14ac:dyDescent="0.2">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2" hidden="1" x14ac:dyDescent="0.2">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2" hidden="1" x14ac:dyDescent="0.2">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2" hidden="1" x14ac:dyDescent="0.2">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2" hidden="1" x14ac:dyDescent="0.2">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2" hidden="1" x14ac:dyDescent="0.2">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2" hidden="1" x14ac:dyDescent="0.2">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2" hidden="1" x14ac:dyDescent="0.2">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2" hidden="1" x14ac:dyDescent="0.2">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2" hidden="1" x14ac:dyDescent="0.2">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2" hidden="1" x14ac:dyDescent="0.2">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2" hidden="1" x14ac:dyDescent="0.2">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2" hidden="1" x14ac:dyDescent="0.2">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2" hidden="1" x14ac:dyDescent="0.2">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2" hidden="1" x14ac:dyDescent="0.2">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2" hidden="1" x14ac:dyDescent="0.2">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2" hidden="1" x14ac:dyDescent="0.2">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2" hidden="1" x14ac:dyDescent="0.2">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2" hidden="1" x14ac:dyDescent="0.2">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2" hidden="1" x14ac:dyDescent="0.2">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2" hidden="1" x14ac:dyDescent="0.2">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2" hidden="1" x14ac:dyDescent="0.2">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2" hidden="1" x14ac:dyDescent="0.2">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2" hidden="1" x14ac:dyDescent="0.2">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2" hidden="1" x14ac:dyDescent="0.2">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2" hidden="1" x14ac:dyDescent="0.2">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2" hidden="1" x14ac:dyDescent="0.2">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2" hidden="1" x14ac:dyDescent="0.2">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2" hidden="1" x14ac:dyDescent="0.2">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2" hidden="1" x14ac:dyDescent="0.2">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2" hidden="1" x14ac:dyDescent="0.2">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2" hidden="1" x14ac:dyDescent="0.2">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2" hidden="1" x14ac:dyDescent="0.2">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2" hidden="1" x14ac:dyDescent="0.2">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2" hidden="1" x14ac:dyDescent="0.2">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2" hidden="1" x14ac:dyDescent="0.2">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2" hidden="1" x14ac:dyDescent="0.2">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2" hidden="1" x14ac:dyDescent="0.2">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2" hidden="1" x14ac:dyDescent="0.2">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2" hidden="1" x14ac:dyDescent="0.2">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2" hidden="1" x14ac:dyDescent="0.2">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2" hidden="1" x14ac:dyDescent="0.2">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2" hidden="1" x14ac:dyDescent="0.2">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2" hidden="1" x14ac:dyDescent="0.2">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2" hidden="1" x14ac:dyDescent="0.2">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2" hidden="1" x14ac:dyDescent="0.2">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2" hidden="1" x14ac:dyDescent="0.2">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2" hidden="1" x14ac:dyDescent="0.2">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2" hidden="1" x14ac:dyDescent="0.2">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2" hidden="1" x14ac:dyDescent="0.2">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2" hidden="1" x14ac:dyDescent="0.2">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2" hidden="1" x14ac:dyDescent="0.2">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2" hidden="1" x14ac:dyDescent="0.2">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2" hidden="1" x14ac:dyDescent="0.2">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2" hidden="1" x14ac:dyDescent="0.2">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2" hidden="1" x14ac:dyDescent="0.2">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2" hidden="1" x14ac:dyDescent="0.2">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2" hidden="1" x14ac:dyDescent="0.2">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2" hidden="1" x14ac:dyDescent="0.2">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2" hidden="1" x14ac:dyDescent="0.2">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2" hidden="1" x14ac:dyDescent="0.2">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2" hidden="1" x14ac:dyDescent="0.2">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2" hidden="1" x14ac:dyDescent="0.2">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2" hidden="1" x14ac:dyDescent="0.2">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2" hidden="1" x14ac:dyDescent="0.2">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2" hidden="1" x14ac:dyDescent="0.2">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2" hidden="1" x14ac:dyDescent="0.2">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2" hidden="1" x14ac:dyDescent="0.2">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2" hidden="1" x14ac:dyDescent="0.2">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2" hidden="1" x14ac:dyDescent="0.2">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2" hidden="1" x14ac:dyDescent="0.2">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2" hidden="1" x14ac:dyDescent="0.2">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2" hidden="1" x14ac:dyDescent="0.2">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2" hidden="1" x14ac:dyDescent="0.2">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2" hidden="1" x14ac:dyDescent="0.2">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2" hidden="1" x14ac:dyDescent="0.2">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2" hidden="1" x14ac:dyDescent="0.2">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2" hidden="1" x14ac:dyDescent="0.2">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2" hidden="1" x14ac:dyDescent="0.2">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2" hidden="1" x14ac:dyDescent="0.2">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2" hidden="1" x14ac:dyDescent="0.2">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2" hidden="1" x14ac:dyDescent="0.2">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2" hidden="1" x14ac:dyDescent="0.2">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2" hidden="1" x14ac:dyDescent="0.2">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2" hidden="1" x14ac:dyDescent="0.2">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2" hidden="1" x14ac:dyDescent="0.2">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2" hidden="1" x14ac:dyDescent="0.2">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2" hidden="1" x14ac:dyDescent="0.2">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2" hidden="1" x14ac:dyDescent="0.2">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2" hidden="1" x14ac:dyDescent="0.2">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2" hidden="1" x14ac:dyDescent="0.2">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2" hidden="1" x14ac:dyDescent="0.2">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2" hidden="1" x14ac:dyDescent="0.2">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2" hidden="1" x14ac:dyDescent="0.2">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2" hidden="1" x14ac:dyDescent="0.2">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2" hidden="1" x14ac:dyDescent="0.2">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2" hidden="1" x14ac:dyDescent="0.2">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2" hidden="1" x14ac:dyDescent="0.2">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2" hidden="1" x14ac:dyDescent="0.2">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2" hidden="1" x14ac:dyDescent="0.2">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2" hidden="1" x14ac:dyDescent="0.2">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2" hidden="1" x14ac:dyDescent="0.2">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2" hidden="1" x14ac:dyDescent="0.2">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2" hidden="1" x14ac:dyDescent="0.2">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2" hidden="1" x14ac:dyDescent="0.2">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2" hidden="1" x14ac:dyDescent="0.2">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2" hidden="1" x14ac:dyDescent="0.2">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2" hidden="1" x14ac:dyDescent="0.2">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2" hidden="1" x14ac:dyDescent="0.2">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2" hidden="1" x14ac:dyDescent="0.2">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2" hidden="1" x14ac:dyDescent="0.2">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2" hidden="1" x14ac:dyDescent="0.2">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2" hidden="1" x14ac:dyDescent="0.2">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2" hidden="1" x14ac:dyDescent="0.2">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2" hidden="1" x14ac:dyDescent="0.2">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2" hidden="1" x14ac:dyDescent="0.2">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2" hidden="1" x14ac:dyDescent="0.2">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2" hidden="1" x14ac:dyDescent="0.2">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2" hidden="1" x14ac:dyDescent="0.2">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2" hidden="1" x14ac:dyDescent="0.2">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2" hidden="1" x14ac:dyDescent="0.2">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2" hidden="1" x14ac:dyDescent="0.2">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2" hidden="1" x14ac:dyDescent="0.2">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2" hidden="1" x14ac:dyDescent="0.2">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2" hidden="1" x14ac:dyDescent="0.2">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2" hidden="1" x14ac:dyDescent="0.2">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2" hidden="1" x14ac:dyDescent="0.2">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2" hidden="1" x14ac:dyDescent="0.2">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2" hidden="1" x14ac:dyDescent="0.2">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2" hidden="1" x14ac:dyDescent="0.2">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2" hidden="1" x14ac:dyDescent="0.2">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2" hidden="1" x14ac:dyDescent="0.2">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2" hidden="1" x14ac:dyDescent="0.2">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2" hidden="1" x14ac:dyDescent="0.2">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2" hidden="1" x14ac:dyDescent="0.2">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2" hidden="1" x14ac:dyDescent="0.2">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2" hidden="1" x14ac:dyDescent="0.2">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2" hidden="1" x14ac:dyDescent="0.2">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2" hidden="1" x14ac:dyDescent="0.2">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2" hidden="1" x14ac:dyDescent="0.2">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2" hidden="1" x14ac:dyDescent="0.2">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2" hidden="1" x14ac:dyDescent="0.2">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2" hidden="1" x14ac:dyDescent="0.2">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2" hidden="1" x14ac:dyDescent="0.2">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2" hidden="1" x14ac:dyDescent="0.2">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2" hidden="1" x14ac:dyDescent="0.2">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2" hidden="1" x14ac:dyDescent="0.2">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2" hidden="1" x14ac:dyDescent="0.2">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2" hidden="1" x14ac:dyDescent="0.2">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2" hidden="1" x14ac:dyDescent="0.2">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2" hidden="1" x14ac:dyDescent="0.2">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2" hidden="1" x14ac:dyDescent="0.2">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2" hidden="1" x14ac:dyDescent="0.2">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2" hidden="1" x14ac:dyDescent="0.2">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2" hidden="1" x14ac:dyDescent="0.2">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2" hidden="1" x14ac:dyDescent="0.2">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2" hidden="1" x14ac:dyDescent="0.2">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2" hidden="1" x14ac:dyDescent="0.2">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2" hidden="1" x14ac:dyDescent="0.2">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2" hidden="1" x14ac:dyDescent="0.2">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2" hidden="1" x14ac:dyDescent="0.2">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2" hidden="1" x14ac:dyDescent="0.2">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2" hidden="1" x14ac:dyDescent="0.2">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2" hidden="1" x14ac:dyDescent="0.2">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2" hidden="1" x14ac:dyDescent="0.2">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2" hidden="1" x14ac:dyDescent="0.2">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2" hidden="1" x14ac:dyDescent="0.2">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2" hidden="1" x14ac:dyDescent="0.2">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2" hidden="1" x14ac:dyDescent="0.2">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2" hidden="1" x14ac:dyDescent="0.2">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2" hidden="1" x14ac:dyDescent="0.2">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2" hidden="1" x14ac:dyDescent="0.2">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2" hidden="1" x14ac:dyDescent="0.2">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2" hidden="1" x14ac:dyDescent="0.2">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2" hidden="1" x14ac:dyDescent="0.2">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2" hidden="1" x14ac:dyDescent="0.2">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2" hidden="1" x14ac:dyDescent="0.2">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2" hidden="1" x14ac:dyDescent="0.2">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2" hidden="1" x14ac:dyDescent="0.2">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2" hidden="1" x14ac:dyDescent="0.2">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2" hidden="1" x14ac:dyDescent="0.2">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2" hidden="1" x14ac:dyDescent="0.2">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2" hidden="1" x14ac:dyDescent="0.2">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2" hidden="1" x14ac:dyDescent="0.2">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2" hidden="1" x14ac:dyDescent="0.2">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2" hidden="1" x14ac:dyDescent="0.2">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2" hidden="1" x14ac:dyDescent="0.2">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2" hidden="1" x14ac:dyDescent="0.2">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2" hidden="1" x14ac:dyDescent="0.2">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2" hidden="1" x14ac:dyDescent="0.2">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2" hidden="1" x14ac:dyDescent="0.2">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2" hidden="1" x14ac:dyDescent="0.2">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2" hidden="1" x14ac:dyDescent="0.2">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2" hidden="1" x14ac:dyDescent="0.2">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2" hidden="1" x14ac:dyDescent="0.2">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2" hidden="1" x14ac:dyDescent="0.2">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2" hidden="1" x14ac:dyDescent="0.2">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2" hidden="1" x14ac:dyDescent="0.2">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2" hidden="1" x14ac:dyDescent="0.2">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2" hidden="1" x14ac:dyDescent="0.2">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2" hidden="1" x14ac:dyDescent="0.2">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2" hidden="1" x14ac:dyDescent="0.2">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2" hidden="1" x14ac:dyDescent="0.2">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2" hidden="1" x14ac:dyDescent="0.2">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2" hidden="1" x14ac:dyDescent="0.2">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2" hidden="1" x14ac:dyDescent="0.2">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2" hidden="1" x14ac:dyDescent="0.2">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2" hidden="1" x14ac:dyDescent="0.2">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2" hidden="1" x14ac:dyDescent="0.2">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2" hidden="1" x14ac:dyDescent="0.2">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2" hidden="1" x14ac:dyDescent="0.2">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2" hidden="1" x14ac:dyDescent="0.2">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2" hidden="1" x14ac:dyDescent="0.2">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2" hidden="1" x14ac:dyDescent="0.2">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2" hidden="1" x14ac:dyDescent="0.2">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2" hidden="1" x14ac:dyDescent="0.2">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2" hidden="1" x14ac:dyDescent="0.2">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2" hidden="1" x14ac:dyDescent="0.2">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2" hidden="1" x14ac:dyDescent="0.2">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2" hidden="1" x14ac:dyDescent="0.2">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2" hidden="1" x14ac:dyDescent="0.2">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2" hidden="1" x14ac:dyDescent="0.2">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2" hidden="1" x14ac:dyDescent="0.2">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2" hidden="1" x14ac:dyDescent="0.2">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2" hidden="1" x14ac:dyDescent="0.2">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2" hidden="1" x14ac:dyDescent="0.2">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2" hidden="1" x14ac:dyDescent="0.2">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2" hidden="1" x14ac:dyDescent="0.2">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2" hidden="1" x14ac:dyDescent="0.2">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2" hidden="1" x14ac:dyDescent="0.2">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2" hidden="1" x14ac:dyDescent="0.2">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2" hidden="1" x14ac:dyDescent="0.2">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2" hidden="1" x14ac:dyDescent="0.2">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2" hidden="1" x14ac:dyDescent="0.2">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2" hidden="1" x14ac:dyDescent="0.2">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2" hidden="1" x14ac:dyDescent="0.2">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2" hidden="1" x14ac:dyDescent="0.2">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2" hidden="1" x14ac:dyDescent="0.2">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2" hidden="1" x14ac:dyDescent="0.2">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2" hidden="1" x14ac:dyDescent="0.2">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2" hidden="1" x14ac:dyDescent="0.2">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2" hidden="1" x14ac:dyDescent="0.2">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2" hidden="1" x14ac:dyDescent="0.2">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2" hidden="1" x14ac:dyDescent="0.2">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2" hidden="1" x14ac:dyDescent="0.2">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2" hidden="1" x14ac:dyDescent="0.2">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2" hidden="1" x14ac:dyDescent="0.2">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2" hidden="1" x14ac:dyDescent="0.2">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2" hidden="1" x14ac:dyDescent="0.2">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2" hidden="1" x14ac:dyDescent="0.2">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2" hidden="1" x14ac:dyDescent="0.2">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2" hidden="1" x14ac:dyDescent="0.2">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2" hidden="1" x14ac:dyDescent="0.2">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2" hidden="1" x14ac:dyDescent="0.2">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2" hidden="1" x14ac:dyDescent="0.2">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2" hidden="1" x14ac:dyDescent="0.2">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2" hidden="1" x14ac:dyDescent="0.2">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2" hidden="1" x14ac:dyDescent="0.2">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2" hidden="1" x14ac:dyDescent="0.2">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2" hidden="1" x14ac:dyDescent="0.2">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2" hidden="1" x14ac:dyDescent="0.2">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2" hidden="1" x14ac:dyDescent="0.2">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2" hidden="1" x14ac:dyDescent="0.2">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2" hidden="1" x14ac:dyDescent="0.2">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2" hidden="1" x14ac:dyDescent="0.2">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2" hidden="1" x14ac:dyDescent="0.2">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2" hidden="1" x14ac:dyDescent="0.2">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2" hidden="1" x14ac:dyDescent="0.2">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2" hidden="1" x14ac:dyDescent="0.2">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2" hidden="1" x14ac:dyDescent="0.2">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2" hidden="1" x14ac:dyDescent="0.2">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2" hidden="1" x14ac:dyDescent="0.2">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2" hidden="1" x14ac:dyDescent="0.2">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2" hidden="1" x14ac:dyDescent="0.2">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2" hidden="1" x14ac:dyDescent="0.2">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2" hidden="1" x14ac:dyDescent="0.2">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2" hidden="1" x14ac:dyDescent="0.2">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2" hidden="1" x14ac:dyDescent="0.2">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2" hidden="1" x14ac:dyDescent="0.2">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2" hidden="1" x14ac:dyDescent="0.2">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2" hidden="1" x14ac:dyDescent="0.2">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2" hidden="1" x14ac:dyDescent="0.2">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2" hidden="1" x14ac:dyDescent="0.2">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2" hidden="1" x14ac:dyDescent="0.2">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2" hidden="1" x14ac:dyDescent="0.2">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2" hidden="1" x14ac:dyDescent="0.2">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2" hidden="1" x14ac:dyDescent="0.2">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2" hidden="1" x14ac:dyDescent="0.2">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2" hidden="1" x14ac:dyDescent="0.2">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2" hidden="1" x14ac:dyDescent="0.2">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2" hidden="1" x14ac:dyDescent="0.2">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2" hidden="1" x14ac:dyDescent="0.2">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2" hidden="1" x14ac:dyDescent="0.2">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2" hidden="1" x14ac:dyDescent="0.2">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2" hidden="1" x14ac:dyDescent="0.2">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2" hidden="1" x14ac:dyDescent="0.2">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2" hidden="1" x14ac:dyDescent="0.2">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2" hidden="1" x14ac:dyDescent="0.2">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2" hidden="1" x14ac:dyDescent="0.2">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2" hidden="1" x14ac:dyDescent="0.2">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2" hidden="1" x14ac:dyDescent="0.2">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2" hidden="1" x14ac:dyDescent="0.2">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2" hidden="1" x14ac:dyDescent="0.2">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2" hidden="1" x14ac:dyDescent="0.2">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2" hidden="1" x14ac:dyDescent="0.2">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2" hidden="1" x14ac:dyDescent="0.2">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2" hidden="1" x14ac:dyDescent="0.2">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2" hidden="1" x14ac:dyDescent="0.2">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2" hidden="1" x14ac:dyDescent="0.2">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2" hidden="1" x14ac:dyDescent="0.2">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2" hidden="1" x14ac:dyDescent="0.2">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2" hidden="1" x14ac:dyDescent="0.2">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2" hidden="1" x14ac:dyDescent="0.2">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2" hidden="1" x14ac:dyDescent="0.2">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2" hidden="1" x14ac:dyDescent="0.2">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2" hidden="1" x14ac:dyDescent="0.2">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2" hidden="1" x14ac:dyDescent="0.2">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2" hidden="1" x14ac:dyDescent="0.2">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2" hidden="1" x14ac:dyDescent="0.2">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2" hidden="1" x14ac:dyDescent="0.2">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2" hidden="1" x14ac:dyDescent="0.2">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2" hidden="1" x14ac:dyDescent="0.2">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2" hidden="1" x14ac:dyDescent="0.2">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2" hidden="1" x14ac:dyDescent="0.2">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2" hidden="1" x14ac:dyDescent="0.2">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2" hidden="1" x14ac:dyDescent="0.2">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2" hidden="1" x14ac:dyDescent="0.2">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2" hidden="1" x14ac:dyDescent="0.2">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2" hidden="1" x14ac:dyDescent="0.2">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2" hidden="1" x14ac:dyDescent="0.2">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2" hidden="1" x14ac:dyDescent="0.2">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2" hidden="1" x14ac:dyDescent="0.2">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2" hidden="1" x14ac:dyDescent="0.2">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2" hidden="1" x14ac:dyDescent="0.2">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2" hidden="1" x14ac:dyDescent="0.2">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2" hidden="1" x14ac:dyDescent="0.2">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2" hidden="1" x14ac:dyDescent="0.2">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2" hidden="1" x14ac:dyDescent="0.2">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2" hidden="1" x14ac:dyDescent="0.2">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2" hidden="1" x14ac:dyDescent="0.2">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2" hidden="1" x14ac:dyDescent="0.2">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2" hidden="1" x14ac:dyDescent="0.2">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2" hidden="1" x14ac:dyDescent="0.2">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2" hidden="1" x14ac:dyDescent="0.2">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2" hidden="1" x14ac:dyDescent="0.2">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2" hidden="1" x14ac:dyDescent="0.2">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2" hidden="1" x14ac:dyDescent="0.2">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2" hidden="1" x14ac:dyDescent="0.2">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2" hidden="1" x14ac:dyDescent="0.2">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2" hidden="1" x14ac:dyDescent="0.2">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2" hidden="1" x14ac:dyDescent="0.2">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2" hidden="1" x14ac:dyDescent="0.2">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2" hidden="1" x14ac:dyDescent="0.2">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2" hidden="1" x14ac:dyDescent="0.2">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2" hidden="1" x14ac:dyDescent="0.2">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2" hidden="1" x14ac:dyDescent="0.2">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2" hidden="1" x14ac:dyDescent="0.2">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2" hidden="1" x14ac:dyDescent="0.2">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2" hidden="1" x14ac:dyDescent="0.2">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2" hidden="1" x14ac:dyDescent="0.2">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2" hidden="1" x14ac:dyDescent="0.2">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2" hidden="1" x14ac:dyDescent="0.2">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2" hidden="1" x14ac:dyDescent="0.2">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2" hidden="1" x14ac:dyDescent="0.2">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2" hidden="1" x14ac:dyDescent="0.2">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2" hidden="1" x14ac:dyDescent="0.2">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2" hidden="1" x14ac:dyDescent="0.2">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2" hidden="1" x14ac:dyDescent="0.2">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2" hidden="1" x14ac:dyDescent="0.2">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2" hidden="1" x14ac:dyDescent="0.2">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2" hidden="1" x14ac:dyDescent="0.2">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2" hidden="1" x14ac:dyDescent="0.2">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2" hidden="1" x14ac:dyDescent="0.2">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2" hidden="1" x14ac:dyDescent="0.2">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2" hidden="1" x14ac:dyDescent="0.2">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2" hidden="1" x14ac:dyDescent="0.2">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2" hidden="1" x14ac:dyDescent="0.2">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2" hidden="1" x14ac:dyDescent="0.2">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2" hidden="1" x14ac:dyDescent="0.2">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2" hidden="1" x14ac:dyDescent="0.2">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2" hidden="1" x14ac:dyDescent="0.2">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2" hidden="1" x14ac:dyDescent="0.2">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2" hidden="1" x14ac:dyDescent="0.2">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2" hidden="1" x14ac:dyDescent="0.2">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2" hidden="1" x14ac:dyDescent="0.2">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2" hidden="1" x14ac:dyDescent="0.2">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2" hidden="1" x14ac:dyDescent="0.2">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2" hidden="1" x14ac:dyDescent="0.2">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2" hidden="1" x14ac:dyDescent="0.2">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2" hidden="1" x14ac:dyDescent="0.2">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2" hidden="1" x14ac:dyDescent="0.2">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2" hidden="1" x14ac:dyDescent="0.2">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2" hidden="1" x14ac:dyDescent="0.2">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2" hidden="1" x14ac:dyDescent="0.2">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2" hidden="1" x14ac:dyDescent="0.2">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2" hidden="1" x14ac:dyDescent="0.2">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2" hidden="1" x14ac:dyDescent="0.2">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2" hidden="1" x14ac:dyDescent="0.2">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2" hidden="1" x14ac:dyDescent="0.2">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2" hidden="1" x14ac:dyDescent="0.2">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2" hidden="1" x14ac:dyDescent="0.2">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2" hidden="1" x14ac:dyDescent="0.2">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2" hidden="1" x14ac:dyDescent="0.2">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2" hidden="1" x14ac:dyDescent="0.2">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2" hidden="1" x14ac:dyDescent="0.2">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2" hidden="1" x14ac:dyDescent="0.2">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2" hidden="1" x14ac:dyDescent="0.2">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2" hidden="1" x14ac:dyDescent="0.2">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2" hidden="1" x14ac:dyDescent="0.2">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2" hidden="1" x14ac:dyDescent="0.2">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2" hidden="1" x14ac:dyDescent="0.2">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2" hidden="1" x14ac:dyDescent="0.2">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2" hidden="1" x14ac:dyDescent="0.2">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2" hidden="1" x14ac:dyDescent="0.2">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2" hidden="1" x14ac:dyDescent="0.2">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2" hidden="1" x14ac:dyDescent="0.2">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2" hidden="1" x14ac:dyDescent="0.2">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2" hidden="1" x14ac:dyDescent="0.2">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2" hidden="1" x14ac:dyDescent="0.2">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2" hidden="1" x14ac:dyDescent="0.2">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2" hidden="1" x14ac:dyDescent="0.2">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2" hidden="1" x14ac:dyDescent="0.2">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2" hidden="1" x14ac:dyDescent="0.2">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2" hidden="1" x14ac:dyDescent="0.2">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2" hidden="1" x14ac:dyDescent="0.2">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2" hidden="1" x14ac:dyDescent="0.2">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2" hidden="1" x14ac:dyDescent="0.2">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2" hidden="1" x14ac:dyDescent="0.2">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2" hidden="1" x14ac:dyDescent="0.2">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2" hidden="1" x14ac:dyDescent="0.2">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2" hidden="1" x14ac:dyDescent="0.2">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2" hidden="1" x14ac:dyDescent="0.2">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2" hidden="1" x14ac:dyDescent="0.2">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2" hidden="1" x14ac:dyDescent="0.2">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2" hidden="1" x14ac:dyDescent="0.2">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2" hidden="1" x14ac:dyDescent="0.2">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2" hidden="1" x14ac:dyDescent="0.2">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2" hidden="1" x14ac:dyDescent="0.2">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2" hidden="1" x14ac:dyDescent="0.2">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2" hidden="1" x14ac:dyDescent="0.2">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2" hidden="1" x14ac:dyDescent="0.2">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2" hidden="1" x14ac:dyDescent="0.2">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2" hidden="1" x14ac:dyDescent="0.2">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2" hidden="1" x14ac:dyDescent="0.2">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2" hidden="1" x14ac:dyDescent="0.2">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2" hidden="1" x14ac:dyDescent="0.2">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2" hidden="1" x14ac:dyDescent="0.2">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2" hidden="1" x14ac:dyDescent="0.2">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2" hidden="1" x14ac:dyDescent="0.2">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2" hidden="1" x14ac:dyDescent="0.2">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2" hidden="1" x14ac:dyDescent="0.2">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2" hidden="1" x14ac:dyDescent="0.2">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2" hidden="1" x14ac:dyDescent="0.2">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2" hidden="1" x14ac:dyDescent="0.2">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2" hidden="1" x14ac:dyDescent="0.2">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2" hidden="1" x14ac:dyDescent="0.2">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2" hidden="1" x14ac:dyDescent="0.2">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2" hidden="1" x14ac:dyDescent="0.2">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2" hidden="1" x14ac:dyDescent="0.2">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2" hidden="1" x14ac:dyDescent="0.2">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2" hidden="1" x14ac:dyDescent="0.2">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2" hidden="1" x14ac:dyDescent="0.2">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2" hidden="1" x14ac:dyDescent="0.2">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2" hidden="1" x14ac:dyDescent="0.2">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2" hidden="1" x14ac:dyDescent="0.2">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2" hidden="1" x14ac:dyDescent="0.2">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2" hidden="1" x14ac:dyDescent="0.2">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2" hidden="1" x14ac:dyDescent="0.2">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2" hidden="1" x14ac:dyDescent="0.2">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2" hidden="1" x14ac:dyDescent="0.2">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2" hidden="1" x14ac:dyDescent="0.2">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2" hidden="1" x14ac:dyDescent="0.2">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2" hidden="1" x14ac:dyDescent="0.2">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2" hidden="1" x14ac:dyDescent="0.2">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2" hidden="1" x14ac:dyDescent="0.2">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2" hidden="1" x14ac:dyDescent="0.2">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2" hidden="1" x14ac:dyDescent="0.2">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2" hidden="1" x14ac:dyDescent="0.2">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2" hidden="1" x14ac:dyDescent="0.2">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2" hidden="1" x14ac:dyDescent="0.2">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2" hidden="1" x14ac:dyDescent="0.2">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2" hidden="1" x14ac:dyDescent="0.2">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2" hidden="1" x14ac:dyDescent="0.2">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2" hidden="1" x14ac:dyDescent="0.2">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2" hidden="1" x14ac:dyDescent="0.2">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2" hidden="1" x14ac:dyDescent="0.2">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2" hidden="1" x14ac:dyDescent="0.2">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2" hidden="1" x14ac:dyDescent="0.2">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2" hidden="1" x14ac:dyDescent="0.2">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2" hidden="1" x14ac:dyDescent="0.2">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2" hidden="1" x14ac:dyDescent="0.2">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2" hidden="1" x14ac:dyDescent="0.2">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2" hidden="1" x14ac:dyDescent="0.2">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2" hidden="1" x14ac:dyDescent="0.2">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2" hidden="1" x14ac:dyDescent="0.2">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2" hidden="1" x14ac:dyDescent="0.2">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2" hidden="1" x14ac:dyDescent="0.2">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2" hidden="1" x14ac:dyDescent="0.2">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2" hidden="1" x14ac:dyDescent="0.2">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2" hidden="1" x14ac:dyDescent="0.2">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2" hidden="1" x14ac:dyDescent="0.2">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2" hidden="1" x14ac:dyDescent="0.2">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2" hidden="1" x14ac:dyDescent="0.2">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2" hidden="1" x14ac:dyDescent="0.2">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2" hidden="1" x14ac:dyDescent="0.2">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2" hidden="1" x14ac:dyDescent="0.2">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2" hidden="1" x14ac:dyDescent="0.2">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2" hidden="1" x14ac:dyDescent="0.2">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2" hidden="1" x14ac:dyDescent="0.2">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2" hidden="1" x14ac:dyDescent="0.2">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2" hidden="1" x14ac:dyDescent="0.2">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2" hidden="1" x14ac:dyDescent="0.2">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2" hidden="1" x14ac:dyDescent="0.2">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2" hidden="1" x14ac:dyDescent="0.2">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2" hidden="1" x14ac:dyDescent="0.2">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2" hidden="1" x14ac:dyDescent="0.2">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2" hidden="1" x14ac:dyDescent="0.2">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2" hidden="1" x14ac:dyDescent="0.2">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2" hidden="1" x14ac:dyDescent="0.2">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2" hidden="1" x14ac:dyDescent="0.2">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2" hidden="1" x14ac:dyDescent="0.2">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2" hidden="1" x14ac:dyDescent="0.2">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2" hidden="1" x14ac:dyDescent="0.2">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2" hidden="1" x14ac:dyDescent="0.2">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2" hidden="1" x14ac:dyDescent="0.2">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2" hidden="1" x14ac:dyDescent="0.2">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2" hidden="1" x14ac:dyDescent="0.2">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2" hidden="1" x14ac:dyDescent="0.2">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2" hidden="1" x14ac:dyDescent="0.2">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2" hidden="1" x14ac:dyDescent="0.2">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2" hidden="1" x14ac:dyDescent="0.2">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2" hidden="1" x14ac:dyDescent="0.2">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2" hidden="1" x14ac:dyDescent="0.2">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2" hidden="1" x14ac:dyDescent="0.2">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2" hidden="1" x14ac:dyDescent="0.2">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2" hidden="1" x14ac:dyDescent="0.2">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2" hidden="1" x14ac:dyDescent="0.2">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2" hidden="1" x14ac:dyDescent="0.2">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2" hidden="1" x14ac:dyDescent="0.2">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2" hidden="1" x14ac:dyDescent="0.2">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2" hidden="1" x14ac:dyDescent="0.2">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2" hidden="1" x14ac:dyDescent="0.2">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2" hidden="1" x14ac:dyDescent="0.2">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2" hidden="1" x14ac:dyDescent="0.2">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2" hidden="1" x14ac:dyDescent="0.2">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2" hidden="1" x14ac:dyDescent="0.2">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2" hidden="1" x14ac:dyDescent="0.2">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2" hidden="1" x14ac:dyDescent="0.2">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2" hidden="1" x14ac:dyDescent="0.2">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2" hidden="1" x14ac:dyDescent="0.2">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2" hidden="1" x14ac:dyDescent="0.2">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2" hidden="1" x14ac:dyDescent="0.2">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2" hidden="1" x14ac:dyDescent="0.2">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2" hidden="1" x14ac:dyDescent="0.2">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2" hidden="1" x14ac:dyDescent="0.2">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2" hidden="1" x14ac:dyDescent="0.2">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2" hidden="1" x14ac:dyDescent="0.2">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2" hidden="1" x14ac:dyDescent="0.2">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2" hidden="1" x14ac:dyDescent="0.2">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2" hidden="1" x14ac:dyDescent="0.2">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2" hidden="1" x14ac:dyDescent="0.2">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2" hidden="1" x14ac:dyDescent="0.2">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2" hidden="1" x14ac:dyDescent="0.2">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2" hidden="1" x14ac:dyDescent="0.2">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2" hidden="1" x14ac:dyDescent="0.2">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2" hidden="1" x14ac:dyDescent="0.2">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2" hidden="1" x14ac:dyDescent="0.2">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2" hidden="1" x14ac:dyDescent="0.2">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2" hidden="1" x14ac:dyDescent="0.2">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2" hidden="1" x14ac:dyDescent="0.2">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2" hidden="1" x14ac:dyDescent="0.2">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2" hidden="1" x14ac:dyDescent="0.2">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2" hidden="1" x14ac:dyDescent="0.2">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2" hidden="1" x14ac:dyDescent="0.2">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2" hidden="1" x14ac:dyDescent="0.2">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2" hidden="1" x14ac:dyDescent="0.2">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2" hidden="1" x14ac:dyDescent="0.2">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2" hidden="1" x14ac:dyDescent="0.2">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2" hidden="1" x14ac:dyDescent="0.2">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2" hidden="1" x14ac:dyDescent="0.2">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2" hidden="1" x14ac:dyDescent="0.2">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2" hidden="1" x14ac:dyDescent="0.2">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2" hidden="1" x14ac:dyDescent="0.2">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2" hidden="1" x14ac:dyDescent="0.2">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2" hidden="1" x14ac:dyDescent="0.2">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2" hidden="1" x14ac:dyDescent="0.2">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2" hidden="1" x14ac:dyDescent="0.2">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2" hidden="1" x14ac:dyDescent="0.2">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2" hidden="1" x14ac:dyDescent="0.2">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2" hidden="1" x14ac:dyDescent="0.2">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2" hidden="1" x14ac:dyDescent="0.2">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2" hidden="1" x14ac:dyDescent="0.2">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2" hidden="1" x14ac:dyDescent="0.2">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2" hidden="1" x14ac:dyDescent="0.2">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2" hidden="1" x14ac:dyDescent="0.2">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2" hidden="1" x14ac:dyDescent="0.2">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2" hidden="1" x14ac:dyDescent="0.2">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2" hidden="1" x14ac:dyDescent="0.2">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2" hidden="1" x14ac:dyDescent="0.2">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2" hidden="1" x14ac:dyDescent="0.2">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2" hidden="1" x14ac:dyDescent="0.2">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2" hidden="1" x14ac:dyDescent="0.2">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2" hidden="1" x14ac:dyDescent="0.2">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2" hidden="1" x14ac:dyDescent="0.2">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2" hidden="1" x14ac:dyDescent="0.2">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2" hidden="1" x14ac:dyDescent="0.2">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2" hidden="1" x14ac:dyDescent="0.2">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2" hidden="1" x14ac:dyDescent="0.2">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2" hidden="1" x14ac:dyDescent="0.2">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2" hidden="1" x14ac:dyDescent="0.2">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2" hidden="1" x14ac:dyDescent="0.2">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2" hidden="1" x14ac:dyDescent="0.2">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2" hidden="1" x14ac:dyDescent="0.2">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2" hidden="1" x14ac:dyDescent="0.2">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2" hidden="1" x14ac:dyDescent="0.2">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2" hidden="1" x14ac:dyDescent="0.2">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2" hidden="1" x14ac:dyDescent="0.2">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2" hidden="1" x14ac:dyDescent="0.2">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2" hidden="1" x14ac:dyDescent="0.2">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2" hidden="1" x14ac:dyDescent="0.2">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2" hidden="1" x14ac:dyDescent="0.2">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2" hidden="1" x14ac:dyDescent="0.2">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2" hidden="1" x14ac:dyDescent="0.2">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2" hidden="1" x14ac:dyDescent="0.2">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2" hidden="1" x14ac:dyDescent="0.2">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2" hidden="1" x14ac:dyDescent="0.2">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2" hidden="1" x14ac:dyDescent="0.2">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2" hidden="1" x14ac:dyDescent="0.2">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2" hidden="1" x14ac:dyDescent="0.2">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2" hidden="1" x14ac:dyDescent="0.2">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2" hidden="1" x14ac:dyDescent="0.2">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2" hidden="1" x14ac:dyDescent="0.2">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2" hidden="1" x14ac:dyDescent="0.2">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2" hidden="1" x14ac:dyDescent="0.2">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2" hidden="1" x14ac:dyDescent="0.2">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2" hidden="1" x14ac:dyDescent="0.2">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2" hidden="1" x14ac:dyDescent="0.2">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2" hidden="1" x14ac:dyDescent="0.2">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2" hidden="1" x14ac:dyDescent="0.2">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2" hidden="1" x14ac:dyDescent="0.2">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2" hidden="1" x14ac:dyDescent="0.2">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2" hidden="1" x14ac:dyDescent="0.2">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2" hidden="1" x14ac:dyDescent="0.2">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2" hidden="1" x14ac:dyDescent="0.2">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2" hidden="1" x14ac:dyDescent="0.2">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2" hidden="1" x14ac:dyDescent="0.2">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2" hidden="1" x14ac:dyDescent="0.2">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2" hidden="1" x14ac:dyDescent="0.2">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2" hidden="1" x14ac:dyDescent="0.2">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2" hidden="1" x14ac:dyDescent="0.2">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2" hidden="1" x14ac:dyDescent="0.2">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2" hidden="1" x14ac:dyDescent="0.2">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2" hidden="1" x14ac:dyDescent="0.2">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2" hidden="1" x14ac:dyDescent="0.2">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2" hidden="1" x14ac:dyDescent="0.2">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2" hidden="1" x14ac:dyDescent="0.2">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2" hidden="1" x14ac:dyDescent="0.2">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2" hidden="1" x14ac:dyDescent="0.2">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2" hidden="1" x14ac:dyDescent="0.2">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2" hidden="1" x14ac:dyDescent="0.2">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2" hidden="1" x14ac:dyDescent="0.2">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2" hidden="1" x14ac:dyDescent="0.2">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2" hidden="1" x14ac:dyDescent="0.2">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2" hidden="1" x14ac:dyDescent="0.2">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2" hidden="1" x14ac:dyDescent="0.2">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2" hidden="1" x14ac:dyDescent="0.2">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2" hidden="1" x14ac:dyDescent="0.2">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2" hidden="1" x14ac:dyDescent="0.2">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2" hidden="1" x14ac:dyDescent="0.2">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2" hidden="1" x14ac:dyDescent="0.2">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2" hidden="1" x14ac:dyDescent="0.2">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2" hidden="1" x14ac:dyDescent="0.2">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2" hidden="1" x14ac:dyDescent="0.2">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2" hidden="1" x14ac:dyDescent="0.2">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2" hidden="1" x14ac:dyDescent="0.2">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2" hidden="1" x14ac:dyDescent="0.2">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2" hidden="1" x14ac:dyDescent="0.2">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2" hidden="1" x14ac:dyDescent="0.2">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2" hidden="1" x14ac:dyDescent="0.2">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2" hidden="1" x14ac:dyDescent="0.2">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2" hidden="1" x14ac:dyDescent="0.2">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2" hidden="1" x14ac:dyDescent="0.2">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2" hidden="1" x14ac:dyDescent="0.2">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2" hidden="1" x14ac:dyDescent="0.2">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2" hidden="1" x14ac:dyDescent="0.2">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2" hidden="1" x14ac:dyDescent="0.2">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2" hidden="1" x14ac:dyDescent="0.2">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2" hidden="1" x14ac:dyDescent="0.2">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2" hidden="1" x14ac:dyDescent="0.2">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2" hidden="1" x14ac:dyDescent="0.2">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2" hidden="1" x14ac:dyDescent="0.2">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2" hidden="1" x14ac:dyDescent="0.2">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2" hidden="1" x14ac:dyDescent="0.2">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2" hidden="1" x14ac:dyDescent="0.2">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2" hidden="1" x14ac:dyDescent="0.2">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2" hidden="1" x14ac:dyDescent="0.2">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2" hidden="1" x14ac:dyDescent="0.2">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2" hidden="1" x14ac:dyDescent="0.2">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2" hidden="1" x14ac:dyDescent="0.2">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2" hidden="1" x14ac:dyDescent="0.2">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2" hidden="1" x14ac:dyDescent="0.2">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2" hidden="1" x14ac:dyDescent="0.2">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2" hidden="1" x14ac:dyDescent="0.2">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2" hidden="1" x14ac:dyDescent="0.2">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2" hidden="1" x14ac:dyDescent="0.2">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2" hidden="1" x14ac:dyDescent="0.2">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2" hidden="1" x14ac:dyDescent="0.2">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2" hidden="1" x14ac:dyDescent="0.2">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2" hidden="1" x14ac:dyDescent="0.2">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2" hidden="1" x14ac:dyDescent="0.2">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2" hidden="1" x14ac:dyDescent="0.2">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2" hidden="1" x14ac:dyDescent="0.2">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2" hidden="1" x14ac:dyDescent="0.2">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2" hidden="1" x14ac:dyDescent="0.2">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2" hidden="1" x14ac:dyDescent="0.2">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2" hidden="1" x14ac:dyDescent="0.2">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2" hidden="1" x14ac:dyDescent="0.2">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2" hidden="1" x14ac:dyDescent="0.2">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2" hidden="1" x14ac:dyDescent="0.2">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2" hidden="1" x14ac:dyDescent="0.2">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2" hidden="1" x14ac:dyDescent="0.2">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2" hidden="1" x14ac:dyDescent="0.2">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2" hidden="1" x14ac:dyDescent="0.2">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2" hidden="1" x14ac:dyDescent="0.2">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2" hidden="1" x14ac:dyDescent="0.2">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2" hidden="1" x14ac:dyDescent="0.2">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2" hidden="1" x14ac:dyDescent="0.2">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2" hidden="1" x14ac:dyDescent="0.2">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2" hidden="1" x14ac:dyDescent="0.2">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2" hidden="1" x14ac:dyDescent="0.2">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2" hidden="1" x14ac:dyDescent="0.2">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2" hidden="1" x14ac:dyDescent="0.2">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2" hidden="1" x14ac:dyDescent="0.2">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2" hidden="1" x14ac:dyDescent="0.2">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2" hidden="1" x14ac:dyDescent="0.2">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2" hidden="1" x14ac:dyDescent="0.2">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2" hidden="1" x14ac:dyDescent="0.2">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2" hidden="1" x14ac:dyDescent="0.2">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2" hidden="1" x14ac:dyDescent="0.2">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2" hidden="1" x14ac:dyDescent="0.2">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2" hidden="1" x14ac:dyDescent="0.2">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2" hidden="1" x14ac:dyDescent="0.2">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2" hidden="1" x14ac:dyDescent="0.2">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2" hidden="1" x14ac:dyDescent="0.2">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2" hidden="1" x14ac:dyDescent="0.2">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2" hidden="1" x14ac:dyDescent="0.2">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2" hidden="1" x14ac:dyDescent="0.2">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2" hidden="1" x14ac:dyDescent="0.2">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2" hidden="1" x14ac:dyDescent="0.2">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2" hidden="1" x14ac:dyDescent="0.2">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2" hidden="1" x14ac:dyDescent="0.2">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2" hidden="1" x14ac:dyDescent="0.2">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2" hidden="1" x14ac:dyDescent="0.2">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2" hidden="1" x14ac:dyDescent="0.2">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2" hidden="1" x14ac:dyDescent="0.2">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2" hidden="1" x14ac:dyDescent="0.2">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2" hidden="1" x14ac:dyDescent="0.2">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2" hidden="1" x14ac:dyDescent="0.2">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2" hidden="1" x14ac:dyDescent="0.2">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2" hidden="1" x14ac:dyDescent="0.2">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2" hidden="1" x14ac:dyDescent="0.2">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2" hidden="1" x14ac:dyDescent="0.2">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2" hidden="1" x14ac:dyDescent="0.2">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2" hidden="1" x14ac:dyDescent="0.2">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2" hidden="1" x14ac:dyDescent="0.2">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2" hidden="1" x14ac:dyDescent="0.2">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2" hidden="1" x14ac:dyDescent="0.2">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2" hidden="1" x14ac:dyDescent="0.2">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2" hidden="1" x14ac:dyDescent="0.2">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2" hidden="1" x14ac:dyDescent="0.2">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2" hidden="1" x14ac:dyDescent="0.2">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2" hidden="1" x14ac:dyDescent="0.2">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2" hidden="1" x14ac:dyDescent="0.2">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2" hidden="1" x14ac:dyDescent="0.2">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2" hidden="1" x14ac:dyDescent="0.2">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2" hidden="1" x14ac:dyDescent="0.2">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2" hidden="1" x14ac:dyDescent="0.2">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2" hidden="1" x14ac:dyDescent="0.2">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2" hidden="1" x14ac:dyDescent="0.2">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2" hidden="1" x14ac:dyDescent="0.2">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2" hidden="1" x14ac:dyDescent="0.2">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2" hidden="1" x14ac:dyDescent="0.2">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2" hidden="1" x14ac:dyDescent="0.2">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2" hidden="1" x14ac:dyDescent="0.2">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2" hidden="1" x14ac:dyDescent="0.2">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2" hidden="1" x14ac:dyDescent="0.2">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2" hidden="1" x14ac:dyDescent="0.2">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2" hidden="1" x14ac:dyDescent="0.2">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2" hidden="1" x14ac:dyDescent="0.2">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2" hidden="1" x14ac:dyDescent="0.2">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2" hidden="1" x14ac:dyDescent="0.2">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2" hidden="1" x14ac:dyDescent="0.2">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2" hidden="1" x14ac:dyDescent="0.2">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2" hidden="1" x14ac:dyDescent="0.2">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2" hidden="1" x14ac:dyDescent="0.2">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2" hidden="1" x14ac:dyDescent="0.2">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2" hidden="1" x14ac:dyDescent="0.2">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2" hidden="1" x14ac:dyDescent="0.2">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2" hidden="1" x14ac:dyDescent="0.2">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2" hidden="1" x14ac:dyDescent="0.2">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2" hidden="1" x14ac:dyDescent="0.2">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2" hidden="1" x14ac:dyDescent="0.2">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2" hidden="1" x14ac:dyDescent="0.2">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2" hidden="1" x14ac:dyDescent="0.2">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2" hidden="1" x14ac:dyDescent="0.2">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2" hidden="1" x14ac:dyDescent="0.2">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2" hidden="1" x14ac:dyDescent="0.2">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2" hidden="1" x14ac:dyDescent="0.2">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2" hidden="1" x14ac:dyDescent="0.2">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2" hidden="1" x14ac:dyDescent="0.2">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2" hidden="1" x14ac:dyDescent="0.2">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2" hidden="1" x14ac:dyDescent="0.2">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2" hidden="1" x14ac:dyDescent="0.2">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2" hidden="1" x14ac:dyDescent="0.2">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2" hidden="1" x14ac:dyDescent="0.2">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2" hidden="1" x14ac:dyDescent="0.2">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2" hidden="1" x14ac:dyDescent="0.2">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2" hidden="1" x14ac:dyDescent="0.2">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2" hidden="1" x14ac:dyDescent="0.2">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2" hidden="1" x14ac:dyDescent="0.2">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2" hidden="1" x14ac:dyDescent="0.2">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2" hidden="1" x14ac:dyDescent="0.2">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2" hidden="1" x14ac:dyDescent="0.2">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2" hidden="1" x14ac:dyDescent="0.2">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2" hidden="1" x14ac:dyDescent="0.2">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2" hidden="1" x14ac:dyDescent="0.2">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2" hidden="1" x14ac:dyDescent="0.2">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2" hidden="1" x14ac:dyDescent="0.2">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2" hidden="1" x14ac:dyDescent="0.2">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2" hidden="1" x14ac:dyDescent="0.2">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2" hidden="1" x14ac:dyDescent="0.2">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2" hidden="1" x14ac:dyDescent="0.2">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2" hidden="1" x14ac:dyDescent="0.2">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2" hidden="1" x14ac:dyDescent="0.2">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2" hidden="1" x14ac:dyDescent="0.2">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2" hidden="1" x14ac:dyDescent="0.2">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2" hidden="1" x14ac:dyDescent="0.2">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2" hidden="1" x14ac:dyDescent="0.2">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2" hidden="1" x14ac:dyDescent="0.2">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2" hidden="1" x14ac:dyDescent="0.2">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2" hidden="1" x14ac:dyDescent="0.2">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2" hidden="1" x14ac:dyDescent="0.2">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2" hidden="1" x14ac:dyDescent="0.2">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2" hidden="1" x14ac:dyDescent="0.2">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2" hidden="1" x14ac:dyDescent="0.2">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2" hidden="1" x14ac:dyDescent="0.2">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2" hidden="1" x14ac:dyDescent="0.2">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2" hidden="1" x14ac:dyDescent="0.2">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2" hidden="1" x14ac:dyDescent="0.2">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2" hidden="1" x14ac:dyDescent="0.2">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2" hidden="1" x14ac:dyDescent="0.2">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2" hidden="1" x14ac:dyDescent="0.2">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2" hidden="1" x14ac:dyDescent="0.2">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2" hidden="1" x14ac:dyDescent="0.2">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2" hidden="1" x14ac:dyDescent="0.2">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2" hidden="1" x14ac:dyDescent="0.2">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2" hidden="1" x14ac:dyDescent="0.2">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2" hidden="1" x14ac:dyDescent="0.2">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2" hidden="1" x14ac:dyDescent="0.2">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2" hidden="1" x14ac:dyDescent="0.2">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2" hidden="1" x14ac:dyDescent="0.2">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2" hidden="1" x14ac:dyDescent="0.2">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2" hidden="1" x14ac:dyDescent="0.2">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2" hidden="1" x14ac:dyDescent="0.2">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2" hidden="1" x14ac:dyDescent="0.2">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2" hidden="1" x14ac:dyDescent="0.2">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2" hidden="1" x14ac:dyDescent="0.2">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2" hidden="1" x14ac:dyDescent="0.2">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2" hidden="1" x14ac:dyDescent="0.2">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2" hidden="1" x14ac:dyDescent="0.2">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2" hidden="1" x14ac:dyDescent="0.2">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2" hidden="1" x14ac:dyDescent="0.2">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2" hidden="1" x14ac:dyDescent="0.2">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2" hidden="1" x14ac:dyDescent="0.2">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2" hidden="1" x14ac:dyDescent="0.2">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2" hidden="1" x14ac:dyDescent="0.2">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2" hidden="1" x14ac:dyDescent="0.2">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2" hidden="1" x14ac:dyDescent="0.2">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2" hidden="1" x14ac:dyDescent="0.2">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2" hidden="1" x14ac:dyDescent="0.2">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2" hidden="1" x14ac:dyDescent="0.2">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2" hidden="1" x14ac:dyDescent="0.2">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2" hidden="1" x14ac:dyDescent="0.2">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2" hidden="1" x14ac:dyDescent="0.2">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2" hidden="1" x14ac:dyDescent="0.2">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2" hidden="1" x14ac:dyDescent="0.2">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2" hidden="1" x14ac:dyDescent="0.2">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2" hidden="1" x14ac:dyDescent="0.2">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2" hidden="1" x14ac:dyDescent="0.2">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2" hidden="1" x14ac:dyDescent="0.2">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2" hidden="1" x14ac:dyDescent="0.2">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2" hidden="1" x14ac:dyDescent="0.2">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2" hidden="1" x14ac:dyDescent="0.2">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2" hidden="1" x14ac:dyDescent="0.2">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2" hidden="1" x14ac:dyDescent="0.2">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2" hidden="1" x14ac:dyDescent="0.2">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2" hidden="1" x14ac:dyDescent="0.2">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2" hidden="1" x14ac:dyDescent="0.2">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2" hidden="1" x14ac:dyDescent="0.2">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2" hidden="1" x14ac:dyDescent="0.2">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2" hidden="1" x14ac:dyDescent="0.2">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2" hidden="1" x14ac:dyDescent="0.2">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2" hidden="1" x14ac:dyDescent="0.2">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2" hidden="1" x14ac:dyDescent="0.2">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2" hidden="1" x14ac:dyDescent="0.2">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2" hidden="1" x14ac:dyDescent="0.2">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2" hidden="1" x14ac:dyDescent="0.2">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2" hidden="1" x14ac:dyDescent="0.2">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2" hidden="1" x14ac:dyDescent="0.2">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2" hidden="1" x14ac:dyDescent="0.2">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2" hidden="1" x14ac:dyDescent="0.2">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2" hidden="1" x14ac:dyDescent="0.2">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2" hidden="1" x14ac:dyDescent="0.2">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2" hidden="1" x14ac:dyDescent="0.2">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2" hidden="1" x14ac:dyDescent="0.2">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2" hidden="1" x14ac:dyDescent="0.2">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2" hidden="1" x14ac:dyDescent="0.2">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5" x14ac:dyDescent="0.25"/>
  <cols>
    <col min="1" max="1" width="44.140625" bestFit="1" customWidth="1"/>
    <col min="2" max="2" width="25.5703125" bestFit="1" customWidth="1"/>
    <col min="3" max="3" width="38.28515625" bestFit="1" customWidth="1"/>
    <col min="4" max="4" width="12.7109375" bestFit="1" customWidth="1"/>
    <col min="5" max="8" width="5" bestFit="1" customWidth="1"/>
    <col min="9" max="9" width="11" customWidth="1"/>
    <col min="10" max="54" width="5" bestFit="1" customWidth="1"/>
    <col min="55" max="66" width="8.57031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5">
      <c r="A6" t="s">
        <v>1354</v>
      </c>
      <c r="B6" t="s">
        <v>1355</v>
      </c>
      <c r="C6" t="s">
        <v>1352</v>
      </c>
      <c r="D6" t="s">
        <v>1353</v>
      </c>
    </row>
    <row r="7" spans="1:65" x14ac:dyDescent="0.2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5">
      <c r="A8" t="s">
        <v>1357</v>
      </c>
      <c r="B8" t="s">
        <v>1358</v>
      </c>
      <c r="C8" t="s">
        <v>1352</v>
      </c>
      <c r="D8" t="s">
        <v>1353</v>
      </c>
    </row>
    <row r="9" spans="1:65" x14ac:dyDescent="0.2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5">
      <c r="A12" t="s">
        <v>1363</v>
      </c>
      <c r="B12" t="s">
        <v>1364</v>
      </c>
      <c r="C12" t="s">
        <v>1352</v>
      </c>
      <c r="D12" t="s">
        <v>1353</v>
      </c>
    </row>
    <row r="13" spans="1:65" x14ac:dyDescent="0.2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5">
      <c r="A41" t="s">
        <v>1397</v>
      </c>
      <c r="B41" t="s">
        <v>1398</v>
      </c>
      <c r="C41" t="s">
        <v>1352</v>
      </c>
      <c r="D41" t="s">
        <v>1353</v>
      </c>
    </row>
    <row r="42" spans="1:64" x14ac:dyDescent="0.2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5">
      <c r="A43" t="s">
        <v>1245</v>
      </c>
      <c r="B43" t="s">
        <v>1400</v>
      </c>
      <c r="C43" t="s">
        <v>1352</v>
      </c>
      <c r="D43" t="s">
        <v>1353</v>
      </c>
    </row>
    <row r="44" spans="1:64" x14ac:dyDescent="0.2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5">
      <c r="A54" t="s">
        <v>1414</v>
      </c>
      <c r="B54" t="s">
        <v>1415</v>
      </c>
      <c r="C54" t="s">
        <v>1352</v>
      </c>
      <c r="D54" t="s">
        <v>1353</v>
      </c>
    </row>
    <row r="55" spans="1:64" x14ac:dyDescent="0.2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5">
      <c r="A56" t="s">
        <v>1417</v>
      </c>
      <c r="B56" t="s">
        <v>1418</v>
      </c>
      <c r="C56" t="s">
        <v>1352</v>
      </c>
      <c r="D56" t="s">
        <v>1353</v>
      </c>
      <c r="BC56">
        <v>3.9</v>
      </c>
      <c r="BD56">
        <v>0.76</v>
      </c>
      <c r="BE56">
        <v>0.74</v>
      </c>
      <c r="BF56">
        <v>1.5</v>
      </c>
      <c r="BG56">
        <v>3.6</v>
      </c>
      <c r="BH56">
        <v>5.8</v>
      </c>
      <c r="BI56">
        <v>2.9</v>
      </c>
      <c r="BJ56">
        <v>6.4</v>
      </c>
      <c r="BK56">
        <v>6.4</v>
      </c>
      <c r="BL56">
        <v>7.2</v>
      </c>
    </row>
    <row r="57" spans="1:64" x14ac:dyDescent="0.2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5">
      <c r="A67" t="s">
        <v>1433</v>
      </c>
      <c r="B67" t="s">
        <v>1434</v>
      </c>
      <c r="C67" t="s">
        <v>1352</v>
      </c>
      <c r="D67" t="s">
        <v>1353</v>
      </c>
    </row>
    <row r="68" spans="1:64" x14ac:dyDescent="0.2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5">
      <c r="A73" t="s">
        <v>1444</v>
      </c>
      <c r="B73" t="s">
        <v>1445</v>
      </c>
      <c r="C73" t="s">
        <v>1352</v>
      </c>
      <c r="D73" t="s">
        <v>1353</v>
      </c>
    </row>
    <row r="74" spans="1:64" x14ac:dyDescent="0.2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5">
      <c r="A78" t="s">
        <v>1449</v>
      </c>
      <c r="B78" t="s">
        <v>1450</v>
      </c>
      <c r="C78" t="s">
        <v>1352</v>
      </c>
      <c r="D78" t="s">
        <v>1353</v>
      </c>
    </row>
    <row r="79" spans="1:64" x14ac:dyDescent="0.25">
      <c r="A79" t="s">
        <v>1451</v>
      </c>
      <c r="B79" t="s">
        <v>1452</v>
      </c>
      <c r="C79" t="s">
        <v>1352</v>
      </c>
      <c r="D79" t="s">
        <v>1353</v>
      </c>
    </row>
    <row r="80" spans="1:64" x14ac:dyDescent="0.2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5">
      <c r="A83" t="s">
        <v>1456</v>
      </c>
      <c r="B83" t="s">
        <v>1457</v>
      </c>
      <c r="C83" t="s">
        <v>1352</v>
      </c>
      <c r="D83" t="s">
        <v>1353</v>
      </c>
    </row>
    <row r="84" spans="1:64" x14ac:dyDescent="0.2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5">
      <c r="A89" t="s">
        <v>1464</v>
      </c>
      <c r="B89" t="s">
        <v>1465</v>
      </c>
      <c r="C89" t="s">
        <v>1352</v>
      </c>
      <c r="D89" t="s">
        <v>1353</v>
      </c>
    </row>
    <row r="90" spans="1:64" x14ac:dyDescent="0.2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5">
      <c r="A103" t="s">
        <v>1483</v>
      </c>
      <c r="B103" t="s">
        <v>1484</v>
      </c>
      <c r="C103" t="s">
        <v>1352</v>
      </c>
      <c r="D103" t="s">
        <v>1353</v>
      </c>
    </row>
    <row r="104" spans="1:64" x14ac:dyDescent="0.2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5">
      <c r="A107" t="s">
        <v>1488</v>
      </c>
      <c r="B107" t="s">
        <v>1489</v>
      </c>
      <c r="C107" t="s">
        <v>1352</v>
      </c>
      <c r="D107" t="s">
        <v>1353</v>
      </c>
    </row>
    <row r="108" spans="1:64" x14ac:dyDescent="0.25">
      <c r="A108" t="s">
        <v>1490</v>
      </c>
      <c r="B108" t="s">
        <v>1491</v>
      </c>
      <c r="C108" t="s">
        <v>1352</v>
      </c>
      <c r="D108" t="s">
        <v>1353</v>
      </c>
    </row>
    <row r="109" spans="1:64" x14ac:dyDescent="0.25">
      <c r="A109" t="s">
        <v>1492</v>
      </c>
      <c r="B109" t="s">
        <v>1493</v>
      </c>
      <c r="C109" t="s">
        <v>1352</v>
      </c>
      <c r="D109" t="s">
        <v>1353</v>
      </c>
    </row>
    <row r="110" spans="1:64" x14ac:dyDescent="0.25">
      <c r="A110" t="s">
        <v>1494</v>
      </c>
      <c r="B110" t="s">
        <v>1495</v>
      </c>
      <c r="C110" t="s">
        <v>1352</v>
      </c>
      <c r="D110" t="s">
        <v>1353</v>
      </c>
    </row>
    <row r="111" spans="1:64" x14ac:dyDescent="0.2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5">
      <c r="A112" t="s">
        <v>1497</v>
      </c>
      <c r="B112" t="s">
        <v>1498</v>
      </c>
      <c r="C112" t="s">
        <v>1352</v>
      </c>
      <c r="D112" t="s">
        <v>1353</v>
      </c>
    </row>
    <row r="113" spans="1:64" x14ac:dyDescent="0.25">
      <c r="A113" t="s">
        <v>1499</v>
      </c>
      <c r="B113" t="s">
        <v>1500</v>
      </c>
      <c r="C113" t="s">
        <v>1352</v>
      </c>
      <c r="D113" t="s">
        <v>1353</v>
      </c>
    </row>
    <row r="114" spans="1:64" x14ac:dyDescent="0.2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5">
      <c r="A115" t="s">
        <v>1502</v>
      </c>
      <c r="B115" t="s">
        <v>1503</v>
      </c>
      <c r="C115" t="s">
        <v>1352</v>
      </c>
      <c r="D115" t="s">
        <v>1353</v>
      </c>
    </row>
    <row r="116" spans="1:64" x14ac:dyDescent="0.2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5">
      <c r="A140" t="s">
        <v>1536</v>
      </c>
      <c r="B140" t="s">
        <v>1537</v>
      </c>
      <c r="C140" t="s">
        <v>1352</v>
      </c>
      <c r="D140" t="s">
        <v>1353</v>
      </c>
    </row>
    <row r="141" spans="1:64" x14ac:dyDescent="0.2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5">
      <c r="A142" t="s">
        <v>1540</v>
      </c>
      <c r="B142" t="s">
        <v>1541</v>
      </c>
      <c r="C142" t="s">
        <v>1352</v>
      </c>
      <c r="D142" t="s">
        <v>1353</v>
      </c>
    </row>
    <row r="143" spans="1:64" x14ac:dyDescent="0.2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5">
      <c r="A147" t="s">
        <v>1548</v>
      </c>
      <c r="B147" t="s">
        <v>1549</v>
      </c>
      <c r="C147" t="s">
        <v>1352</v>
      </c>
      <c r="D147" t="s">
        <v>1353</v>
      </c>
    </row>
    <row r="148" spans="1:64" x14ac:dyDescent="0.2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5">
      <c r="A152" t="s">
        <v>1555</v>
      </c>
      <c r="B152" t="s">
        <v>1556</v>
      </c>
      <c r="C152" t="s">
        <v>1352</v>
      </c>
      <c r="D152" t="s">
        <v>1353</v>
      </c>
    </row>
    <row r="153" spans="1:64" x14ac:dyDescent="0.2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5">
      <c r="A186" t="s">
        <v>1599</v>
      </c>
      <c r="B186" t="s">
        <v>1600</v>
      </c>
      <c r="C186" t="s">
        <v>1352</v>
      </c>
      <c r="D186" t="s">
        <v>1353</v>
      </c>
    </row>
    <row r="187" spans="1:64" x14ac:dyDescent="0.2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5">
      <c r="A188" t="s">
        <v>1602</v>
      </c>
      <c r="B188" t="s">
        <v>1603</v>
      </c>
      <c r="C188" t="s">
        <v>1352</v>
      </c>
      <c r="D188" t="s">
        <v>1353</v>
      </c>
    </row>
    <row r="189" spans="1:64" x14ac:dyDescent="0.2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5">
      <c r="A196" t="s">
        <v>1612</v>
      </c>
      <c r="B196" t="s">
        <v>1613</v>
      </c>
      <c r="C196" t="s">
        <v>1352</v>
      </c>
      <c r="D196" t="s">
        <v>1353</v>
      </c>
    </row>
    <row r="197" spans="1:64" x14ac:dyDescent="0.2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5">
      <c r="A202" t="s">
        <v>1621</v>
      </c>
      <c r="B202" t="s">
        <v>1622</v>
      </c>
      <c r="C202" t="s">
        <v>1352</v>
      </c>
      <c r="D202" t="s">
        <v>1353</v>
      </c>
    </row>
    <row r="203" spans="1:64" x14ac:dyDescent="0.25">
      <c r="A203" t="s">
        <v>1623</v>
      </c>
      <c r="B203" t="s">
        <v>1624</v>
      </c>
      <c r="C203" t="s">
        <v>1352</v>
      </c>
      <c r="D203" t="s">
        <v>1353</v>
      </c>
    </row>
    <row r="204" spans="1:64" x14ac:dyDescent="0.2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5">
      <c r="A221" t="s">
        <v>1076</v>
      </c>
      <c r="B221" t="s">
        <v>1645</v>
      </c>
      <c r="C221" t="s">
        <v>1352</v>
      </c>
      <c r="D221" t="s">
        <v>1353</v>
      </c>
      <c r="BD221">
        <v>227</v>
      </c>
      <c r="BE221">
        <v>227</v>
      </c>
      <c r="BF221">
        <v>227</v>
      </c>
      <c r="BG221">
        <v>227</v>
      </c>
      <c r="BH221">
        <v>227</v>
      </c>
      <c r="BI221">
        <v>227</v>
      </c>
      <c r="BJ221">
        <v>227</v>
      </c>
      <c r="BK221">
        <v>227</v>
      </c>
      <c r="BL221">
        <v>227</v>
      </c>
    </row>
    <row r="222" spans="1:64" x14ac:dyDescent="0.2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5">
      <c r="A223" t="s">
        <v>1648</v>
      </c>
      <c r="B223" t="s">
        <v>1649</v>
      </c>
      <c r="C223" t="s">
        <v>1352</v>
      </c>
      <c r="D223" t="s">
        <v>1353</v>
      </c>
    </row>
    <row r="224" spans="1:64" x14ac:dyDescent="0.2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5">
      <c r="A230" t="s">
        <v>1657</v>
      </c>
      <c r="B230" t="s">
        <v>1658</v>
      </c>
      <c r="C230" t="s">
        <v>1352</v>
      </c>
      <c r="D230" t="s">
        <v>1353</v>
      </c>
      <c r="BC230">
        <v>10</v>
      </c>
      <c r="BD230">
        <v>6.6</v>
      </c>
      <c r="BE230">
        <v>3.2</v>
      </c>
      <c r="BF230">
        <v>6.1</v>
      </c>
      <c r="BG230">
        <v>0</v>
      </c>
      <c r="BH230">
        <v>5.8</v>
      </c>
      <c r="BI230">
        <v>0</v>
      </c>
      <c r="BJ230">
        <v>14</v>
      </c>
      <c r="BK230">
        <v>19</v>
      </c>
      <c r="BL230">
        <v>14</v>
      </c>
    </row>
    <row r="231" spans="1:64" x14ac:dyDescent="0.2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5">
      <c r="A235" t="s">
        <v>1664</v>
      </c>
      <c r="B235" t="s">
        <v>1665</v>
      </c>
      <c r="C235" t="s">
        <v>1352</v>
      </c>
      <c r="D235" t="s">
        <v>1353</v>
      </c>
    </row>
    <row r="236" spans="1:64" x14ac:dyDescent="0.25">
      <c r="A236" t="s">
        <v>1666</v>
      </c>
      <c r="B236" t="s">
        <v>1667</v>
      </c>
      <c r="C236" t="s">
        <v>1352</v>
      </c>
      <c r="D236" t="s">
        <v>1353</v>
      </c>
    </row>
    <row r="237" spans="1:64" x14ac:dyDescent="0.2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5">
      <c r="A241" t="s">
        <v>1672</v>
      </c>
      <c r="B241" t="s">
        <v>1673</v>
      </c>
      <c r="C241" t="s">
        <v>1352</v>
      </c>
      <c r="D241" t="s">
        <v>1353</v>
      </c>
    </row>
    <row r="242" spans="1:64" x14ac:dyDescent="0.2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5">
      <c r="A243" t="s">
        <v>1675</v>
      </c>
      <c r="B243" t="s">
        <v>1676</v>
      </c>
      <c r="C243" t="s">
        <v>1352</v>
      </c>
      <c r="D243" t="s">
        <v>1353</v>
      </c>
    </row>
    <row r="244" spans="1:64" x14ac:dyDescent="0.2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5">
      <c r="A245" t="s">
        <v>1678</v>
      </c>
      <c r="B245" t="s">
        <v>1679</v>
      </c>
      <c r="C245" t="s">
        <v>1352</v>
      </c>
      <c r="D245" t="s">
        <v>1353</v>
      </c>
    </row>
    <row r="246" spans="1:64" x14ac:dyDescent="0.25">
      <c r="A246" t="s">
        <v>1680</v>
      </c>
      <c r="B246" t="s">
        <v>1681</v>
      </c>
      <c r="C246" t="s">
        <v>1352</v>
      </c>
      <c r="D246" t="s">
        <v>1353</v>
      </c>
    </row>
    <row r="247" spans="1:64" x14ac:dyDescent="0.2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5">
      <c r="A261" t="s">
        <v>1703</v>
      </c>
      <c r="B261" t="s">
        <v>1704</v>
      </c>
      <c r="C261" t="s">
        <v>1352</v>
      </c>
      <c r="D261" t="s">
        <v>1353</v>
      </c>
    </row>
    <row r="262" spans="1:65" x14ac:dyDescent="0.2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5">
      <c r="A266" t="s">
        <v>1710</v>
      </c>
      <c r="B266" t="s">
        <v>1711</v>
      </c>
      <c r="C266" t="s">
        <v>1352</v>
      </c>
      <c r="D266" t="s">
        <v>1353</v>
      </c>
    </row>
    <row r="267" spans="1:65" x14ac:dyDescent="0.2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25"/>
    <row r="272" spans="1:65" s="1" customFormat="1" x14ac:dyDescent="0.2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25">
      <c r="BM273" s="51" t="s">
        <v>1718</v>
      </c>
    </row>
    <row r="274" spans="8:65" s="1" customFormat="1" x14ac:dyDescent="0.25">
      <c r="I274" s="1" t="s">
        <v>1719</v>
      </c>
    </row>
    <row r="275" spans="8:65" s="1" customFormat="1" x14ac:dyDescent="0.25">
      <c r="H275">
        <v>2020</v>
      </c>
      <c r="I275" s="156">
        <f>BL77*$BM$272</f>
        <v>129.45230835262726</v>
      </c>
    </row>
    <row r="276" spans="8:65" s="1" customFormat="1" x14ac:dyDescent="0.25">
      <c r="H276">
        <v>2021</v>
      </c>
      <c r="I276" s="156">
        <f>I275*$BM$272</f>
        <v>119.69928669874062</v>
      </c>
    </row>
    <row r="277" spans="8:65" s="1" customFormat="1" x14ac:dyDescent="0.25">
      <c r="H277">
        <v>2022</v>
      </c>
      <c r="I277" s="156">
        <f t="shared" ref="I277:I295" si="1">I276*$BM$272</f>
        <v>110.68106408082075</v>
      </c>
    </row>
    <row r="278" spans="8:65" s="1" customFormat="1" x14ac:dyDescent="0.25">
      <c r="H278">
        <v>2023</v>
      </c>
      <c r="I278" s="156">
        <f t="shared" si="1"/>
        <v>102.34228025848073</v>
      </c>
    </row>
    <row r="279" spans="8:65" s="1" customFormat="1" x14ac:dyDescent="0.25">
      <c r="H279">
        <v>2024</v>
      </c>
      <c r="I279" s="156">
        <f t="shared" si="1"/>
        <v>94.631745868084593</v>
      </c>
    </row>
    <row r="280" spans="8:65" s="1" customFormat="1" x14ac:dyDescent="0.25">
      <c r="H280">
        <v>2025</v>
      </c>
      <c r="I280" s="156">
        <f t="shared" si="1"/>
        <v>87.502128186162466</v>
      </c>
    </row>
    <row r="281" spans="8:65" s="1" customFormat="1" x14ac:dyDescent="0.25">
      <c r="H281">
        <v>2026</v>
      </c>
      <c r="I281" s="156">
        <f t="shared" si="1"/>
        <v>80.909660567615845</v>
      </c>
    </row>
    <row r="282" spans="8:65" s="1" customFormat="1" x14ac:dyDescent="0.25">
      <c r="H282">
        <v>2027</v>
      </c>
      <c r="I282" s="156">
        <f t="shared" si="1"/>
        <v>74.813873775038658</v>
      </c>
    </row>
    <row r="283" spans="8:65" s="1" customFormat="1" x14ac:dyDescent="0.25">
      <c r="H283">
        <v>2028</v>
      </c>
      <c r="I283" s="156">
        <f t="shared" si="1"/>
        <v>69.177347549863129</v>
      </c>
    </row>
    <row r="284" spans="8:65" s="1" customFormat="1" x14ac:dyDescent="0.25">
      <c r="H284">
        <v>2029</v>
      </c>
      <c r="I284" s="156">
        <f t="shared" si="1"/>
        <v>63.965480900298175</v>
      </c>
    </row>
    <row r="285" spans="8:65" s="1" customFormat="1" x14ac:dyDescent="0.25">
      <c r="H285">
        <v>2030</v>
      </c>
      <c r="I285" s="156">
        <f t="shared" si="1"/>
        <v>59.14627969592491</v>
      </c>
    </row>
    <row r="286" spans="8:65" s="1" customFormat="1" x14ac:dyDescent="0.25">
      <c r="H286">
        <v>2031</v>
      </c>
      <c r="I286" s="156">
        <f t="shared" si="1"/>
        <v>54.690160265054338</v>
      </c>
    </row>
    <row r="287" spans="8:65" s="1" customFormat="1" x14ac:dyDescent="0.25">
      <c r="H287">
        <v>2032</v>
      </c>
      <c r="I287" s="156">
        <f t="shared" si="1"/>
        <v>50.569767789188688</v>
      </c>
    </row>
    <row r="288" spans="8:65" s="1" customFormat="1" x14ac:dyDescent="0.25">
      <c r="H288">
        <v>2033</v>
      </c>
      <c r="I288" s="156">
        <f t="shared" si="1"/>
        <v>46.759808379762937</v>
      </c>
    </row>
    <row r="289" spans="3:9" s="1" customFormat="1" x14ac:dyDescent="0.25">
      <c r="C289" s="49"/>
      <c r="D289" s="49"/>
      <c r="E289" s="49"/>
      <c r="H289">
        <v>2034</v>
      </c>
      <c r="I289" s="156">
        <f t="shared" si="1"/>
        <v>43.236893806334535</v>
      </c>
    </row>
    <row r="290" spans="3:9" s="1" customFormat="1" x14ac:dyDescent="0.25">
      <c r="C290" s="49"/>
      <c r="D290" s="49"/>
      <c r="E290" s="49"/>
      <c r="H290">
        <v>2035</v>
      </c>
      <c r="I290" s="156">
        <f t="shared" si="1"/>
        <v>39.979397923052979</v>
      </c>
    </row>
    <row r="291" spans="3:9" s="1" customFormat="1" x14ac:dyDescent="0.25">
      <c r="C291" s="49"/>
      <c r="D291" s="49"/>
      <c r="E291" s="49"/>
      <c r="H291">
        <v>2036</v>
      </c>
      <c r="I291" s="156">
        <f t="shared" si="1"/>
        <v>36.967323912053139</v>
      </c>
    </row>
    <row r="292" spans="3:9" s="1" customFormat="1" x14ac:dyDescent="0.25">
      <c r="H292">
        <v>2037</v>
      </c>
      <c r="I292" s="156">
        <f t="shared" si="1"/>
        <v>34.182181528818241</v>
      </c>
    </row>
    <row r="293" spans="3:9" s="1" customFormat="1" x14ac:dyDescent="0.25">
      <c r="H293">
        <v>2038</v>
      </c>
      <c r="I293" s="156">
        <f t="shared" si="1"/>
        <v>31.606873595957559</v>
      </c>
    </row>
    <row r="294" spans="3:9" s="1" customFormat="1" x14ac:dyDescent="0.25">
      <c r="H294">
        <v>2039</v>
      </c>
      <c r="I294" s="156">
        <f t="shared" si="1"/>
        <v>29.225591048617215</v>
      </c>
    </row>
    <row r="295" spans="3:9" s="1" customFormat="1" x14ac:dyDescent="0.25">
      <c r="H295">
        <v>2040</v>
      </c>
      <c r="I295" s="156">
        <f t="shared" si="1"/>
        <v>27.023715887238417</v>
      </c>
    </row>
    <row r="296" spans="3:9" s="1" customFormat="1" x14ac:dyDescent="0.25"/>
    <row r="297" spans="3:9" s="1" customFormat="1" x14ac:dyDescent="0.2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5" x14ac:dyDescent="0.25"/>
  <cols>
    <col min="1" max="1" width="44.140625" bestFit="1" customWidth="1"/>
    <col min="2" max="2" width="25.5703125" bestFit="1" customWidth="1"/>
    <col min="3" max="3" width="41" bestFit="1" customWidth="1"/>
    <col min="4" max="4" width="14.28515625" bestFit="1" customWidth="1"/>
    <col min="5" max="8" width="5" bestFit="1" customWidth="1"/>
    <col min="9" max="9" width="10.85546875" customWidth="1"/>
    <col min="10" max="44" width="5" bestFit="1" customWidth="1"/>
    <col min="45" max="63" width="11.42578125" bestFit="1" customWidth="1"/>
    <col min="64" max="64" width="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1720</v>
      </c>
      <c r="D5" t="s">
        <v>1721</v>
      </c>
    </row>
    <row r="6" spans="1:65" x14ac:dyDescent="0.2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5">
      <c r="A10" t="s">
        <v>1257</v>
      </c>
      <c r="B10" t="s">
        <v>1360</v>
      </c>
      <c r="C10" t="s">
        <v>1720</v>
      </c>
      <c r="D10" t="s">
        <v>1721</v>
      </c>
    </row>
    <row r="11" spans="1:65" x14ac:dyDescent="0.25">
      <c r="A11" t="s">
        <v>1361</v>
      </c>
      <c r="B11" t="s">
        <v>1362</v>
      </c>
      <c r="C11" t="s">
        <v>1720</v>
      </c>
      <c r="D11" t="s">
        <v>1721</v>
      </c>
    </row>
    <row r="12" spans="1:65" x14ac:dyDescent="0.2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5">
      <c r="A16" t="s">
        <v>1368</v>
      </c>
      <c r="B16" t="s">
        <v>1369</v>
      </c>
      <c r="C16" t="s">
        <v>1720</v>
      </c>
      <c r="D16" t="s">
        <v>1721</v>
      </c>
    </row>
    <row r="17" spans="1:63" x14ac:dyDescent="0.25">
      <c r="A17" t="s">
        <v>1172</v>
      </c>
      <c r="B17" t="s">
        <v>1370</v>
      </c>
      <c r="C17" t="s">
        <v>1720</v>
      </c>
      <c r="D17" t="s">
        <v>1721</v>
      </c>
    </row>
    <row r="18" spans="1:63" x14ac:dyDescent="0.25">
      <c r="A18" t="s">
        <v>1213</v>
      </c>
      <c r="B18" t="s">
        <v>1371</v>
      </c>
      <c r="C18" t="s">
        <v>1720</v>
      </c>
      <c r="D18" t="s">
        <v>1721</v>
      </c>
    </row>
    <row r="19" spans="1:63" x14ac:dyDescent="0.25">
      <c r="A19" t="s">
        <v>1270</v>
      </c>
      <c r="B19" t="s">
        <v>1372</v>
      </c>
      <c r="C19" t="s">
        <v>1720</v>
      </c>
      <c r="D19" t="s">
        <v>1721</v>
      </c>
    </row>
    <row r="20" spans="1:63" x14ac:dyDescent="0.2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5">
      <c r="A22" t="s">
        <v>1271</v>
      </c>
      <c r="B22" t="s">
        <v>1375</v>
      </c>
      <c r="C22" t="s">
        <v>1720</v>
      </c>
      <c r="D22" t="s">
        <v>1721</v>
      </c>
    </row>
    <row r="23" spans="1:63" x14ac:dyDescent="0.2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5">
      <c r="A26" t="s">
        <v>1235</v>
      </c>
      <c r="B26" t="s">
        <v>1379</v>
      </c>
      <c r="C26" t="s">
        <v>1720</v>
      </c>
      <c r="D26" t="s">
        <v>1721</v>
      </c>
    </row>
    <row r="27" spans="1:63" x14ac:dyDescent="0.25">
      <c r="A27" t="s">
        <v>1115</v>
      </c>
      <c r="B27" t="s">
        <v>1380</v>
      </c>
      <c r="C27" t="s">
        <v>1720</v>
      </c>
      <c r="D27" t="s">
        <v>1721</v>
      </c>
    </row>
    <row r="28" spans="1:63" x14ac:dyDescent="0.25">
      <c r="A28" t="s">
        <v>1381</v>
      </c>
      <c r="B28" t="s">
        <v>1382</v>
      </c>
      <c r="C28" t="s">
        <v>1720</v>
      </c>
      <c r="D28" t="s">
        <v>1721</v>
      </c>
    </row>
    <row r="29" spans="1:63" x14ac:dyDescent="0.25">
      <c r="A29" t="s">
        <v>1258</v>
      </c>
      <c r="B29" t="s">
        <v>1383</v>
      </c>
      <c r="C29" t="s">
        <v>1720</v>
      </c>
      <c r="D29" t="s">
        <v>1721</v>
      </c>
    </row>
    <row r="30" spans="1:63" x14ac:dyDescent="0.25">
      <c r="A30" t="s">
        <v>1234</v>
      </c>
      <c r="B30" t="s">
        <v>1384</v>
      </c>
      <c r="C30" t="s">
        <v>1720</v>
      </c>
      <c r="D30" t="s">
        <v>1721</v>
      </c>
    </row>
    <row r="31" spans="1:63" x14ac:dyDescent="0.2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5">
      <c r="A32" t="s">
        <v>1386</v>
      </c>
      <c r="B32" t="s">
        <v>1387</v>
      </c>
      <c r="C32" t="s">
        <v>1720</v>
      </c>
      <c r="D32" t="s">
        <v>1721</v>
      </c>
    </row>
    <row r="33" spans="1:63" x14ac:dyDescent="0.2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5">
      <c r="A35" t="s">
        <v>1175</v>
      </c>
      <c r="B35" t="s">
        <v>1391</v>
      </c>
      <c r="C35" t="s">
        <v>1720</v>
      </c>
      <c r="D35" t="s">
        <v>1721</v>
      </c>
    </row>
    <row r="36" spans="1:63" x14ac:dyDescent="0.25">
      <c r="A36" t="s">
        <v>1159</v>
      </c>
      <c r="B36" t="s">
        <v>1392</v>
      </c>
      <c r="C36" t="s">
        <v>1720</v>
      </c>
      <c r="D36" t="s">
        <v>1721</v>
      </c>
    </row>
    <row r="37" spans="1:63" x14ac:dyDescent="0.2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5">
      <c r="A40" t="s">
        <v>1278</v>
      </c>
      <c r="B40" t="s">
        <v>1396</v>
      </c>
      <c r="C40" t="s">
        <v>1720</v>
      </c>
      <c r="D40" t="s">
        <v>1721</v>
      </c>
    </row>
    <row r="41" spans="1:63" x14ac:dyDescent="0.25">
      <c r="A41" t="s">
        <v>1397</v>
      </c>
      <c r="B41" t="s">
        <v>1398</v>
      </c>
      <c r="C41" t="s">
        <v>1720</v>
      </c>
      <c r="D41" t="s">
        <v>1721</v>
      </c>
    </row>
    <row r="42" spans="1:63" x14ac:dyDescent="0.25">
      <c r="A42" t="s">
        <v>1276</v>
      </c>
      <c r="B42" t="s">
        <v>1399</v>
      </c>
      <c r="C42" t="s">
        <v>1720</v>
      </c>
      <c r="D42" t="s">
        <v>1721</v>
      </c>
    </row>
    <row r="43" spans="1:63" x14ac:dyDescent="0.25">
      <c r="A43" t="s">
        <v>1245</v>
      </c>
      <c r="B43" t="s">
        <v>1400</v>
      </c>
      <c r="C43" t="s">
        <v>1720</v>
      </c>
      <c r="D43" t="s">
        <v>1721</v>
      </c>
    </row>
    <row r="44" spans="1:63" x14ac:dyDescent="0.25">
      <c r="A44" t="s">
        <v>1202</v>
      </c>
      <c r="B44" t="s">
        <v>1401</v>
      </c>
      <c r="C44" t="s">
        <v>1720</v>
      </c>
      <c r="D44" t="s">
        <v>1721</v>
      </c>
    </row>
    <row r="45" spans="1:63" x14ac:dyDescent="0.2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5">
      <c r="A54" t="s">
        <v>1414</v>
      </c>
      <c r="B54" t="s">
        <v>1415</v>
      </c>
      <c r="C54" t="s">
        <v>1720</v>
      </c>
      <c r="D54" t="s">
        <v>1721</v>
      </c>
    </row>
    <row r="55" spans="1:63" x14ac:dyDescent="0.25">
      <c r="A55" t="s">
        <v>1176</v>
      </c>
      <c r="B55" t="s">
        <v>1416</v>
      </c>
      <c r="C55" t="s">
        <v>1720</v>
      </c>
      <c r="D55" t="s">
        <v>1721</v>
      </c>
    </row>
    <row r="56" spans="1:63" x14ac:dyDescent="0.25">
      <c r="A56" t="s">
        <v>1417</v>
      </c>
      <c r="B56" t="s">
        <v>1418</v>
      </c>
      <c r="C56" t="s">
        <v>1720</v>
      </c>
      <c r="D56" t="s">
        <v>1721</v>
      </c>
    </row>
    <row r="57" spans="1:63" x14ac:dyDescent="0.25">
      <c r="A57" t="s">
        <v>1419</v>
      </c>
      <c r="B57" t="s">
        <v>1420</v>
      </c>
      <c r="C57" t="s">
        <v>1720</v>
      </c>
      <c r="D57" t="s">
        <v>1721</v>
      </c>
    </row>
    <row r="58" spans="1:63" x14ac:dyDescent="0.25">
      <c r="A58" t="s">
        <v>1116</v>
      </c>
      <c r="B58" t="s">
        <v>1421</v>
      </c>
      <c r="C58" t="s">
        <v>1720</v>
      </c>
      <c r="D58" t="s">
        <v>1721</v>
      </c>
    </row>
    <row r="59" spans="1:63" x14ac:dyDescent="0.25">
      <c r="A59" t="s">
        <v>1422</v>
      </c>
      <c r="B59" t="s">
        <v>1423</v>
      </c>
      <c r="C59" t="s">
        <v>1720</v>
      </c>
      <c r="D59" t="s">
        <v>1721</v>
      </c>
    </row>
    <row r="60" spans="1:63" x14ac:dyDescent="0.25">
      <c r="A60" t="s">
        <v>1273</v>
      </c>
      <c r="B60" t="s">
        <v>1424</v>
      </c>
      <c r="C60" t="s">
        <v>1720</v>
      </c>
      <c r="D60" t="s">
        <v>1721</v>
      </c>
    </row>
    <row r="61" spans="1:63" x14ac:dyDescent="0.2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5">
      <c r="A62" t="s">
        <v>1426</v>
      </c>
      <c r="B62" t="s">
        <v>1427</v>
      </c>
      <c r="C62" t="s">
        <v>1720</v>
      </c>
      <c r="D62" t="s">
        <v>1721</v>
      </c>
    </row>
    <row r="63" spans="1:63" x14ac:dyDescent="0.25">
      <c r="A63" t="s">
        <v>1246</v>
      </c>
      <c r="B63" t="s">
        <v>1428</v>
      </c>
      <c r="C63" t="s">
        <v>1720</v>
      </c>
      <c r="D63" t="s">
        <v>1721</v>
      </c>
    </row>
    <row r="64" spans="1:63" x14ac:dyDescent="0.2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5">
      <c r="A69" t="s">
        <v>1437</v>
      </c>
      <c r="B69" t="s">
        <v>1438</v>
      </c>
      <c r="C69" t="s">
        <v>1720</v>
      </c>
      <c r="D69" t="s">
        <v>1721</v>
      </c>
    </row>
    <row r="70" spans="1:63" x14ac:dyDescent="0.25">
      <c r="A70" t="s">
        <v>1439</v>
      </c>
      <c r="B70" t="s">
        <v>1440</v>
      </c>
      <c r="C70" t="s">
        <v>1720</v>
      </c>
      <c r="D70" t="s">
        <v>1721</v>
      </c>
    </row>
    <row r="71" spans="1:63" x14ac:dyDescent="0.2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5">
      <c r="A73" t="s">
        <v>1444</v>
      </c>
      <c r="B73" t="s">
        <v>1445</v>
      </c>
      <c r="C73" t="s">
        <v>1720</v>
      </c>
      <c r="D73" t="s">
        <v>1721</v>
      </c>
    </row>
    <row r="74" spans="1:63" x14ac:dyDescent="0.2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5">
      <c r="A75" t="s">
        <v>1268</v>
      </c>
      <c r="B75" t="s">
        <v>1447</v>
      </c>
      <c r="C75" t="s">
        <v>1720</v>
      </c>
      <c r="D75" t="s">
        <v>1721</v>
      </c>
    </row>
    <row r="76" spans="1:63" x14ac:dyDescent="0.25">
      <c r="A76" t="s">
        <v>1247</v>
      </c>
      <c r="B76" t="s">
        <v>1448</v>
      </c>
      <c r="C76" t="s">
        <v>1720</v>
      </c>
      <c r="D76" t="s">
        <v>1721</v>
      </c>
    </row>
    <row r="77" spans="1:63" x14ac:dyDescent="0.2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5">
      <c r="A78" t="s">
        <v>1449</v>
      </c>
      <c r="B78" t="s">
        <v>1450</v>
      </c>
      <c r="C78" t="s">
        <v>1720</v>
      </c>
      <c r="D78" t="s">
        <v>1721</v>
      </c>
    </row>
    <row r="79" spans="1:63" x14ac:dyDescent="0.2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5">
      <c r="A80" t="s">
        <v>1248</v>
      </c>
      <c r="B80" t="s">
        <v>1453</v>
      </c>
      <c r="C80" t="s">
        <v>1720</v>
      </c>
      <c r="D80" t="s">
        <v>1721</v>
      </c>
    </row>
    <row r="81" spans="1:63" x14ac:dyDescent="0.25">
      <c r="A81" t="s">
        <v>1217</v>
      </c>
      <c r="B81" t="s">
        <v>1454</v>
      </c>
      <c r="C81" t="s">
        <v>1720</v>
      </c>
      <c r="D81" t="s">
        <v>1721</v>
      </c>
    </row>
    <row r="82" spans="1:63" x14ac:dyDescent="0.25">
      <c r="A82" t="s">
        <v>1272</v>
      </c>
      <c r="B82" t="s">
        <v>1455</v>
      </c>
      <c r="C82" t="s">
        <v>1720</v>
      </c>
      <c r="D82" t="s">
        <v>1721</v>
      </c>
    </row>
    <row r="83" spans="1:63" x14ac:dyDescent="0.25">
      <c r="A83" t="s">
        <v>1456</v>
      </c>
      <c r="B83" t="s">
        <v>1457</v>
      </c>
      <c r="C83" t="s">
        <v>1720</v>
      </c>
      <c r="D83" t="s">
        <v>1721</v>
      </c>
    </row>
    <row r="84" spans="1:63" x14ac:dyDescent="0.25">
      <c r="A84" t="s">
        <v>1458</v>
      </c>
      <c r="B84" t="s">
        <v>1459</v>
      </c>
      <c r="C84" t="s">
        <v>1720</v>
      </c>
      <c r="D84" t="s">
        <v>1721</v>
      </c>
    </row>
    <row r="85" spans="1:63" x14ac:dyDescent="0.2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5">
      <c r="A86" t="s">
        <v>1255</v>
      </c>
      <c r="B86" t="s">
        <v>1461</v>
      </c>
      <c r="C86" t="s">
        <v>1720</v>
      </c>
      <c r="D86" t="s">
        <v>1721</v>
      </c>
    </row>
    <row r="87" spans="1:63" x14ac:dyDescent="0.2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5">
      <c r="A89" t="s">
        <v>1464</v>
      </c>
      <c r="B89" t="s">
        <v>1465</v>
      </c>
      <c r="C89" t="s">
        <v>1720</v>
      </c>
      <c r="D89" t="s">
        <v>1721</v>
      </c>
    </row>
    <row r="90" spans="1:63" x14ac:dyDescent="0.2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5">
      <c r="A94" t="s">
        <v>1260</v>
      </c>
      <c r="B94" t="s">
        <v>1471</v>
      </c>
      <c r="C94" t="s">
        <v>1720</v>
      </c>
      <c r="D94" t="s">
        <v>1721</v>
      </c>
    </row>
    <row r="95" spans="1:63" x14ac:dyDescent="0.25">
      <c r="A95" t="s">
        <v>1179</v>
      </c>
      <c r="B95" t="s">
        <v>1472</v>
      </c>
      <c r="C95" t="s">
        <v>1720</v>
      </c>
      <c r="D95" t="s">
        <v>1721</v>
      </c>
    </row>
    <row r="96" spans="1:63" x14ac:dyDescent="0.25">
      <c r="A96" t="s">
        <v>1473</v>
      </c>
      <c r="B96" t="s">
        <v>1474</v>
      </c>
      <c r="C96" t="s">
        <v>1720</v>
      </c>
      <c r="D96" t="s">
        <v>1721</v>
      </c>
    </row>
    <row r="97" spans="1:63" x14ac:dyDescent="0.2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5">
      <c r="A98" t="s">
        <v>1223</v>
      </c>
      <c r="B98" t="s">
        <v>1476</v>
      </c>
      <c r="C98" t="s">
        <v>1720</v>
      </c>
      <c r="D98" t="s">
        <v>1721</v>
      </c>
    </row>
    <row r="99" spans="1:63" x14ac:dyDescent="0.2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5">
      <c r="A100" t="s">
        <v>1478</v>
      </c>
      <c r="B100" t="s">
        <v>1479</v>
      </c>
      <c r="C100" t="s">
        <v>1720</v>
      </c>
      <c r="D100" t="s">
        <v>1721</v>
      </c>
    </row>
    <row r="101" spans="1:63" x14ac:dyDescent="0.25">
      <c r="A101" t="s">
        <v>1480</v>
      </c>
      <c r="B101" t="s">
        <v>1481</v>
      </c>
      <c r="C101" t="s">
        <v>1720</v>
      </c>
      <c r="D101" t="s">
        <v>1721</v>
      </c>
    </row>
    <row r="102" spans="1:63" x14ac:dyDescent="0.2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5">
      <c r="A104" t="s">
        <v>1259</v>
      </c>
      <c r="B104" t="s">
        <v>1485</v>
      </c>
      <c r="C104" t="s">
        <v>1720</v>
      </c>
      <c r="D104" t="s">
        <v>1721</v>
      </c>
    </row>
    <row r="105" spans="1:63" x14ac:dyDescent="0.2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5">
      <c r="A106" t="s">
        <v>1237</v>
      </c>
      <c r="B106" t="s">
        <v>1487</v>
      </c>
      <c r="C106" t="s">
        <v>1720</v>
      </c>
      <c r="D106" t="s">
        <v>1721</v>
      </c>
    </row>
    <row r="107" spans="1:63" x14ac:dyDescent="0.2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5">
      <c r="A113" t="s">
        <v>1499</v>
      </c>
      <c r="B113" t="s">
        <v>1500</v>
      </c>
      <c r="C113" t="s">
        <v>1720</v>
      </c>
      <c r="D113" t="s">
        <v>1721</v>
      </c>
    </row>
    <row r="114" spans="1:63" x14ac:dyDescent="0.2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5">
      <c r="A115" t="s">
        <v>1502</v>
      </c>
      <c r="B115" t="s">
        <v>1503</v>
      </c>
      <c r="C115" t="s">
        <v>1720</v>
      </c>
      <c r="D115" t="s">
        <v>1721</v>
      </c>
    </row>
    <row r="116" spans="1:63" x14ac:dyDescent="0.25">
      <c r="A116" t="s">
        <v>1250</v>
      </c>
      <c r="B116" t="s">
        <v>1504</v>
      </c>
      <c r="C116" t="s">
        <v>1720</v>
      </c>
      <c r="D116" t="s">
        <v>1721</v>
      </c>
    </row>
    <row r="117" spans="1:63" x14ac:dyDescent="0.2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5">
      <c r="A119" t="s">
        <v>1249</v>
      </c>
      <c r="B119" t="s">
        <v>1508</v>
      </c>
      <c r="C119" t="s">
        <v>1720</v>
      </c>
      <c r="D119" t="s">
        <v>1721</v>
      </c>
    </row>
    <row r="120" spans="1:63" x14ac:dyDescent="0.25">
      <c r="A120" t="s">
        <v>1119</v>
      </c>
      <c r="B120" t="s">
        <v>1509</v>
      </c>
      <c r="C120" t="s">
        <v>1720</v>
      </c>
      <c r="D120" t="s">
        <v>1721</v>
      </c>
    </row>
    <row r="121" spans="1:63" x14ac:dyDescent="0.25">
      <c r="A121" t="s">
        <v>1261</v>
      </c>
      <c r="B121" t="s">
        <v>1510</v>
      </c>
      <c r="C121" t="s">
        <v>1720</v>
      </c>
      <c r="D121" t="s">
        <v>1721</v>
      </c>
    </row>
    <row r="122" spans="1:63" x14ac:dyDescent="0.25">
      <c r="A122" t="s">
        <v>1182</v>
      </c>
      <c r="B122" t="s">
        <v>1511</v>
      </c>
      <c r="C122" t="s">
        <v>1720</v>
      </c>
      <c r="D122" t="s">
        <v>1721</v>
      </c>
    </row>
    <row r="123" spans="1:63" x14ac:dyDescent="0.25">
      <c r="A123" t="s">
        <v>1120</v>
      </c>
      <c r="B123" t="s">
        <v>1512</v>
      </c>
      <c r="C123" t="s">
        <v>1720</v>
      </c>
      <c r="D123" t="s">
        <v>1721</v>
      </c>
    </row>
    <row r="124" spans="1:63" x14ac:dyDescent="0.25">
      <c r="A124" t="s">
        <v>1155</v>
      </c>
      <c r="B124" t="s">
        <v>1513</v>
      </c>
      <c r="C124" t="s">
        <v>1720</v>
      </c>
      <c r="D124" t="s">
        <v>1721</v>
      </c>
    </row>
    <row r="125" spans="1:63" x14ac:dyDescent="0.2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5">
      <c r="A129" t="s">
        <v>1224</v>
      </c>
      <c r="B129" t="s">
        <v>1519</v>
      </c>
      <c r="C129" t="s">
        <v>1720</v>
      </c>
      <c r="D129" t="s">
        <v>1721</v>
      </c>
    </row>
    <row r="130" spans="1:63" x14ac:dyDescent="0.25">
      <c r="A130" t="s">
        <v>1520</v>
      </c>
      <c r="B130" t="s">
        <v>1521</v>
      </c>
      <c r="C130" t="s">
        <v>1720</v>
      </c>
      <c r="D130" t="s">
        <v>1721</v>
      </c>
    </row>
    <row r="131" spans="1:63" x14ac:dyDescent="0.2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5">
      <c r="A132" t="s">
        <v>1121</v>
      </c>
      <c r="B132" t="s">
        <v>1524</v>
      </c>
      <c r="C132" t="s">
        <v>1720</v>
      </c>
      <c r="D132" t="s">
        <v>1721</v>
      </c>
    </row>
    <row r="133" spans="1:63" x14ac:dyDescent="0.2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5">
      <c r="A135" t="s">
        <v>1122</v>
      </c>
      <c r="B135" t="s">
        <v>1529</v>
      </c>
      <c r="C135" t="s">
        <v>1720</v>
      </c>
      <c r="D135" t="s">
        <v>1721</v>
      </c>
    </row>
    <row r="136" spans="1:63" x14ac:dyDescent="0.2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5">
      <c r="A137" t="s">
        <v>1107</v>
      </c>
      <c r="B137" t="s">
        <v>1531</v>
      </c>
      <c r="C137" t="s">
        <v>1720</v>
      </c>
      <c r="D137" t="s">
        <v>1721</v>
      </c>
    </row>
    <row r="138" spans="1:63" x14ac:dyDescent="0.25">
      <c r="A138" t="s">
        <v>1532</v>
      </c>
      <c r="B138" t="s">
        <v>1533</v>
      </c>
      <c r="C138" t="s">
        <v>1720</v>
      </c>
      <c r="D138" t="s">
        <v>1721</v>
      </c>
    </row>
    <row r="139" spans="1:63" x14ac:dyDescent="0.2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5">
      <c r="A142" t="s">
        <v>1540</v>
      </c>
      <c r="B142" t="s">
        <v>1541</v>
      </c>
      <c r="C142" t="s">
        <v>1720</v>
      </c>
      <c r="D142" t="s">
        <v>1721</v>
      </c>
    </row>
    <row r="143" spans="1:63" x14ac:dyDescent="0.2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5">
      <c r="A146" t="s">
        <v>1086</v>
      </c>
      <c r="B146" t="s">
        <v>1547</v>
      </c>
      <c r="C146" t="s">
        <v>1720</v>
      </c>
      <c r="D146" t="s">
        <v>1721</v>
      </c>
    </row>
    <row r="147" spans="1:63" x14ac:dyDescent="0.2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5">
      <c r="A148" t="s">
        <v>1252</v>
      </c>
      <c r="B148" t="s">
        <v>1550</v>
      </c>
      <c r="C148" t="s">
        <v>1720</v>
      </c>
      <c r="D148" t="s">
        <v>1721</v>
      </c>
    </row>
    <row r="149" spans="1:63" x14ac:dyDescent="0.25">
      <c r="A149" t="s">
        <v>1274</v>
      </c>
      <c r="B149" t="s">
        <v>1551</v>
      </c>
      <c r="C149" t="s">
        <v>1720</v>
      </c>
      <c r="D149" t="s">
        <v>1721</v>
      </c>
    </row>
    <row r="150" spans="1:63" x14ac:dyDescent="0.25">
      <c r="A150" t="s">
        <v>1251</v>
      </c>
      <c r="B150" t="s">
        <v>1552</v>
      </c>
      <c r="C150" t="s">
        <v>1720</v>
      </c>
      <c r="D150" t="s">
        <v>1721</v>
      </c>
    </row>
    <row r="151" spans="1:63" x14ac:dyDescent="0.25">
      <c r="A151" t="s">
        <v>1553</v>
      </c>
      <c r="B151" t="s">
        <v>1554</v>
      </c>
      <c r="C151" t="s">
        <v>1720</v>
      </c>
      <c r="D151" t="s">
        <v>1721</v>
      </c>
    </row>
    <row r="152" spans="1:63" x14ac:dyDescent="0.25">
      <c r="A152" t="s">
        <v>1555</v>
      </c>
      <c r="B152" t="s">
        <v>1556</v>
      </c>
      <c r="C152" t="s">
        <v>1720</v>
      </c>
      <c r="D152" t="s">
        <v>1721</v>
      </c>
    </row>
    <row r="153" spans="1:63" x14ac:dyDescent="0.2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5">
      <c r="A154" t="s">
        <v>1558</v>
      </c>
      <c r="B154" t="s">
        <v>1559</v>
      </c>
      <c r="C154" t="s">
        <v>1720</v>
      </c>
      <c r="D154" t="s">
        <v>1721</v>
      </c>
    </row>
    <row r="155" spans="1:63" x14ac:dyDescent="0.25">
      <c r="A155" t="s">
        <v>1560</v>
      </c>
      <c r="B155" t="s">
        <v>1561</v>
      </c>
      <c r="C155" t="s">
        <v>1720</v>
      </c>
      <c r="D155" t="s">
        <v>1721</v>
      </c>
    </row>
    <row r="156" spans="1:63" x14ac:dyDescent="0.2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5">
      <c r="A157" t="s">
        <v>1144</v>
      </c>
      <c r="B157" t="s">
        <v>1563</v>
      </c>
      <c r="C157" t="s">
        <v>1720</v>
      </c>
      <c r="D157" t="s">
        <v>1721</v>
      </c>
    </row>
    <row r="158" spans="1:63" x14ac:dyDescent="0.2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5">
      <c r="A160" t="s">
        <v>1567</v>
      </c>
      <c r="B160" t="s">
        <v>1568</v>
      </c>
      <c r="C160" t="s">
        <v>1720</v>
      </c>
      <c r="D160" t="s">
        <v>1721</v>
      </c>
    </row>
    <row r="161" spans="1:63" x14ac:dyDescent="0.2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5">
      <c r="A162" t="s">
        <v>1264</v>
      </c>
      <c r="B162" t="s">
        <v>1571</v>
      </c>
      <c r="C162" t="s">
        <v>1720</v>
      </c>
      <c r="D162" t="s">
        <v>1721</v>
      </c>
    </row>
    <row r="163" spans="1:63" x14ac:dyDescent="0.2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5">
      <c r="A164" t="s">
        <v>1262</v>
      </c>
      <c r="B164" t="s">
        <v>1573</v>
      </c>
      <c r="C164" t="s">
        <v>1720</v>
      </c>
      <c r="D164" t="s">
        <v>1721</v>
      </c>
    </row>
    <row r="165" spans="1:63" x14ac:dyDescent="0.2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5">
      <c r="A167" t="s">
        <v>1263</v>
      </c>
      <c r="B167" t="s">
        <v>1577</v>
      </c>
      <c r="C167" t="s">
        <v>1720</v>
      </c>
      <c r="D167" t="s">
        <v>1721</v>
      </c>
    </row>
    <row r="168" spans="1:63" x14ac:dyDescent="0.25">
      <c r="A168" t="s">
        <v>1156</v>
      </c>
      <c r="B168" t="s">
        <v>1578</v>
      </c>
      <c r="C168" t="s">
        <v>1720</v>
      </c>
      <c r="D168" t="s">
        <v>1721</v>
      </c>
    </row>
    <row r="169" spans="1:63" x14ac:dyDescent="0.25">
      <c r="A169" t="s">
        <v>1579</v>
      </c>
      <c r="B169" t="s">
        <v>1580</v>
      </c>
      <c r="C169" t="s">
        <v>1720</v>
      </c>
      <c r="D169" t="s">
        <v>1721</v>
      </c>
    </row>
    <row r="170" spans="1:63" x14ac:dyDescent="0.2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5">
      <c r="A172" t="s">
        <v>1071</v>
      </c>
      <c r="B172" t="s">
        <v>1583</v>
      </c>
      <c r="C172" t="s">
        <v>1720</v>
      </c>
      <c r="D172" t="s">
        <v>1721</v>
      </c>
    </row>
    <row r="173" spans="1:63" x14ac:dyDescent="0.2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5">
      <c r="A175" t="s">
        <v>1586</v>
      </c>
      <c r="B175" t="s">
        <v>1587</v>
      </c>
      <c r="C175" t="s">
        <v>1720</v>
      </c>
      <c r="D175" t="s">
        <v>1721</v>
      </c>
    </row>
    <row r="176" spans="1:63" x14ac:dyDescent="0.2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5">
      <c r="A177" t="s">
        <v>1218</v>
      </c>
      <c r="B177" t="s">
        <v>1589</v>
      </c>
      <c r="C177" t="s">
        <v>1720</v>
      </c>
      <c r="D177" t="s">
        <v>1721</v>
      </c>
    </row>
    <row r="178" spans="1:63" x14ac:dyDescent="0.2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5">
      <c r="A181" t="s">
        <v>1275</v>
      </c>
      <c r="B181" t="s">
        <v>1593</v>
      </c>
      <c r="C181" t="s">
        <v>1720</v>
      </c>
      <c r="D181" t="s">
        <v>1721</v>
      </c>
    </row>
    <row r="182" spans="1:63" x14ac:dyDescent="0.25">
      <c r="A182" t="s">
        <v>1253</v>
      </c>
      <c r="B182" t="s">
        <v>1594</v>
      </c>
      <c r="C182" t="s">
        <v>1720</v>
      </c>
      <c r="D182" t="s">
        <v>1721</v>
      </c>
    </row>
    <row r="183" spans="1:63" x14ac:dyDescent="0.2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5">
      <c r="A184" t="s">
        <v>1596</v>
      </c>
      <c r="B184" t="s">
        <v>1597</v>
      </c>
      <c r="C184" t="s">
        <v>1720</v>
      </c>
      <c r="D184" t="s">
        <v>1721</v>
      </c>
    </row>
    <row r="185" spans="1:63" x14ac:dyDescent="0.25">
      <c r="A185" t="s">
        <v>1214</v>
      </c>
      <c r="B185" t="s">
        <v>1598</v>
      </c>
      <c r="C185" t="s">
        <v>1720</v>
      </c>
      <c r="D185" t="s">
        <v>1721</v>
      </c>
    </row>
    <row r="186" spans="1:63" x14ac:dyDescent="0.25">
      <c r="A186" t="s">
        <v>1599</v>
      </c>
      <c r="B186" t="s">
        <v>1600</v>
      </c>
      <c r="C186" t="s">
        <v>1720</v>
      </c>
      <c r="D186" t="s">
        <v>1721</v>
      </c>
    </row>
    <row r="187" spans="1:63" x14ac:dyDescent="0.2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5">
      <c r="A188" t="s">
        <v>1602</v>
      </c>
      <c r="B188" t="s">
        <v>1603</v>
      </c>
      <c r="C188" t="s">
        <v>1720</v>
      </c>
      <c r="D188" t="s">
        <v>1721</v>
      </c>
    </row>
    <row r="189" spans="1:63" x14ac:dyDescent="0.2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5">
      <c r="A193" t="s">
        <v>1608</v>
      </c>
      <c r="B193" t="s">
        <v>1609</v>
      </c>
      <c r="C193" t="s">
        <v>1720</v>
      </c>
      <c r="D193" t="s">
        <v>1721</v>
      </c>
    </row>
    <row r="194" spans="1:63" x14ac:dyDescent="0.2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5">
      <c r="A195" t="s">
        <v>1238</v>
      </c>
      <c r="B195" t="s">
        <v>1611</v>
      </c>
      <c r="C195" t="s">
        <v>1720</v>
      </c>
      <c r="D195" t="s">
        <v>1721</v>
      </c>
    </row>
    <row r="196" spans="1:63" x14ac:dyDescent="0.2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5">
      <c r="A197" t="s">
        <v>1184</v>
      </c>
      <c r="B197" t="s">
        <v>1614</v>
      </c>
      <c r="C197" t="s">
        <v>1720</v>
      </c>
      <c r="D197" t="s">
        <v>1721</v>
      </c>
    </row>
    <row r="198" spans="1:63" x14ac:dyDescent="0.2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5">
      <c r="A199" t="s">
        <v>1265</v>
      </c>
      <c r="B199" t="s">
        <v>1617</v>
      </c>
      <c r="C199" t="s">
        <v>1720</v>
      </c>
      <c r="D199" t="s">
        <v>1721</v>
      </c>
    </row>
    <row r="200" spans="1:63" x14ac:dyDescent="0.2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5">
      <c r="A201" t="s">
        <v>1619</v>
      </c>
      <c r="B201" t="s">
        <v>1620</v>
      </c>
      <c r="C201" t="s">
        <v>1720</v>
      </c>
      <c r="D201" t="s">
        <v>1721</v>
      </c>
    </row>
    <row r="202" spans="1:63" x14ac:dyDescent="0.25">
      <c r="A202" t="s">
        <v>1621</v>
      </c>
      <c r="B202" t="s">
        <v>1622</v>
      </c>
      <c r="C202" t="s">
        <v>1720</v>
      </c>
      <c r="D202" t="s">
        <v>1721</v>
      </c>
    </row>
    <row r="203" spans="1:63" x14ac:dyDescent="0.25">
      <c r="A203" t="s">
        <v>1623</v>
      </c>
      <c r="B203" t="s">
        <v>1624</v>
      </c>
      <c r="C203" t="s">
        <v>1720</v>
      </c>
      <c r="D203" t="s">
        <v>1721</v>
      </c>
    </row>
    <row r="204" spans="1:63" x14ac:dyDescent="0.25">
      <c r="A204" t="s">
        <v>1227</v>
      </c>
      <c r="B204" t="s">
        <v>1625</v>
      </c>
      <c r="C204" t="s">
        <v>1720</v>
      </c>
      <c r="D204" t="s">
        <v>1721</v>
      </c>
    </row>
    <row r="205" spans="1:63" x14ac:dyDescent="0.25">
      <c r="A205" t="s">
        <v>1124</v>
      </c>
      <c r="B205" t="s">
        <v>1626</v>
      </c>
      <c r="C205" t="s">
        <v>1720</v>
      </c>
      <c r="D205" t="s">
        <v>1721</v>
      </c>
    </row>
    <row r="206" spans="1:63" x14ac:dyDescent="0.25">
      <c r="A206" t="s">
        <v>1240</v>
      </c>
      <c r="B206" t="s">
        <v>1627</v>
      </c>
      <c r="C206" t="s">
        <v>1720</v>
      </c>
      <c r="D206" t="s">
        <v>1721</v>
      </c>
    </row>
    <row r="207" spans="1:63" x14ac:dyDescent="0.25">
      <c r="A207" t="s">
        <v>1241</v>
      </c>
      <c r="B207" t="s">
        <v>1628</v>
      </c>
      <c r="C207" t="s">
        <v>1720</v>
      </c>
      <c r="D207" t="s">
        <v>1721</v>
      </c>
    </row>
    <row r="208" spans="1:63" x14ac:dyDescent="0.2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5">
      <c r="A213" t="s">
        <v>1166</v>
      </c>
      <c r="B213" t="s">
        <v>1635</v>
      </c>
      <c r="C213" t="s">
        <v>1720</v>
      </c>
      <c r="D213" t="s">
        <v>1721</v>
      </c>
    </row>
    <row r="214" spans="1:63" x14ac:dyDescent="0.2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5">
      <c r="A217" t="s">
        <v>1639</v>
      </c>
      <c r="B217" t="s">
        <v>1640</v>
      </c>
      <c r="C217" t="s">
        <v>1720</v>
      </c>
      <c r="D217" t="s">
        <v>1721</v>
      </c>
    </row>
    <row r="218" spans="1:63" x14ac:dyDescent="0.2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5">
      <c r="A219" t="s">
        <v>1266</v>
      </c>
      <c r="B219" t="s">
        <v>1642</v>
      </c>
      <c r="C219" t="s">
        <v>1720</v>
      </c>
      <c r="D219" t="s">
        <v>1721</v>
      </c>
    </row>
    <row r="220" spans="1:63" x14ac:dyDescent="0.2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5">
      <c r="A223" t="s">
        <v>1648</v>
      </c>
      <c r="B223" t="s">
        <v>1649</v>
      </c>
      <c r="C223" t="s">
        <v>1720</v>
      </c>
      <c r="D223" t="s">
        <v>1721</v>
      </c>
    </row>
    <row r="224" spans="1:63" x14ac:dyDescent="0.2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5">
      <c r="A226" t="s">
        <v>1652</v>
      </c>
      <c r="B226" t="s">
        <v>1653</v>
      </c>
      <c r="C226" t="s">
        <v>1720</v>
      </c>
      <c r="D226" t="s">
        <v>1721</v>
      </c>
    </row>
    <row r="227" spans="1:63" x14ac:dyDescent="0.25">
      <c r="A227" t="s">
        <v>1267</v>
      </c>
      <c r="B227" t="s">
        <v>1654</v>
      </c>
      <c r="C227" t="s">
        <v>1720</v>
      </c>
      <c r="D227" t="s">
        <v>1721</v>
      </c>
    </row>
    <row r="228" spans="1:63" x14ac:dyDescent="0.25">
      <c r="A228" t="s">
        <v>1254</v>
      </c>
      <c r="B228" t="s">
        <v>1655</v>
      </c>
      <c r="C228" t="s">
        <v>1720</v>
      </c>
      <c r="D228" t="s">
        <v>1721</v>
      </c>
    </row>
    <row r="229" spans="1:63" x14ac:dyDescent="0.2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5">
      <c r="A230" t="s">
        <v>1657</v>
      </c>
      <c r="B230" t="s">
        <v>1658</v>
      </c>
      <c r="C230" t="s">
        <v>1720</v>
      </c>
      <c r="D230" t="s">
        <v>1721</v>
      </c>
    </row>
    <row r="231" spans="1:63" x14ac:dyDescent="0.25">
      <c r="A231" t="s">
        <v>1074</v>
      </c>
      <c r="B231" t="s">
        <v>1659</v>
      </c>
      <c r="C231" t="s">
        <v>1720</v>
      </c>
      <c r="D231" t="s">
        <v>1721</v>
      </c>
    </row>
    <row r="232" spans="1:63" x14ac:dyDescent="0.2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5">
      <c r="A233" t="s">
        <v>1661</v>
      </c>
      <c r="B233" t="s">
        <v>1662</v>
      </c>
      <c r="C233" t="s">
        <v>1720</v>
      </c>
      <c r="D233" t="s">
        <v>1721</v>
      </c>
    </row>
    <row r="234" spans="1:63" x14ac:dyDescent="0.2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5">
      <c r="A236" t="s">
        <v>1666</v>
      </c>
      <c r="B236" t="s">
        <v>1667</v>
      </c>
      <c r="C236" t="s">
        <v>1720</v>
      </c>
      <c r="D236" t="s">
        <v>1721</v>
      </c>
    </row>
    <row r="237" spans="1:63" x14ac:dyDescent="0.2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5">
      <c r="A244" t="s">
        <v>1229</v>
      </c>
      <c r="B244" t="s">
        <v>1677</v>
      </c>
      <c r="C244" t="s">
        <v>1720</v>
      </c>
      <c r="D244" t="s">
        <v>1721</v>
      </c>
    </row>
    <row r="245" spans="1:63" x14ac:dyDescent="0.2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5">
      <c r="A247" t="s">
        <v>1187</v>
      </c>
      <c r="B247" t="s">
        <v>1682</v>
      </c>
      <c r="C247" t="s">
        <v>1720</v>
      </c>
      <c r="D247" t="s">
        <v>1721</v>
      </c>
    </row>
    <row r="248" spans="1:63" x14ac:dyDescent="0.25">
      <c r="A248" t="s">
        <v>1110</v>
      </c>
      <c r="B248" t="s">
        <v>1683</v>
      </c>
      <c r="C248" t="s">
        <v>1720</v>
      </c>
      <c r="D248" t="s">
        <v>1721</v>
      </c>
    </row>
    <row r="249" spans="1:63" x14ac:dyDescent="0.2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5">
      <c r="A250" t="s">
        <v>1685</v>
      </c>
      <c r="B250" t="s">
        <v>1686</v>
      </c>
      <c r="C250" t="s">
        <v>1720</v>
      </c>
      <c r="D250" t="s">
        <v>1721</v>
      </c>
    </row>
    <row r="251" spans="1:63" x14ac:dyDescent="0.2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5">
      <c r="A253" t="s">
        <v>1243</v>
      </c>
      <c r="B253" t="s">
        <v>1690</v>
      </c>
      <c r="C253" t="s">
        <v>1720</v>
      </c>
      <c r="D253" t="s">
        <v>1721</v>
      </c>
    </row>
    <row r="254" spans="1:63" x14ac:dyDescent="0.2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5">
      <c r="A255" t="s">
        <v>1210</v>
      </c>
      <c r="B255" t="s">
        <v>1693</v>
      </c>
      <c r="C255" t="s">
        <v>1720</v>
      </c>
      <c r="D255" t="s">
        <v>1721</v>
      </c>
    </row>
    <row r="256" spans="1:63" x14ac:dyDescent="0.25">
      <c r="A256" t="s">
        <v>1694</v>
      </c>
      <c r="B256" t="s">
        <v>1695</v>
      </c>
      <c r="C256" t="s">
        <v>1720</v>
      </c>
      <c r="D256" t="s">
        <v>1721</v>
      </c>
    </row>
    <row r="257" spans="1:65" x14ac:dyDescent="0.2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5">
      <c r="A258" t="s">
        <v>1697</v>
      </c>
      <c r="B258" t="s">
        <v>1698</v>
      </c>
      <c r="C258" t="s">
        <v>1720</v>
      </c>
      <c r="D258" t="s">
        <v>1721</v>
      </c>
    </row>
    <row r="259" spans="1:65" x14ac:dyDescent="0.2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5">
      <c r="A260" t="s">
        <v>1701</v>
      </c>
      <c r="B260" t="s">
        <v>1702</v>
      </c>
      <c r="C260" t="s">
        <v>1720</v>
      </c>
      <c r="D260" t="s">
        <v>1721</v>
      </c>
    </row>
    <row r="261" spans="1:65" x14ac:dyDescent="0.25">
      <c r="A261" t="s">
        <v>1703</v>
      </c>
      <c r="B261" t="s">
        <v>1704</v>
      </c>
      <c r="C261" t="s">
        <v>1720</v>
      </c>
      <c r="D261" t="s">
        <v>1721</v>
      </c>
    </row>
    <row r="262" spans="1:65" x14ac:dyDescent="0.2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5">
      <c r="A265" t="s">
        <v>1228</v>
      </c>
      <c r="B265" t="s">
        <v>1709</v>
      </c>
      <c r="C265" t="s">
        <v>1720</v>
      </c>
      <c r="D265" t="s">
        <v>1721</v>
      </c>
    </row>
    <row r="266" spans="1:65" x14ac:dyDescent="0.25">
      <c r="A266" t="s">
        <v>1710</v>
      </c>
      <c r="B266" t="s">
        <v>1711</v>
      </c>
      <c r="C266" t="s">
        <v>1720</v>
      </c>
      <c r="D266" t="s">
        <v>1721</v>
      </c>
    </row>
    <row r="267" spans="1:65" x14ac:dyDescent="0.2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25"/>
    <row r="272" spans="1:65" s="1" customFormat="1" x14ac:dyDescent="0.2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25">
      <c r="BM273" s="51" t="s">
        <v>1722</v>
      </c>
    </row>
    <row r="274" spans="8:65" s="1" customFormat="1" x14ac:dyDescent="0.25">
      <c r="I274" s="1" t="s">
        <v>1719</v>
      </c>
    </row>
    <row r="275" spans="8:65" s="1" customFormat="1" x14ac:dyDescent="0.25">
      <c r="H275">
        <v>2020</v>
      </c>
      <c r="I275" s="156">
        <f>BK77*$BM$272</f>
        <v>27.855993768682247</v>
      </c>
    </row>
    <row r="276" spans="8:65" s="1" customFormat="1" x14ac:dyDescent="0.25">
      <c r="H276">
        <v>2021</v>
      </c>
      <c r="I276" s="156">
        <f>I275*$BM$272</f>
        <v>24.389678001331873</v>
      </c>
    </row>
    <row r="277" spans="8:65" s="1" customFormat="1" x14ac:dyDescent="0.25">
      <c r="H277">
        <v>2022</v>
      </c>
      <c r="I277" s="156">
        <f t="shared" ref="I277:I295" si="1">I276*$BM$272</f>
        <v>21.354700103265859</v>
      </c>
    </row>
    <row r="278" spans="8:65" s="1" customFormat="1" x14ac:dyDescent="0.25">
      <c r="H278">
        <v>2023</v>
      </c>
      <c r="I278" s="156">
        <f t="shared" si="1"/>
        <v>18.697385692239166</v>
      </c>
    </row>
    <row r="279" spans="8:65" s="1" customFormat="1" x14ac:dyDescent="0.25">
      <c r="H279">
        <v>2024</v>
      </c>
      <c r="I279" s="156">
        <f t="shared" si="1"/>
        <v>16.370739464090406</v>
      </c>
    </row>
    <row r="280" spans="8:65" s="1" customFormat="1" x14ac:dyDescent="0.25">
      <c r="H280">
        <v>2025</v>
      </c>
      <c r="I280" s="156">
        <f t="shared" si="1"/>
        <v>14.333614068429247</v>
      </c>
    </row>
    <row r="281" spans="8:65" s="1" customFormat="1" x14ac:dyDescent="0.25">
      <c r="H281">
        <v>2026</v>
      </c>
      <c r="I281" s="156">
        <f t="shared" si="1"/>
        <v>12.54998240692411</v>
      </c>
    </row>
    <row r="282" spans="8:65" s="1" customFormat="1" x14ac:dyDescent="0.25">
      <c r="H282">
        <v>2027</v>
      </c>
      <c r="I282" s="156">
        <f t="shared" si="1"/>
        <v>10.988300484594015</v>
      </c>
    </row>
    <row r="283" spans="8:65" s="1" customFormat="1" x14ac:dyDescent="0.25">
      <c r="H283">
        <v>2028</v>
      </c>
      <c r="I283" s="156">
        <f t="shared" si="1"/>
        <v>9.6209495459621177</v>
      </c>
    </row>
    <row r="284" spans="8:65" s="1" customFormat="1" x14ac:dyDescent="0.25">
      <c r="H284">
        <v>2029</v>
      </c>
      <c r="I284" s="156">
        <f t="shared" si="1"/>
        <v>8.4237476301021061</v>
      </c>
    </row>
    <row r="285" spans="8:65" s="1" customFormat="1" x14ac:dyDescent="0.25">
      <c r="H285">
        <v>2030</v>
      </c>
      <c r="I285" s="156">
        <f t="shared" si="1"/>
        <v>7.3755219063000226</v>
      </c>
    </row>
    <row r="286" spans="8:65" s="1" customFormat="1" x14ac:dyDescent="0.25">
      <c r="H286">
        <v>2031</v>
      </c>
      <c r="I286" s="156">
        <f t="shared" si="1"/>
        <v>6.4577342269751909</v>
      </c>
    </row>
    <row r="287" spans="8:65" s="1" customFormat="1" x14ac:dyDescent="0.25">
      <c r="H287">
        <v>2032</v>
      </c>
      <c r="I287" s="156">
        <f t="shared" si="1"/>
        <v>5.6541532756652204</v>
      </c>
    </row>
    <row r="288" spans="8:65" s="1" customFormat="1" x14ac:dyDescent="0.25">
      <c r="H288">
        <v>2033</v>
      </c>
      <c r="I288" s="156">
        <f t="shared" si="1"/>
        <v>4.9505675119259696</v>
      </c>
    </row>
    <row r="289" spans="3:9" s="1" customFormat="1" x14ac:dyDescent="0.25">
      <c r="C289" s="49"/>
      <c r="D289" s="49"/>
      <c r="E289" s="49"/>
      <c r="H289">
        <v>2034</v>
      </c>
      <c r="I289" s="156">
        <f t="shared" si="1"/>
        <v>4.3345338365015342</v>
      </c>
    </row>
    <row r="290" spans="3:9" s="1" customFormat="1" x14ac:dyDescent="0.25">
      <c r="C290" s="49"/>
      <c r="D290" s="49"/>
      <c r="E290" s="49"/>
      <c r="H290">
        <v>2035</v>
      </c>
      <c r="I290" s="156">
        <f t="shared" si="1"/>
        <v>3.7951575318417081</v>
      </c>
    </row>
    <row r="291" spans="3:9" s="1" customFormat="1" x14ac:dyDescent="0.25">
      <c r="C291" s="49"/>
      <c r="D291" s="49"/>
      <c r="E291" s="49"/>
      <c r="H291">
        <v>2036</v>
      </c>
      <c r="I291" s="156">
        <f t="shared" si="1"/>
        <v>3.3228995861570887</v>
      </c>
    </row>
    <row r="292" spans="3:9" s="1" customFormat="1" x14ac:dyDescent="0.25">
      <c r="H292">
        <v>2037</v>
      </c>
      <c r="I292" s="156">
        <f t="shared" si="1"/>
        <v>2.9094079934870769</v>
      </c>
    </row>
    <row r="293" spans="3:9" s="1" customFormat="1" x14ac:dyDescent="0.25">
      <c r="H293">
        <v>2038</v>
      </c>
      <c r="I293" s="156">
        <f t="shared" si="1"/>
        <v>2.547370046278111</v>
      </c>
    </row>
    <row r="294" spans="3:9" s="1" customFormat="1" x14ac:dyDescent="0.25">
      <c r="H294">
        <v>2039</v>
      </c>
      <c r="I294" s="156">
        <f t="shared" si="1"/>
        <v>2.2303830082275358</v>
      </c>
    </row>
    <row r="295" spans="3:9" s="1" customFormat="1" x14ac:dyDescent="0.25">
      <c r="H295">
        <v>2040</v>
      </c>
      <c r="I295" s="156">
        <f t="shared" si="1"/>
        <v>1.9528408802083423</v>
      </c>
    </row>
    <row r="296" spans="3:9" s="1" customFormat="1" x14ac:dyDescent="0.2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5" x14ac:dyDescent="0.25"/>
  <cols>
    <col min="1" max="1" width="44.140625" bestFit="1" customWidth="1"/>
    <col min="2" max="2" width="25.5703125" bestFit="1" customWidth="1"/>
    <col min="3" max="3" width="57.140625" bestFit="1" customWidth="1"/>
    <col min="4" max="4" width="15" bestFit="1" customWidth="1"/>
    <col min="5" max="8" width="5" bestFit="1" customWidth="1"/>
    <col min="9" max="9" width="10.42578125" customWidth="1"/>
    <col min="10" max="14" width="5" bestFit="1" customWidth="1"/>
    <col min="15" max="16" width="5.42578125" bestFit="1" customWidth="1"/>
    <col min="17" max="17" width="11.42578125" bestFit="1" customWidth="1"/>
    <col min="18" max="20" width="5.42578125" bestFit="1" customWidth="1"/>
    <col min="21" max="21" width="9.42578125" bestFit="1" customWidth="1"/>
    <col min="22" max="23" width="5.42578125" bestFit="1" customWidth="1"/>
    <col min="24" max="25" width="9.42578125" bestFit="1" customWidth="1"/>
    <col min="26" max="26" width="5.42578125" bestFit="1" customWidth="1"/>
    <col min="27" max="27" width="5" bestFit="1" customWidth="1"/>
    <col min="28" max="31" width="5.42578125" bestFit="1" customWidth="1"/>
    <col min="32" max="32" width="9.42578125" bestFit="1" customWidth="1"/>
    <col min="33" max="34" width="5" bestFit="1" customWidth="1"/>
    <col min="35" max="35" width="11.42578125" bestFit="1" customWidth="1"/>
    <col min="36" max="36" width="5" bestFit="1" customWidth="1"/>
    <col min="37" max="37" width="11.42578125" bestFit="1" customWidth="1"/>
    <col min="38" max="40" width="5" bestFit="1" customWidth="1"/>
    <col min="41" max="41" width="10.42578125" bestFit="1" customWidth="1"/>
    <col min="42" max="43" width="5" bestFit="1" customWidth="1"/>
    <col min="44" max="45" width="11.42578125" bestFit="1" customWidth="1"/>
    <col min="46" max="48" width="5" bestFit="1" customWidth="1"/>
    <col min="49" max="49" width="11.42578125" bestFit="1" customWidth="1"/>
    <col min="50" max="50" width="5" bestFit="1" customWidth="1"/>
    <col min="51" max="51" width="6.42578125" bestFit="1" customWidth="1"/>
    <col min="52" max="52" width="11.42578125" bestFit="1" customWidth="1"/>
    <col min="53" max="53" width="5" bestFit="1" customWidth="1"/>
    <col min="54" max="55" width="11.42578125" bestFit="1" customWidth="1"/>
    <col min="56" max="56" width="5" bestFit="1" customWidth="1"/>
    <col min="57" max="57" width="5.42578125" bestFit="1" customWidth="1"/>
    <col min="58" max="64" width="11.42578125" bestFit="1" customWidth="1"/>
    <col min="65" max="65" width="9.28515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1723</v>
      </c>
      <c r="D5" t="s">
        <v>1724</v>
      </c>
    </row>
    <row r="6" spans="1:65" hidden="1" x14ac:dyDescent="0.25">
      <c r="A6" t="s">
        <v>1354</v>
      </c>
      <c r="B6" t="s">
        <v>1355</v>
      </c>
      <c r="C6" t="s">
        <v>1723</v>
      </c>
      <c r="D6" t="s">
        <v>1724</v>
      </c>
      <c r="AI6">
        <v>14.358738254179832</v>
      </c>
      <c r="AS6">
        <v>20.753712385085958</v>
      </c>
      <c r="BC6">
        <v>23.992611756927229</v>
      </c>
      <c r="BJ6">
        <v>35.420131503789072</v>
      </c>
    </row>
    <row r="7" spans="1:65" hidden="1" x14ac:dyDescent="0.2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25">
      <c r="A8" t="s">
        <v>1357</v>
      </c>
      <c r="B8" t="s">
        <v>1358</v>
      </c>
      <c r="C8" t="s">
        <v>1723</v>
      </c>
      <c r="D8" t="s">
        <v>1724</v>
      </c>
      <c r="AI8">
        <v>3.7489882458819337</v>
      </c>
      <c r="AS8">
        <v>8.7280119132884924</v>
      </c>
      <c r="BC8">
        <v>12.577187944338032</v>
      </c>
      <c r="BJ8">
        <v>15.485747394646275</v>
      </c>
    </row>
    <row r="9" spans="1:65" hidden="1" x14ac:dyDescent="0.25">
      <c r="A9" t="s">
        <v>1078</v>
      </c>
      <c r="B9" t="s">
        <v>1359</v>
      </c>
      <c r="C9" t="s">
        <v>1723</v>
      </c>
      <c r="D9" t="s">
        <v>1724</v>
      </c>
      <c r="AO9">
        <v>4.0999999999999996</v>
      </c>
      <c r="AT9">
        <v>4.9000000000000004</v>
      </c>
      <c r="BI9">
        <v>12.5</v>
      </c>
    </row>
    <row r="10" spans="1:65" hidden="1" x14ac:dyDescent="0.25">
      <c r="A10" t="s">
        <v>1257</v>
      </c>
      <c r="B10" t="s">
        <v>1360</v>
      </c>
      <c r="C10" t="s">
        <v>1723</v>
      </c>
      <c r="D10" t="s">
        <v>1724</v>
      </c>
      <c r="AS10">
        <v>17.899999999999999</v>
      </c>
      <c r="AU10">
        <v>8</v>
      </c>
      <c r="AX10">
        <v>25</v>
      </c>
      <c r="BB10">
        <v>10.6</v>
      </c>
      <c r="BK10">
        <v>3.7</v>
      </c>
    </row>
    <row r="11" spans="1:65" hidden="1" x14ac:dyDescent="0.25">
      <c r="A11" t="s">
        <v>1361</v>
      </c>
      <c r="B11" t="s">
        <v>1362</v>
      </c>
      <c r="C11" t="s">
        <v>1723</v>
      </c>
      <c r="D11" t="s">
        <v>1724</v>
      </c>
    </row>
    <row r="12" spans="1:65" hidden="1" x14ac:dyDescent="0.25">
      <c r="A12" t="s">
        <v>1363</v>
      </c>
      <c r="B12" t="s">
        <v>1364</v>
      </c>
      <c r="C12" t="s">
        <v>1723</v>
      </c>
      <c r="D12" t="s">
        <v>1724</v>
      </c>
      <c r="AI12">
        <v>31.213033833706938</v>
      </c>
      <c r="AS12">
        <v>39.421917148558393</v>
      </c>
      <c r="BC12">
        <v>42.852282757414741</v>
      </c>
      <c r="BJ12">
        <v>38.737887619727374</v>
      </c>
    </row>
    <row r="13" spans="1:65" hidden="1" x14ac:dyDescent="0.25">
      <c r="A13" t="s">
        <v>1129</v>
      </c>
      <c r="B13" t="s">
        <v>1365</v>
      </c>
      <c r="C13" t="s">
        <v>1723</v>
      </c>
      <c r="D13" t="s">
        <v>1724</v>
      </c>
      <c r="AN13">
        <v>23.6</v>
      </c>
    </row>
    <row r="14" spans="1:65" hidden="1" x14ac:dyDescent="0.25">
      <c r="A14" t="s">
        <v>1199</v>
      </c>
      <c r="B14" t="s">
        <v>1366</v>
      </c>
      <c r="C14" t="s">
        <v>1723</v>
      </c>
      <c r="D14" t="s">
        <v>1724</v>
      </c>
      <c r="AT14">
        <v>63.8</v>
      </c>
      <c r="AX14">
        <v>69.900000000000006</v>
      </c>
      <c r="BE14">
        <v>53.5</v>
      </c>
      <c r="BF14">
        <v>78.2</v>
      </c>
    </row>
    <row r="15" spans="1:65" hidden="1" x14ac:dyDescent="0.25">
      <c r="A15" t="s">
        <v>1113</v>
      </c>
      <c r="B15" t="s">
        <v>1367</v>
      </c>
      <c r="C15" t="s">
        <v>1723</v>
      </c>
      <c r="D15" t="s">
        <v>1724</v>
      </c>
      <c r="AJ15">
        <v>25.2</v>
      </c>
      <c r="AS15">
        <v>22.3</v>
      </c>
      <c r="AX15">
        <v>19.5</v>
      </c>
      <c r="BC15">
        <v>26.8</v>
      </c>
      <c r="BH15">
        <v>28</v>
      </c>
      <c r="BI15">
        <v>28</v>
      </c>
    </row>
    <row r="16" spans="1:65" hidden="1" x14ac:dyDescent="0.25">
      <c r="A16" t="s">
        <v>1368</v>
      </c>
      <c r="B16" t="s">
        <v>1369</v>
      </c>
      <c r="C16" t="s">
        <v>1723</v>
      </c>
      <c r="D16" t="s">
        <v>1724</v>
      </c>
    </row>
    <row r="17" spans="1:65" hidden="1" x14ac:dyDescent="0.25">
      <c r="A17" t="s">
        <v>1172</v>
      </c>
      <c r="B17" t="s">
        <v>1370</v>
      </c>
      <c r="C17" t="s">
        <v>1723</v>
      </c>
      <c r="D17" t="s">
        <v>1724</v>
      </c>
      <c r="Z17">
        <v>44.6</v>
      </c>
      <c r="AG17">
        <v>50.6</v>
      </c>
    </row>
    <row r="18" spans="1:65" hidden="1" x14ac:dyDescent="0.2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25">
      <c r="A19" t="s">
        <v>1270</v>
      </c>
      <c r="B19" t="s">
        <v>1372</v>
      </c>
      <c r="C19" t="s">
        <v>1723</v>
      </c>
      <c r="D19" t="s">
        <v>1724</v>
      </c>
      <c r="AO19">
        <v>46.8</v>
      </c>
      <c r="BB19">
        <v>67.599999999999994</v>
      </c>
      <c r="BF19">
        <v>63</v>
      </c>
    </row>
    <row r="20" spans="1:65" hidden="1" x14ac:dyDescent="0.25">
      <c r="A20" t="s">
        <v>1114</v>
      </c>
      <c r="B20" t="s">
        <v>1373</v>
      </c>
      <c r="C20" t="s">
        <v>1723</v>
      </c>
      <c r="D20" t="s">
        <v>1724</v>
      </c>
      <c r="AS20">
        <v>16.7</v>
      </c>
      <c r="AT20">
        <v>11.9</v>
      </c>
      <c r="AY20">
        <v>14.3</v>
      </c>
      <c r="BD20">
        <v>13.9</v>
      </c>
    </row>
    <row r="21" spans="1:65" hidden="1" x14ac:dyDescent="0.2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2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25">
      <c r="A23" t="s">
        <v>1088</v>
      </c>
      <c r="B23" t="s">
        <v>1376</v>
      </c>
      <c r="C23" t="s">
        <v>1723</v>
      </c>
      <c r="D23" t="s">
        <v>1724</v>
      </c>
      <c r="AA23">
        <v>0.7</v>
      </c>
      <c r="AO23">
        <v>3.4</v>
      </c>
      <c r="AT23">
        <v>7.2</v>
      </c>
      <c r="AY23">
        <v>6.1</v>
      </c>
      <c r="BE23">
        <v>7.9</v>
      </c>
      <c r="BG23">
        <v>12.5</v>
      </c>
      <c r="BK23">
        <v>12</v>
      </c>
    </row>
    <row r="24" spans="1:65" hidden="1" x14ac:dyDescent="0.2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2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25">
      <c r="A26" t="s">
        <v>1235</v>
      </c>
      <c r="B26" t="s">
        <v>1379</v>
      </c>
      <c r="C26" t="s">
        <v>1723</v>
      </c>
      <c r="D26" t="s">
        <v>1724</v>
      </c>
      <c r="U26">
        <v>6</v>
      </c>
      <c r="AN26">
        <v>45.6</v>
      </c>
      <c r="AQ26">
        <v>39.6</v>
      </c>
      <c r="AX26">
        <v>36.799999999999997</v>
      </c>
      <c r="AZ26">
        <v>40.1</v>
      </c>
    </row>
    <row r="27" spans="1:65" hidden="1" x14ac:dyDescent="0.25">
      <c r="A27" t="s">
        <v>1115</v>
      </c>
      <c r="B27" t="s">
        <v>1380</v>
      </c>
      <c r="C27" t="s">
        <v>1723</v>
      </c>
      <c r="D27" t="s">
        <v>1724</v>
      </c>
      <c r="AH27">
        <v>30.3</v>
      </c>
      <c r="AN27">
        <v>30.6</v>
      </c>
    </row>
    <row r="28" spans="1:65" hidden="1" x14ac:dyDescent="0.25">
      <c r="A28" t="s">
        <v>1381</v>
      </c>
      <c r="B28" t="s">
        <v>1382</v>
      </c>
      <c r="C28" t="s">
        <v>1723</v>
      </c>
      <c r="D28" t="s">
        <v>1724</v>
      </c>
      <c r="AG28">
        <v>60.1</v>
      </c>
    </row>
    <row r="29" spans="1:65" hidden="1" x14ac:dyDescent="0.25">
      <c r="A29" t="s">
        <v>1258</v>
      </c>
      <c r="B29" t="s">
        <v>1383</v>
      </c>
      <c r="C29" t="s">
        <v>1723</v>
      </c>
      <c r="D29" t="s">
        <v>1724</v>
      </c>
      <c r="O29">
        <v>3.1</v>
      </c>
      <c r="AS29">
        <v>16.2</v>
      </c>
      <c r="AY29">
        <v>11.3</v>
      </c>
      <c r="BE29">
        <v>12</v>
      </c>
    </row>
    <row r="30" spans="1:65" hidden="1" x14ac:dyDescent="0.25">
      <c r="A30" t="s">
        <v>1234</v>
      </c>
      <c r="B30" t="s">
        <v>1384</v>
      </c>
      <c r="C30" t="s">
        <v>1723</v>
      </c>
      <c r="D30" t="s">
        <v>1724</v>
      </c>
      <c r="AN30">
        <v>42.1</v>
      </c>
      <c r="AX30">
        <v>56.5</v>
      </c>
      <c r="BE30">
        <v>52</v>
      </c>
      <c r="BJ30">
        <v>59.27</v>
      </c>
    </row>
    <row r="31" spans="1:65" hidden="1" x14ac:dyDescent="0.25">
      <c r="A31" t="s">
        <v>1190</v>
      </c>
      <c r="B31" t="s">
        <v>1385</v>
      </c>
      <c r="C31" t="s">
        <v>1723</v>
      </c>
      <c r="D31" t="s">
        <v>1724</v>
      </c>
      <c r="AJ31">
        <v>41.8</v>
      </c>
      <c r="AR31">
        <v>49.3</v>
      </c>
      <c r="AY31">
        <v>31.5</v>
      </c>
      <c r="BD31">
        <v>52</v>
      </c>
      <c r="BI31">
        <v>48.5</v>
      </c>
    </row>
    <row r="32" spans="1:65" hidden="1" x14ac:dyDescent="0.25">
      <c r="A32" t="s">
        <v>1386</v>
      </c>
      <c r="B32" t="s">
        <v>1387</v>
      </c>
      <c r="C32" t="s">
        <v>1723</v>
      </c>
      <c r="D32" t="s">
        <v>1724</v>
      </c>
    </row>
    <row r="33" spans="1:64" hidden="1" x14ac:dyDescent="0.25">
      <c r="A33" t="s">
        <v>1388</v>
      </c>
      <c r="B33" t="s">
        <v>1389</v>
      </c>
      <c r="C33" t="s">
        <v>1723</v>
      </c>
      <c r="D33" t="s">
        <v>1724</v>
      </c>
      <c r="AB33">
        <v>9.9</v>
      </c>
      <c r="AH33">
        <v>12.2</v>
      </c>
      <c r="AM33">
        <v>17.7</v>
      </c>
      <c r="AQ33">
        <v>25.2</v>
      </c>
      <c r="AS33">
        <v>30.5</v>
      </c>
      <c r="AV33">
        <v>34.9</v>
      </c>
      <c r="AW33">
        <v>34.9</v>
      </c>
      <c r="BA33">
        <v>34.5</v>
      </c>
      <c r="BI33">
        <v>45.1</v>
      </c>
    </row>
    <row r="34" spans="1:64" hidden="1" x14ac:dyDescent="0.25">
      <c r="A34" t="s">
        <v>1201</v>
      </c>
      <c r="B34" t="s">
        <v>1390</v>
      </c>
      <c r="C34" t="s">
        <v>1723</v>
      </c>
      <c r="D34" t="s">
        <v>1724</v>
      </c>
      <c r="AE34">
        <v>56.5</v>
      </c>
      <c r="AO34">
        <v>70.3</v>
      </c>
      <c r="AZ34">
        <v>77.099999999999994</v>
      </c>
      <c r="BF34">
        <v>77.7</v>
      </c>
    </row>
    <row r="35" spans="1:64" hidden="1" x14ac:dyDescent="0.25">
      <c r="A35" t="s">
        <v>1175</v>
      </c>
      <c r="B35" t="s">
        <v>1391</v>
      </c>
      <c r="C35" t="s">
        <v>1723</v>
      </c>
      <c r="D35" t="s">
        <v>1724</v>
      </c>
      <c r="Z35">
        <v>44.7</v>
      </c>
      <c r="AG35">
        <v>53.3</v>
      </c>
      <c r="BE35">
        <v>55.4</v>
      </c>
    </row>
    <row r="36" spans="1:64" hidden="1" x14ac:dyDescent="0.25">
      <c r="A36" t="s">
        <v>1159</v>
      </c>
      <c r="B36" t="s">
        <v>1392</v>
      </c>
      <c r="C36" t="s">
        <v>1723</v>
      </c>
      <c r="D36" t="s">
        <v>1724</v>
      </c>
    </row>
    <row r="37" spans="1:64" hidden="1" x14ac:dyDescent="0.25">
      <c r="A37" t="s">
        <v>1141</v>
      </c>
      <c r="B37" t="s">
        <v>1393</v>
      </c>
      <c r="C37" t="s">
        <v>1723</v>
      </c>
      <c r="D37" t="s">
        <v>1724</v>
      </c>
      <c r="AM37">
        <v>18.8</v>
      </c>
      <c r="AS37">
        <v>30.7</v>
      </c>
      <c r="AZ37">
        <v>35.4</v>
      </c>
      <c r="BC37">
        <v>65.400000000000006</v>
      </c>
    </row>
    <row r="38" spans="1:64" hidden="1" x14ac:dyDescent="0.25">
      <c r="A38" t="s">
        <v>580</v>
      </c>
      <c r="B38" t="s">
        <v>1394</v>
      </c>
      <c r="C38" t="s">
        <v>1723</v>
      </c>
      <c r="D38" t="s">
        <v>1724</v>
      </c>
      <c r="AC38">
        <v>18.600000000000001</v>
      </c>
      <c r="AG38">
        <v>31.7</v>
      </c>
      <c r="AO38">
        <v>46.508599498865998</v>
      </c>
      <c r="AS38">
        <v>42.1</v>
      </c>
      <c r="AZ38">
        <v>51.2</v>
      </c>
      <c r="BA38">
        <v>51.2</v>
      </c>
    </row>
    <row r="39" spans="1:64" hidden="1" x14ac:dyDescent="0.25">
      <c r="A39" t="s">
        <v>584</v>
      </c>
      <c r="B39" t="s">
        <v>1395</v>
      </c>
      <c r="C39" t="s">
        <v>1723</v>
      </c>
      <c r="D39" t="s">
        <v>1724</v>
      </c>
      <c r="AN39">
        <v>3.3</v>
      </c>
      <c r="AS39">
        <v>11.7</v>
      </c>
      <c r="AY39">
        <v>11.2</v>
      </c>
      <c r="BC39">
        <v>12.1</v>
      </c>
      <c r="BD39">
        <v>12.1</v>
      </c>
      <c r="BL39">
        <v>14.4</v>
      </c>
    </row>
    <row r="40" spans="1:64" hidden="1" x14ac:dyDescent="0.25">
      <c r="A40" t="s">
        <v>1278</v>
      </c>
      <c r="B40" t="s">
        <v>1396</v>
      </c>
      <c r="C40" t="s">
        <v>1723</v>
      </c>
      <c r="D40" t="s">
        <v>1724</v>
      </c>
      <c r="AC40">
        <v>69.7</v>
      </c>
      <c r="AN40">
        <v>73.3</v>
      </c>
      <c r="AQ40">
        <v>76</v>
      </c>
      <c r="AU40">
        <v>72</v>
      </c>
    </row>
    <row r="41" spans="1:64" hidden="1" x14ac:dyDescent="0.25">
      <c r="A41" t="s">
        <v>1397</v>
      </c>
      <c r="B41" t="s">
        <v>1398</v>
      </c>
      <c r="C41" t="s">
        <v>1723</v>
      </c>
      <c r="D41" t="s">
        <v>1724</v>
      </c>
    </row>
    <row r="42" spans="1:64" hidden="1" x14ac:dyDescent="0.25">
      <c r="A42" t="s">
        <v>1276</v>
      </c>
      <c r="B42" t="s">
        <v>1399</v>
      </c>
      <c r="C42" t="s">
        <v>1723</v>
      </c>
      <c r="D42" t="s">
        <v>1724</v>
      </c>
      <c r="Y42">
        <v>64.900000000000006</v>
      </c>
      <c r="AN42">
        <v>77.5</v>
      </c>
      <c r="BE42">
        <v>69.2</v>
      </c>
      <c r="BJ42">
        <v>67.3</v>
      </c>
    </row>
    <row r="43" spans="1:64" hidden="1" x14ac:dyDescent="0.25">
      <c r="A43" t="s">
        <v>1245</v>
      </c>
      <c r="B43" t="s">
        <v>1400</v>
      </c>
      <c r="C43" t="s">
        <v>1723</v>
      </c>
      <c r="D43" t="s">
        <v>1724</v>
      </c>
    </row>
    <row r="44" spans="1:64" hidden="1" x14ac:dyDescent="0.25">
      <c r="A44" t="s">
        <v>1202</v>
      </c>
      <c r="B44" t="s">
        <v>1401</v>
      </c>
      <c r="C44" t="s">
        <v>1723</v>
      </c>
      <c r="D44" t="s">
        <v>1724</v>
      </c>
      <c r="AT44">
        <v>57.9</v>
      </c>
      <c r="AY44">
        <v>64.2</v>
      </c>
      <c r="BI44">
        <v>69.844748571179693</v>
      </c>
    </row>
    <row r="45" spans="1:64" hidden="1" x14ac:dyDescent="0.2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2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25">
      <c r="A47" t="s">
        <v>1079</v>
      </c>
      <c r="B47" t="s">
        <v>1405</v>
      </c>
      <c r="C47" t="s">
        <v>1723</v>
      </c>
      <c r="D47" t="s">
        <v>1724</v>
      </c>
      <c r="W47">
        <v>0.6</v>
      </c>
      <c r="AJ47">
        <v>4.3</v>
      </c>
      <c r="AQ47">
        <v>7.1</v>
      </c>
      <c r="AS47">
        <v>11.1</v>
      </c>
      <c r="AW47">
        <v>13.1</v>
      </c>
      <c r="AY47">
        <v>15.2</v>
      </c>
      <c r="BD47">
        <v>14.4</v>
      </c>
      <c r="BG47">
        <v>21</v>
      </c>
      <c r="BK47">
        <v>15</v>
      </c>
    </row>
    <row r="48" spans="1:64" hidden="1" x14ac:dyDescent="0.2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25">
      <c r="A49" t="s">
        <v>1408</v>
      </c>
      <c r="B49" t="s">
        <v>1409</v>
      </c>
      <c r="C49" t="s">
        <v>1723</v>
      </c>
      <c r="D49" t="s">
        <v>1724</v>
      </c>
      <c r="AX49">
        <v>12.7</v>
      </c>
      <c r="BE49">
        <v>20</v>
      </c>
      <c r="BH49">
        <v>18.5</v>
      </c>
    </row>
    <row r="50" spans="1:64" hidden="1" x14ac:dyDescent="0.2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25">
      <c r="A51" t="s">
        <v>1067</v>
      </c>
      <c r="B51" t="s">
        <v>1411</v>
      </c>
      <c r="C51" t="s">
        <v>1723</v>
      </c>
      <c r="D51" t="s">
        <v>1724</v>
      </c>
      <c r="AO51">
        <v>11.4</v>
      </c>
      <c r="AS51">
        <v>20.9</v>
      </c>
      <c r="BE51">
        <v>14.2</v>
      </c>
    </row>
    <row r="52" spans="1:64" hidden="1" x14ac:dyDescent="0.25">
      <c r="A52" t="s">
        <v>1090</v>
      </c>
      <c r="B52" t="s">
        <v>1412</v>
      </c>
      <c r="C52" t="s">
        <v>1723</v>
      </c>
      <c r="D52" t="s">
        <v>1724</v>
      </c>
      <c r="AH52">
        <v>19</v>
      </c>
      <c r="AQ52">
        <v>46</v>
      </c>
      <c r="AX52">
        <v>57.1</v>
      </c>
      <c r="BK52">
        <v>54.7</v>
      </c>
    </row>
    <row r="53" spans="1:64" hidden="1" x14ac:dyDescent="0.2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25">
      <c r="A54" t="s">
        <v>1414</v>
      </c>
      <c r="B54" t="s">
        <v>1415</v>
      </c>
      <c r="C54" t="s">
        <v>1723</v>
      </c>
      <c r="D54" t="s">
        <v>1724</v>
      </c>
      <c r="AI54">
        <v>48.520713335264219</v>
      </c>
      <c r="BC54">
        <v>54.554142163060199</v>
      </c>
    </row>
    <row r="55" spans="1:64" hidden="1" x14ac:dyDescent="0.25">
      <c r="A55" t="s">
        <v>1176</v>
      </c>
      <c r="B55" t="s">
        <v>1416</v>
      </c>
      <c r="C55" t="s">
        <v>1723</v>
      </c>
      <c r="D55" t="s">
        <v>1724</v>
      </c>
      <c r="AF55">
        <v>67</v>
      </c>
      <c r="AS55">
        <v>72.2</v>
      </c>
      <c r="AY55">
        <v>71.599999999999994</v>
      </c>
      <c r="BD55">
        <v>73.2</v>
      </c>
      <c r="BG55">
        <v>72.2</v>
      </c>
      <c r="BL55">
        <v>67.940551779009098</v>
      </c>
    </row>
    <row r="56" spans="1:64" hidden="1" x14ac:dyDescent="0.25">
      <c r="A56" t="s">
        <v>1417</v>
      </c>
      <c r="B56" t="s">
        <v>1418</v>
      </c>
      <c r="C56" t="s">
        <v>1723</v>
      </c>
      <c r="D56" t="s">
        <v>1724</v>
      </c>
    </row>
    <row r="57" spans="1:64" hidden="1" x14ac:dyDescent="0.25">
      <c r="A57" t="s">
        <v>1419</v>
      </c>
      <c r="B57" t="s">
        <v>1420</v>
      </c>
      <c r="C57" t="s">
        <v>1723</v>
      </c>
      <c r="D57" t="s">
        <v>1724</v>
      </c>
    </row>
    <row r="58" spans="1:64" hidden="1" x14ac:dyDescent="0.25">
      <c r="A58" t="s">
        <v>1116</v>
      </c>
      <c r="B58" t="s">
        <v>1421</v>
      </c>
      <c r="C58" t="s">
        <v>1723</v>
      </c>
      <c r="D58" t="s">
        <v>1724</v>
      </c>
    </row>
    <row r="59" spans="1:64" hidden="1" x14ac:dyDescent="0.25">
      <c r="A59" t="s">
        <v>1422</v>
      </c>
      <c r="B59" t="s">
        <v>1423</v>
      </c>
      <c r="C59" t="s">
        <v>1723</v>
      </c>
      <c r="D59" t="s">
        <v>1724</v>
      </c>
      <c r="O59">
        <v>24.3</v>
      </c>
      <c r="V59">
        <v>49.3</v>
      </c>
      <c r="AJ59">
        <v>53</v>
      </c>
      <c r="AL59">
        <v>44.9</v>
      </c>
      <c r="AP59">
        <v>62.6</v>
      </c>
      <c r="AX59">
        <v>69.900000000000006</v>
      </c>
      <c r="BA59">
        <v>77.599999999999994</v>
      </c>
    </row>
    <row r="60" spans="1:64" hidden="1" x14ac:dyDescent="0.25">
      <c r="A60" t="s">
        <v>1273</v>
      </c>
      <c r="B60" t="s">
        <v>1424</v>
      </c>
      <c r="C60" t="s">
        <v>1723</v>
      </c>
      <c r="D60" t="s">
        <v>1724</v>
      </c>
      <c r="P60">
        <v>48.25</v>
      </c>
      <c r="Q60">
        <v>60.580071729299902</v>
      </c>
      <c r="AD60">
        <v>67.599999999999994</v>
      </c>
      <c r="AK60">
        <v>65.599999999999994</v>
      </c>
      <c r="AX60">
        <v>61.6</v>
      </c>
      <c r="BA60">
        <v>49.2</v>
      </c>
      <c r="BD60">
        <v>80.2</v>
      </c>
    </row>
    <row r="61" spans="1:64" hidden="1" x14ac:dyDescent="0.25">
      <c r="A61" t="s">
        <v>1068</v>
      </c>
      <c r="B61" t="s">
        <v>1425</v>
      </c>
      <c r="C61" t="s">
        <v>1723</v>
      </c>
      <c r="D61" t="s">
        <v>1724</v>
      </c>
      <c r="AU61">
        <v>5.8</v>
      </c>
      <c r="AY61">
        <v>17.100000000000001</v>
      </c>
      <c r="BE61">
        <v>18</v>
      </c>
    </row>
    <row r="62" spans="1:64" hidden="1" x14ac:dyDescent="0.25">
      <c r="A62" t="s">
        <v>1426</v>
      </c>
      <c r="B62" t="s">
        <v>1427</v>
      </c>
      <c r="C62" t="s">
        <v>1723</v>
      </c>
      <c r="D62" t="s">
        <v>1724</v>
      </c>
      <c r="Z62">
        <v>57.5</v>
      </c>
      <c r="AA62">
        <v>57.5</v>
      </c>
      <c r="AF62">
        <v>47.9</v>
      </c>
    </row>
    <row r="63" spans="1:64" hidden="1" x14ac:dyDescent="0.25">
      <c r="A63" t="s">
        <v>1246</v>
      </c>
      <c r="B63" t="s">
        <v>1428</v>
      </c>
      <c r="C63" t="s">
        <v>1723</v>
      </c>
      <c r="D63" t="s">
        <v>1724</v>
      </c>
      <c r="O63">
        <v>54</v>
      </c>
      <c r="T63">
        <v>59.9</v>
      </c>
      <c r="AG63">
        <v>72</v>
      </c>
    </row>
    <row r="64" spans="1:64" hidden="1" x14ac:dyDescent="0.2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25">
      <c r="A65" t="s">
        <v>1105</v>
      </c>
      <c r="B65" t="s">
        <v>1430</v>
      </c>
      <c r="C65" t="s">
        <v>1723</v>
      </c>
      <c r="D65" t="s">
        <v>1724</v>
      </c>
      <c r="AF65">
        <v>31.3</v>
      </c>
      <c r="AK65">
        <v>43.2</v>
      </c>
      <c r="AN65">
        <v>49.4</v>
      </c>
      <c r="AS65">
        <v>55</v>
      </c>
      <c r="AU65">
        <v>51.8</v>
      </c>
      <c r="AY65">
        <v>53.9</v>
      </c>
      <c r="BE65">
        <v>48</v>
      </c>
      <c r="BF65">
        <v>49.5</v>
      </c>
    </row>
    <row r="66" spans="1:66" hidden="1" x14ac:dyDescent="0.25">
      <c r="A66" t="s">
        <v>1431</v>
      </c>
      <c r="B66" t="s">
        <v>1432</v>
      </c>
      <c r="C66" t="s">
        <v>1723</v>
      </c>
      <c r="D66" t="s">
        <v>1724</v>
      </c>
      <c r="AI66">
        <v>74.041920026887112</v>
      </c>
      <c r="AS66">
        <v>76.099559041395096</v>
      </c>
      <c r="BJ66">
        <v>71.47623154765823</v>
      </c>
    </row>
    <row r="67" spans="1:66" hidden="1" x14ac:dyDescent="0.25">
      <c r="A67" t="s">
        <v>1433</v>
      </c>
      <c r="B67" t="s">
        <v>1434</v>
      </c>
      <c r="C67" t="s">
        <v>1723</v>
      </c>
      <c r="D67" t="s">
        <v>1724</v>
      </c>
      <c r="AI67">
        <v>36.452204123392384</v>
      </c>
      <c r="AS67">
        <v>42.237641915320637</v>
      </c>
      <c r="BC67">
        <v>48.025769068213073</v>
      </c>
      <c r="BJ67">
        <v>47.796847729428798</v>
      </c>
    </row>
    <row r="68" spans="1:66" hidden="1" x14ac:dyDescent="0.25">
      <c r="A68" t="s">
        <v>1435</v>
      </c>
      <c r="B68" t="s">
        <v>1436</v>
      </c>
      <c r="C68" t="s">
        <v>1723</v>
      </c>
      <c r="D68" t="s">
        <v>1724</v>
      </c>
      <c r="AI68">
        <v>72.39990793700818</v>
      </c>
      <c r="AS68">
        <v>74.489572537257885</v>
      </c>
      <c r="BJ68">
        <v>69.644356251152942</v>
      </c>
    </row>
    <row r="69" spans="1:66" hidden="1" x14ac:dyDescent="0.25">
      <c r="A69" t="s">
        <v>1437</v>
      </c>
      <c r="B69" t="s">
        <v>1438</v>
      </c>
      <c r="C69" t="s">
        <v>1723</v>
      </c>
      <c r="D69" t="s">
        <v>1724</v>
      </c>
      <c r="BC69">
        <v>46.865159036736408</v>
      </c>
    </row>
    <row r="70" spans="1:66" hidden="1" x14ac:dyDescent="0.25">
      <c r="A70" t="s">
        <v>1439</v>
      </c>
      <c r="B70" t="s">
        <v>1440</v>
      </c>
      <c r="C70" t="s">
        <v>1723</v>
      </c>
      <c r="D70" t="s">
        <v>1724</v>
      </c>
      <c r="BC70">
        <v>58.298965991139319</v>
      </c>
    </row>
    <row r="71" spans="1:66" hidden="1" x14ac:dyDescent="0.25">
      <c r="A71" t="s">
        <v>1204</v>
      </c>
      <c r="B71" t="s">
        <v>1441</v>
      </c>
      <c r="C71" t="s">
        <v>1723</v>
      </c>
      <c r="D71" t="s">
        <v>1724</v>
      </c>
      <c r="X71">
        <v>25.8</v>
      </c>
      <c r="AA71">
        <v>32.9</v>
      </c>
      <c r="AF71">
        <v>35.799999999999997</v>
      </c>
      <c r="AH71">
        <v>41.6</v>
      </c>
      <c r="AM71">
        <v>45.9</v>
      </c>
      <c r="AR71">
        <v>51.4</v>
      </c>
      <c r="AW71">
        <v>58.7</v>
      </c>
      <c r="BE71">
        <v>71.7</v>
      </c>
    </row>
    <row r="72" spans="1:66" hidden="1" x14ac:dyDescent="0.2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25">
      <c r="A73" t="s">
        <v>1444</v>
      </c>
      <c r="B73" t="s">
        <v>1445</v>
      </c>
      <c r="C73" t="s">
        <v>1723</v>
      </c>
      <c r="D73" t="s">
        <v>1724</v>
      </c>
    </row>
    <row r="74" spans="1:66" hidden="1" x14ac:dyDescent="0.25">
      <c r="A74" t="s">
        <v>592</v>
      </c>
      <c r="B74" t="s">
        <v>1446</v>
      </c>
      <c r="C74" t="s">
        <v>1723</v>
      </c>
      <c r="D74" t="s">
        <v>1724</v>
      </c>
      <c r="AN74">
        <v>4</v>
      </c>
      <c r="AO74">
        <v>4</v>
      </c>
      <c r="AU74">
        <v>7.2</v>
      </c>
      <c r="BC74">
        <v>7</v>
      </c>
    </row>
    <row r="75" spans="1:66" hidden="1" x14ac:dyDescent="0.2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25">
      <c r="A76" t="s">
        <v>1247</v>
      </c>
      <c r="B76" t="s">
        <v>1448</v>
      </c>
      <c r="C76" t="s">
        <v>1723</v>
      </c>
      <c r="D76" t="s">
        <v>1724</v>
      </c>
      <c r="AM76">
        <v>56.4</v>
      </c>
      <c r="AX76">
        <v>57.9</v>
      </c>
    </row>
    <row r="77" spans="1:66" x14ac:dyDescent="0.2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25">
      <c r="A78" t="s">
        <v>1449</v>
      </c>
      <c r="B78" t="s">
        <v>1450</v>
      </c>
      <c r="C78" t="s">
        <v>1723</v>
      </c>
      <c r="D78" t="s">
        <v>1724</v>
      </c>
      <c r="BN78" s="86"/>
    </row>
    <row r="79" spans="1:66" hidden="1" x14ac:dyDescent="0.25">
      <c r="A79" t="s">
        <v>1451</v>
      </c>
      <c r="B79" t="s">
        <v>1452</v>
      </c>
      <c r="C79" t="s">
        <v>1723</v>
      </c>
      <c r="D79" t="s">
        <v>1724</v>
      </c>
      <c r="AI79">
        <v>6.9706743775684634</v>
      </c>
      <c r="AS79">
        <v>17.056998932717931</v>
      </c>
      <c r="BC79">
        <v>20.144738028522603</v>
      </c>
      <c r="BJ79">
        <v>24.066766901603117</v>
      </c>
      <c r="BN79" s="86"/>
    </row>
    <row r="80" spans="1:66" hidden="1" x14ac:dyDescent="0.2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25">
      <c r="A81" t="s">
        <v>1217</v>
      </c>
      <c r="B81" t="s">
        <v>1454</v>
      </c>
      <c r="C81" t="s">
        <v>1723</v>
      </c>
      <c r="D81" t="s">
        <v>1724</v>
      </c>
      <c r="S81">
        <v>35.1</v>
      </c>
      <c r="BN81" s="86"/>
    </row>
    <row r="82" spans="1:66" hidden="1" x14ac:dyDescent="0.2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25">
      <c r="A83" t="s">
        <v>1456</v>
      </c>
      <c r="B83" t="s">
        <v>1457</v>
      </c>
      <c r="C83" t="s">
        <v>1723</v>
      </c>
      <c r="D83" t="s">
        <v>1724</v>
      </c>
      <c r="BN83" s="86"/>
    </row>
    <row r="84" spans="1:66" hidden="1" x14ac:dyDescent="0.25">
      <c r="A84" t="s">
        <v>1458</v>
      </c>
      <c r="B84" t="s">
        <v>1459</v>
      </c>
      <c r="C84" t="s">
        <v>1723</v>
      </c>
      <c r="D84" t="s">
        <v>1724</v>
      </c>
      <c r="BN84" s="86"/>
    </row>
    <row r="85" spans="1:66" hidden="1" x14ac:dyDescent="0.25">
      <c r="A85" t="s">
        <v>1083</v>
      </c>
      <c r="B85" t="s">
        <v>1460</v>
      </c>
      <c r="C85" t="s">
        <v>1723</v>
      </c>
      <c r="D85" t="s">
        <v>1724</v>
      </c>
      <c r="AS85">
        <v>13.4</v>
      </c>
      <c r="BE85">
        <v>19.399999999999999</v>
      </c>
      <c r="BN85" s="86"/>
    </row>
    <row r="86" spans="1:66" hidden="1" x14ac:dyDescent="0.2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25">
      <c r="A87" t="s">
        <v>1117</v>
      </c>
      <c r="B87" t="s">
        <v>1462</v>
      </c>
      <c r="C87" t="s">
        <v>1723</v>
      </c>
      <c r="D87" t="s">
        <v>1724</v>
      </c>
      <c r="AR87">
        <v>19.8</v>
      </c>
      <c r="AS87">
        <v>19.8</v>
      </c>
      <c r="AX87">
        <v>19.8</v>
      </c>
      <c r="AY87">
        <v>31.1</v>
      </c>
      <c r="BB87">
        <v>26.7</v>
      </c>
      <c r="BC87">
        <v>34.700000000000003</v>
      </c>
      <c r="BK87">
        <v>32.700000000000003</v>
      </c>
      <c r="BN87" s="86"/>
    </row>
    <row r="88" spans="1:66" hidden="1" x14ac:dyDescent="0.2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25">
      <c r="A89" t="s">
        <v>1464</v>
      </c>
      <c r="B89" t="s">
        <v>1465</v>
      </c>
      <c r="C89" t="s">
        <v>1723</v>
      </c>
      <c r="D89" t="s">
        <v>1724</v>
      </c>
      <c r="BN89" s="86"/>
    </row>
    <row r="90" spans="1:66" hidden="1" x14ac:dyDescent="0.25">
      <c r="A90" t="s">
        <v>1093</v>
      </c>
      <c r="B90" t="s">
        <v>1466</v>
      </c>
      <c r="C90" t="s">
        <v>1723</v>
      </c>
      <c r="D90" t="s">
        <v>1724</v>
      </c>
      <c r="AK90">
        <v>1</v>
      </c>
      <c r="AL90">
        <v>1</v>
      </c>
      <c r="AR90">
        <v>4.2</v>
      </c>
      <c r="AX90">
        <v>5.7</v>
      </c>
      <c r="BE90">
        <v>4.5999999999999996</v>
      </c>
      <c r="BI90">
        <v>7.8</v>
      </c>
      <c r="BK90">
        <v>10.3</v>
      </c>
      <c r="BN90" s="86"/>
    </row>
    <row r="91" spans="1:66" hidden="1" x14ac:dyDescent="0.25">
      <c r="A91" t="s">
        <v>1467</v>
      </c>
      <c r="B91" t="s">
        <v>1468</v>
      </c>
      <c r="C91" t="s">
        <v>1723</v>
      </c>
      <c r="D91" t="s">
        <v>1724</v>
      </c>
      <c r="AI91">
        <v>6.7</v>
      </c>
      <c r="AS91">
        <v>8.6999999999999993</v>
      </c>
      <c r="AT91">
        <v>12.7</v>
      </c>
      <c r="BC91">
        <v>8.5</v>
      </c>
      <c r="BF91">
        <v>8.1</v>
      </c>
      <c r="BK91">
        <v>16.3</v>
      </c>
      <c r="BM91">
        <v>17.100000000000001</v>
      </c>
      <c r="BN91" s="86"/>
    </row>
    <row r="92" spans="1:66" hidden="1" x14ac:dyDescent="0.25">
      <c r="A92" t="s">
        <v>1094</v>
      </c>
      <c r="B92" t="s">
        <v>1469</v>
      </c>
      <c r="C92" t="s">
        <v>1723</v>
      </c>
      <c r="D92" t="s">
        <v>1724</v>
      </c>
      <c r="AS92">
        <v>4.5</v>
      </c>
      <c r="AY92">
        <v>9.6</v>
      </c>
      <c r="BC92">
        <v>13.1</v>
      </c>
      <c r="BG92">
        <v>14.4</v>
      </c>
      <c r="BL92">
        <v>20.2</v>
      </c>
      <c r="BN92" s="86"/>
    </row>
    <row r="93" spans="1:66" hidden="1" x14ac:dyDescent="0.25">
      <c r="A93" t="s">
        <v>1082</v>
      </c>
      <c r="B93" t="s">
        <v>1470</v>
      </c>
      <c r="C93" t="s">
        <v>1723</v>
      </c>
      <c r="D93" t="s">
        <v>1724</v>
      </c>
      <c r="AS93">
        <v>6.5</v>
      </c>
      <c r="BD93">
        <v>9.5</v>
      </c>
      <c r="BN93" s="86"/>
    </row>
    <row r="94" spans="1:66" hidden="1" x14ac:dyDescent="0.25">
      <c r="A94" t="s">
        <v>1260</v>
      </c>
      <c r="B94" t="s">
        <v>1471</v>
      </c>
      <c r="C94" t="s">
        <v>1723</v>
      </c>
      <c r="D94" t="s">
        <v>1724</v>
      </c>
      <c r="AB94">
        <v>31.6</v>
      </c>
      <c r="AR94">
        <v>33.6</v>
      </c>
      <c r="AT94">
        <v>45.9</v>
      </c>
      <c r="BN94" s="86"/>
    </row>
    <row r="95" spans="1:66" hidden="1" x14ac:dyDescent="0.25">
      <c r="A95" t="s">
        <v>1179</v>
      </c>
      <c r="B95" t="s">
        <v>1472</v>
      </c>
      <c r="C95" t="s">
        <v>1723</v>
      </c>
      <c r="D95" t="s">
        <v>1724</v>
      </c>
      <c r="AD95">
        <v>27.3</v>
      </c>
      <c r="AI95">
        <v>52.1</v>
      </c>
      <c r="BN95" s="86"/>
    </row>
    <row r="96" spans="1:66" hidden="1" x14ac:dyDescent="0.25">
      <c r="A96" t="s">
        <v>1473</v>
      </c>
      <c r="B96" t="s">
        <v>1474</v>
      </c>
      <c r="C96" t="s">
        <v>1723</v>
      </c>
      <c r="D96" t="s">
        <v>1724</v>
      </c>
      <c r="BN96" s="86"/>
    </row>
    <row r="97" spans="1:66" hidden="1" x14ac:dyDescent="0.25">
      <c r="A97" t="s">
        <v>1193</v>
      </c>
      <c r="B97" t="s">
        <v>1475</v>
      </c>
      <c r="C97" t="s">
        <v>1723</v>
      </c>
      <c r="D97" t="s">
        <v>1724</v>
      </c>
      <c r="W97">
        <v>15.2</v>
      </c>
      <c r="AB97">
        <v>20.6</v>
      </c>
      <c r="AF97">
        <v>19.100000000000001</v>
      </c>
      <c r="AN97">
        <v>26.9</v>
      </c>
      <c r="AR97">
        <v>30.9</v>
      </c>
      <c r="AU97">
        <v>34.5</v>
      </c>
      <c r="BB97">
        <v>44</v>
      </c>
      <c r="BH97">
        <v>48.9</v>
      </c>
      <c r="BN97" s="86"/>
    </row>
    <row r="98" spans="1:66" hidden="1" x14ac:dyDescent="0.25">
      <c r="A98" t="s">
        <v>1223</v>
      </c>
      <c r="B98" t="s">
        <v>1476</v>
      </c>
      <c r="C98" t="s">
        <v>1723</v>
      </c>
      <c r="D98" t="s">
        <v>1724</v>
      </c>
      <c r="AU98">
        <v>58.3</v>
      </c>
      <c r="BN98" s="86"/>
    </row>
    <row r="99" spans="1:66" hidden="1" x14ac:dyDescent="0.25">
      <c r="A99" t="s">
        <v>1206</v>
      </c>
      <c r="B99" t="s">
        <v>1477</v>
      </c>
      <c r="C99" t="s">
        <v>1723</v>
      </c>
      <c r="D99" t="s">
        <v>1724</v>
      </c>
      <c r="T99">
        <v>23.4</v>
      </c>
      <c r="AK99">
        <v>36.9</v>
      </c>
      <c r="AS99">
        <v>36.299999999999997</v>
      </c>
      <c r="AX99">
        <v>33.6</v>
      </c>
      <c r="AY99">
        <v>33</v>
      </c>
      <c r="AZ99">
        <v>33</v>
      </c>
      <c r="BB99">
        <v>40</v>
      </c>
      <c r="BG99">
        <v>32.5</v>
      </c>
      <c r="BN99" s="86"/>
    </row>
    <row r="100" spans="1:66" hidden="1" x14ac:dyDescent="0.25">
      <c r="A100" t="s">
        <v>1478</v>
      </c>
      <c r="B100" t="s">
        <v>1479</v>
      </c>
      <c r="C100" t="s">
        <v>1723</v>
      </c>
      <c r="D100" t="s">
        <v>1724</v>
      </c>
      <c r="AI100">
        <v>62.358209176801232</v>
      </c>
      <c r="AS100">
        <v>66.623126410012702</v>
      </c>
      <c r="BN100" s="86"/>
    </row>
    <row r="101" spans="1:66" hidden="1" x14ac:dyDescent="0.2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2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25">
      <c r="A103" t="s">
        <v>1483</v>
      </c>
      <c r="B103" t="s">
        <v>1484</v>
      </c>
      <c r="C103" t="s">
        <v>1723</v>
      </c>
      <c r="D103" t="s">
        <v>1724</v>
      </c>
      <c r="AI103">
        <v>5.5597444521443471</v>
      </c>
      <c r="AS103">
        <v>12.139790619301492</v>
      </c>
      <c r="BC103">
        <v>20.22477169081025</v>
      </c>
      <c r="BJ103">
        <v>26.686730700532966</v>
      </c>
      <c r="BN103" s="86"/>
    </row>
    <row r="104" spans="1:66" hidden="1" x14ac:dyDescent="0.25">
      <c r="A104" t="s">
        <v>1259</v>
      </c>
      <c r="B104" t="s">
        <v>1485</v>
      </c>
      <c r="C104" t="s">
        <v>1723</v>
      </c>
      <c r="D104" t="s">
        <v>1724</v>
      </c>
      <c r="O104">
        <v>7</v>
      </c>
      <c r="BN104" s="86"/>
    </row>
    <row r="105" spans="1:66" hidden="1" x14ac:dyDescent="0.2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2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25">
      <c r="A107" t="s">
        <v>1488</v>
      </c>
      <c r="B107" t="s">
        <v>1489</v>
      </c>
      <c r="C107" t="s">
        <v>1723</v>
      </c>
      <c r="D107" t="s">
        <v>1724</v>
      </c>
      <c r="AI107">
        <v>59.544368418512754</v>
      </c>
      <c r="AS107">
        <v>61.769007454525742</v>
      </c>
      <c r="BJ107">
        <v>61.169515606261442</v>
      </c>
      <c r="BN107" s="86"/>
    </row>
    <row r="108" spans="1:66" hidden="1" x14ac:dyDescent="0.25">
      <c r="A108" t="s">
        <v>1490</v>
      </c>
      <c r="B108" t="s">
        <v>1491</v>
      </c>
      <c r="C108" t="s">
        <v>1723</v>
      </c>
      <c r="D108" t="s">
        <v>1724</v>
      </c>
      <c r="AI108">
        <v>51.333503465717193</v>
      </c>
      <c r="AS108">
        <v>53.476094893081004</v>
      </c>
      <c r="BC108">
        <v>44.534836559611563</v>
      </c>
      <c r="BJ108">
        <v>53.353280864362901</v>
      </c>
      <c r="BN108" s="86"/>
    </row>
    <row r="109" spans="1:66" hidden="1" x14ac:dyDescent="0.25">
      <c r="A109" t="s">
        <v>1492</v>
      </c>
      <c r="B109" t="s">
        <v>1493</v>
      </c>
      <c r="C109" t="s">
        <v>1723</v>
      </c>
      <c r="D109" t="s">
        <v>1724</v>
      </c>
      <c r="AI109">
        <v>11.898754124018946</v>
      </c>
      <c r="AS109">
        <v>21.840676772838354</v>
      </c>
      <c r="BC109">
        <v>26.817318363299293</v>
      </c>
      <c r="BJ109">
        <v>31.342561968024381</v>
      </c>
      <c r="BN109" s="86"/>
    </row>
    <row r="110" spans="1:66" hidden="1" x14ac:dyDescent="0.25">
      <c r="A110" t="s">
        <v>1494</v>
      </c>
      <c r="B110" t="s">
        <v>1495</v>
      </c>
      <c r="C110" t="s">
        <v>1723</v>
      </c>
      <c r="D110" t="s">
        <v>1724</v>
      </c>
      <c r="AI110">
        <v>8.8016008142949218</v>
      </c>
      <c r="AS110">
        <v>21.405928214563129</v>
      </c>
      <c r="BC110">
        <v>20.735152966124531</v>
      </c>
      <c r="BJ110">
        <v>23.822484829020137</v>
      </c>
      <c r="BN110" s="86"/>
    </row>
    <row r="111" spans="1:66" hidden="1" x14ac:dyDescent="0.2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25">
      <c r="A112" t="s">
        <v>1497</v>
      </c>
      <c r="B112" t="s">
        <v>1498</v>
      </c>
      <c r="C112" t="s">
        <v>1723</v>
      </c>
      <c r="D112" t="s">
        <v>1724</v>
      </c>
      <c r="AI112">
        <v>13.71379372190542</v>
      </c>
      <c r="AS112">
        <v>22.064417746598192</v>
      </c>
      <c r="BC112">
        <v>29.696910692493006</v>
      </c>
      <c r="BJ112">
        <v>35.067694960697722</v>
      </c>
      <c r="BN112" s="86"/>
    </row>
    <row r="113" spans="1:66" hidden="1" x14ac:dyDescent="0.25">
      <c r="A113" t="s">
        <v>1499</v>
      </c>
      <c r="B113" t="s">
        <v>1500</v>
      </c>
      <c r="C113" t="s">
        <v>1723</v>
      </c>
      <c r="D113" t="s">
        <v>1724</v>
      </c>
      <c r="BN113" s="86"/>
    </row>
    <row r="114" spans="1:66" hidden="1" x14ac:dyDescent="0.2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25">
      <c r="A115" t="s">
        <v>1502</v>
      </c>
      <c r="B115" t="s">
        <v>1503</v>
      </c>
      <c r="C115" t="s">
        <v>1723</v>
      </c>
      <c r="D115" t="s">
        <v>1724</v>
      </c>
      <c r="BN115" s="86"/>
    </row>
    <row r="116" spans="1:66" hidden="1" x14ac:dyDescent="0.25">
      <c r="A116" t="s">
        <v>1250</v>
      </c>
      <c r="B116" t="s">
        <v>1504</v>
      </c>
      <c r="C116" t="s">
        <v>1723</v>
      </c>
      <c r="D116" t="s">
        <v>1724</v>
      </c>
      <c r="AQ116">
        <v>67.599999999999994</v>
      </c>
      <c r="AU116">
        <v>66</v>
      </c>
      <c r="AW116">
        <v>69.880952380952394</v>
      </c>
      <c r="AX116">
        <v>61.4</v>
      </c>
      <c r="BC116">
        <v>70.906949352178998</v>
      </c>
      <c r="BN116" s="86"/>
    </row>
    <row r="117" spans="1:66" hidden="1" x14ac:dyDescent="0.2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25">
      <c r="A118" t="s">
        <v>1118</v>
      </c>
      <c r="B118" t="s">
        <v>1507</v>
      </c>
      <c r="C118" t="s">
        <v>1723</v>
      </c>
      <c r="D118" t="s">
        <v>1724</v>
      </c>
      <c r="S118">
        <v>12.9</v>
      </c>
      <c r="AH118">
        <v>10.4</v>
      </c>
      <c r="AS118">
        <v>25.4</v>
      </c>
      <c r="AY118">
        <v>32.799999999999997</v>
      </c>
      <c r="BD118">
        <v>33.799999999999997</v>
      </c>
      <c r="BK118">
        <v>36.1</v>
      </c>
      <c r="BN118" s="86"/>
    </row>
    <row r="119" spans="1:66" hidden="1" x14ac:dyDescent="0.25">
      <c r="A119" t="s">
        <v>1249</v>
      </c>
      <c r="B119" t="s">
        <v>1508</v>
      </c>
      <c r="C119" t="s">
        <v>1723</v>
      </c>
      <c r="D119" t="s">
        <v>1724</v>
      </c>
      <c r="BN119" s="86"/>
    </row>
    <row r="120" spans="1:66" hidden="1" x14ac:dyDescent="0.25">
      <c r="A120" t="s">
        <v>1119</v>
      </c>
      <c r="B120" t="s">
        <v>1509</v>
      </c>
      <c r="C120" t="s">
        <v>1723</v>
      </c>
      <c r="D120" t="s">
        <v>1724</v>
      </c>
      <c r="AG120">
        <v>51.9</v>
      </c>
      <c r="BN120" s="86"/>
    </row>
    <row r="121" spans="1:66" hidden="1" x14ac:dyDescent="0.25">
      <c r="A121" t="s">
        <v>1261</v>
      </c>
      <c r="B121" t="s">
        <v>1510</v>
      </c>
      <c r="C121" t="s">
        <v>1723</v>
      </c>
      <c r="D121" t="s">
        <v>1724</v>
      </c>
      <c r="X121">
        <v>32.700000000000003</v>
      </c>
      <c r="AO121">
        <v>40.6</v>
      </c>
      <c r="BF121">
        <v>51.8</v>
      </c>
      <c r="BN121" s="86"/>
    </row>
    <row r="122" spans="1:66" hidden="1" x14ac:dyDescent="0.2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2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2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25">
      <c r="A125" t="s">
        <v>1133</v>
      </c>
      <c r="B125" t="s">
        <v>1514</v>
      </c>
      <c r="C125" t="s">
        <v>1723</v>
      </c>
      <c r="D125" t="s">
        <v>1724</v>
      </c>
      <c r="AN125">
        <v>46.1</v>
      </c>
      <c r="AR125">
        <v>54.3</v>
      </c>
      <c r="AY125">
        <v>49.4</v>
      </c>
      <c r="BD125">
        <v>49.8</v>
      </c>
      <c r="BH125">
        <v>53.6</v>
      </c>
      <c r="BK125">
        <v>50.09</v>
      </c>
      <c r="BN125" s="86"/>
    </row>
    <row r="126" spans="1:66" hidden="1" x14ac:dyDescent="0.2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25">
      <c r="A127" t="s">
        <v>1516</v>
      </c>
      <c r="B127" t="s">
        <v>1517</v>
      </c>
      <c r="C127" t="s">
        <v>1723</v>
      </c>
      <c r="D127" t="s">
        <v>1724</v>
      </c>
      <c r="AP127">
        <v>48.9</v>
      </c>
      <c r="AY127">
        <v>45.8</v>
      </c>
      <c r="BE127">
        <v>33.700000000000003</v>
      </c>
      <c r="BG127">
        <v>40</v>
      </c>
      <c r="BJ127">
        <v>49</v>
      </c>
      <c r="BK127">
        <v>37.799999999999997</v>
      </c>
      <c r="BN127" s="86"/>
    </row>
    <row r="128" spans="1:66" hidden="1" x14ac:dyDescent="0.2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25">
      <c r="A129" t="s">
        <v>1224</v>
      </c>
      <c r="B129" t="s">
        <v>1519</v>
      </c>
      <c r="C129" t="s">
        <v>1723</v>
      </c>
      <c r="D129" t="s">
        <v>1724</v>
      </c>
      <c r="AS129">
        <v>31.1</v>
      </c>
      <c r="BB129">
        <v>18</v>
      </c>
      <c r="BL129">
        <v>27.2</v>
      </c>
      <c r="BN129" s="86"/>
    </row>
    <row r="130" spans="1:66" hidden="1" x14ac:dyDescent="0.25">
      <c r="A130" t="s">
        <v>1520</v>
      </c>
      <c r="B130" t="s">
        <v>1521</v>
      </c>
      <c r="C130" t="s">
        <v>1723</v>
      </c>
      <c r="D130" t="s">
        <v>1724</v>
      </c>
      <c r="AC130">
        <v>37</v>
      </c>
      <c r="BN130" s="86"/>
    </row>
    <row r="131" spans="1:66" hidden="1" x14ac:dyDescent="0.2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25">
      <c r="A132" t="s">
        <v>1121</v>
      </c>
      <c r="B132" t="s">
        <v>1524</v>
      </c>
      <c r="C132" t="s">
        <v>1723</v>
      </c>
      <c r="D132" t="s">
        <v>1724</v>
      </c>
      <c r="AD132">
        <v>37.299999999999997</v>
      </c>
      <c r="AF132">
        <v>31.7</v>
      </c>
      <c r="AM132">
        <v>47.4</v>
      </c>
      <c r="AO132">
        <v>40.9</v>
      </c>
      <c r="AR132">
        <v>39.299999999999997</v>
      </c>
      <c r="BN132" s="86"/>
    </row>
    <row r="133" spans="1:66" hidden="1" x14ac:dyDescent="0.25">
      <c r="A133" t="s">
        <v>1525</v>
      </c>
      <c r="B133" t="s">
        <v>1526</v>
      </c>
      <c r="C133" t="s">
        <v>1723</v>
      </c>
      <c r="D133" t="s">
        <v>1724</v>
      </c>
      <c r="BN133" s="86"/>
    </row>
    <row r="134" spans="1:66" hidden="1" x14ac:dyDescent="0.25">
      <c r="A134" t="s">
        <v>1527</v>
      </c>
      <c r="B134" t="s">
        <v>1528</v>
      </c>
      <c r="C134" t="s">
        <v>1723</v>
      </c>
      <c r="D134" t="s">
        <v>1724</v>
      </c>
      <c r="AL134">
        <v>15.1</v>
      </c>
      <c r="AS134">
        <v>28.9</v>
      </c>
      <c r="AX134">
        <v>35</v>
      </c>
      <c r="BE134">
        <v>42.7</v>
      </c>
      <c r="BJ134">
        <v>49</v>
      </c>
      <c r="BN134" s="86"/>
    </row>
    <row r="135" spans="1:66" hidden="1" x14ac:dyDescent="0.25">
      <c r="A135" t="s">
        <v>1122</v>
      </c>
      <c r="B135" t="s">
        <v>1529</v>
      </c>
      <c r="C135" t="s">
        <v>1723</v>
      </c>
      <c r="D135" t="s">
        <v>1724</v>
      </c>
      <c r="P135">
        <v>23</v>
      </c>
      <c r="AC135">
        <v>46.7</v>
      </c>
      <c r="AO135">
        <v>37.200000000000003</v>
      </c>
      <c r="AS135">
        <v>40.4</v>
      </c>
      <c r="AW135">
        <v>34.200000000000003</v>
      </c>
      <c r="BB135">
        <v>46.8</v>
      </c>
      <c r="BN135" s="86"/>
    </row>
    <row r="136" spans="1:66" hidden="1" x14ac:dyDescent="0.25">
      <c r="A136" t="s">
        <v>1095</v>
      </c>
      <c r="B136" t="s">
        <v>1530</v>
      </c>
      <c r="C136" t="s">
        <v>1723</v>
      </c>
      <c r="D136" t="s">
        <v>1724</v>
      </c>
      <c r="AE136">
        <v>5.5</v>
      </c>
      <c r="AZ136">
        <v>10.3</v>
      </c>
      <c r="BF136">
        <v>19.100000000000001</v>
      </c>
      <c r="BI136">
        <v>30.2</v>
      </c>
      <c r="BM136">
        <v>23.8</v>
      </c>
      <c r="BN136" s="86"/>
    </row>
    <row r="137" spans="1:66" hidden="1" x14ac:dyDescent="0.25">
      <c r="A137" t="s">
        <v>1107</v>
      </c>
      <c r="B137" t="s">
        <v>1531</v>
      </c>
      <c r="C137" t="s">
        <v>1723</v>
      </c>
      <c r="D137" t="s">
        <v>1724</v>
      </c>
      <c r="AN137">
        <v>25.7</v>
      </c>
      <c r="AV137">
        <v>23.7</v>
      </c>
      <c r="AZ137">
        <v>20.399999999999999</v>
      </c>
      <c r="BG137">
        <v>16.3</v>
      </c>
      <c r="BN137" s="86"/>
    </row>
    <row r="138" spans="1:66" hidden="1" x14ac:dyDescent="0.25">
      <c r="A138" t="s">
        <v>1532</v>
      </c>
      <c r="B138" t="s">
        <v>1533</v>
      </c>
      <c r="C138" t="s">
        <v>1723</v>
      </c>
      <c r="D138" t="s">
        <v>1724</v>
      </c>
      <c r="Z138">
        <v>50.7</v>
      </c>
      <c r="AG138">
        <v>45.9</v>
      </c>
      <c r="BE138">
        <v>52.5</v>
      </c>
      <c r="BN138" s="86"/>
    </row>
    <row r="139" spans="1:66" hidden="1" x14ac:dyDescent="0.25">
      <c r="A139" t="s">
        <v>1534</v>
      </c>
      <c r="B139" t="s">
        <v>1535</v>
      </c>
      <c r="C139" t="s">
        <v>1723</v>
      </c>
      <c r="D139" t="s">
        <v>1724</v>
      </c>
      <c r="BN139" s="86"/>
    </row>
    <row r="140" spans="1:66" hidden="1" x14ac:dyDescent="0.25">
      <c r="A140" t="s">
        <v>1536</v>
      </c>
      <c r="B140" t="s">
        <v>1537</v>
      </c>
      <c r="C140" t="s">
        <v>1723</v>
      </c>
      <c r="D140" t="s">
        <v>1724</v>
      </c>
      <c r="AI140">
        <v>13.657033344503597</v>
      </c>
      <c r="AS140">
        <v>21.094790035580274</v>
      </c>
      <c r="BC140">
        <v>29.252902714689203</v>
      </c>
      <c r="BJ140">
        <v>35.187941070601156</v>
      </c>
      <c r="BN140" s="86"/>
    </row>
    <row r="141" spans="1:66" hidden="1" x14ac:dyDescent="0.25">
      <c r="A141" t="s">
        <v>1538</v>
      </c>
      <c r="B141" t="s">
        <v>1539</v>
      </c>
      <c r="C141" t="s">
        <v>1723</v>
      </c>
      <c r="D141" t="s">
        <v>1724</v>
      </c>
      <c r="AI141">
        <v>9.9744231466827742</v>
      </c>
      <c r="AS141">
        <v>14.036427019605622</v>
      </c>
      <c r="BC141">
        <v>21.317700477030844</v>
      </c>
      <c r="BJ141">
        <v>28.152851492084451</v>
      </c>
      <c r="BN141" s="86"/>
    </row>
    <row r="142" spans="1:66" hidden="1" x14ac:dyDescent="0.25">
      <c r="A142" t="s">
        <v>1540</v>
      </c>
      <c r="B142" t="s">
        <v>1541</v>
      </c>
      <c r="C142" t="s">
        <v>1723</v>
      </c>
      <c r="D142" t="s">
        <v>1724</v>
      </c>
      <c r="BN142" s="86"/>
    </row>
    <row r="143" spans="1:66" hidden="1" x14ac:dyDescent="0.2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25">
      <c r="A144" t="s">
        <v>1543</v>
      </c>
      <c r="B144" t="s">
        <v>1544</v>
      </c>
      <c r="C144" t="s">
        <v>1723</v>
      </c>
      <c r="D144" t="s">
        <v>1724</v>
      </c>
      <c r="AI144">
        <v>33.877738499912546</v>
      </c>
      <c r="AS144">
        <v>39.989501951125554</v>
      </c>
      <c r="BC144">
        <v>45.271869015143622</v>
      </c>
      <c r="BJ144">
        <v>44.613452061523944</v>
      </c>
      <c r="BN144" s="86"/>
    </row>
    <row r="145" spans="1:66" hidden="1" x14ac:dyDescent="0.25">
      <c r="A145" t="s">
        <v>1545</v>
      </c>
      <c r="B145" t="s">
        <v>1546</v>
      </c>
      <c r="C145" t="s">
        <v>1723</v>
      </c>
      <c r="D145" t="s">
        <v>1724</v>
      </c>
      <c r="AI145">
        <v>51.599088938009317</v>
      </c>
      <c r="AS145">
        <v>53.486466774357936</v>
      </c>
      <c r="BC145">
        <v>44.78749584899208</v>
      </c>
      <c r="BJ145">
        <v>53.37546004436895</v>
      </c>
      <c r="BN145" s="86"/>
    </row>
    <row r="146" spans="1:66" hidden="1" x14ac:dyDescent="0.2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25">
      <c r="A147" t="s">
        <v>1548</v>
      </c>
      <c r="B147" t="s">
        <v>1549</v>
      </c>
      <c r="C147" t="s">
        <v>1723</v>
      </c>
      <c r="D147" t="s">
        <v>1724</v>
      </c>
      <c r="AI147">
        <v>76.275994842826989</v>
      </c>
      <c r="AS147">
        <v>79.921719026934753</v>
      </c>
      <c r="BJ147">
        <v>75.740393869379716</v>
      </c>
      <c r="BN147" s="86"/>
    </row>
    <row r="148" spans="1:66" hidden="1" x14ac:dyDescent="0.25">
      <c r="A148" t="s">
        <v>1252</v>
      </c>
      <c r="B148" t="s">
        <v>1550</v>
      </c>
      <c r="C148" t="s">
        <v>1723</v>
      </c>
      <c r="D148" t="s">
        <v>1724</v>
      </c>
      <c r="AN148">
        <v>33.200000000000003</v>
      </c>
      <c r="AY148">
        <v>50.4</v>
      </c>
      <c r="BB148">
        <v>52.1676300578035</v>
      </c>
      <c r="BN148" s="86"/>
    </row>
    <row r="149" spans="1:66" hidden="1" x14ac:dyDescent="0.25">
      <c r="A149" t="s">
        <v>1274</v>
      </c>
      <c r="B149" t="s">
        <v>1551</v>
      </c>
      <c r="C149" t="s">
        <v>1723</v>
      </c>
      <c r="D149" t="s">
        <v>1724</v>
      </c>
      <c r="BN149" s="86"/>
    </row>
    <row r="150" spans="1:66" hidden="1" x14ac:dyDescent="0.25">
      <c r="A150" t="s">
        <v>1251</v>
      </c>
      <c r="B150" t="s">
        <v>1552</v>
      </c>
      <c r="C150" t="s">
        <v>1723</v>
      </c>
      <c r="D150" t="s">
        <v>1724</v>
      </c>
      <c r="AN150">
        <v>55.5</v>
      </c>
      <c r="BN150" s="86"/>
    </row>
    <row r="151" spans="1:66" hidden="1" x14ac:dyDescent="0.25">
      <c r="A151" t="s">
        <v>1553</v>
      </c>
      <c r="B151" t="s">
        <v>1554</v>
      </c>
      <c r="C151" t="s">
        <v>1723</v>
      </c>
      <c r="D151" t="s">
        <v>1724</v>
      </c>
      <c r="BN151" s="86"/>
    </row>
    <row r="152" spans="1:66" hidden="1" x14ac:dyDescent="0.25">
      <c r="A152" t="s">
        <v>1555</v>
      </c>
      <c r="B152" t="s">
        <v>1556</v>
      </c>
      <c r="C152" t="s">
        <v>1723</v>
      </c>
      <c r="D152" t="s">
        <v>1724</v>
      </c>
      <c r="BN152" s="86"/>
    </row>
    <row r="153" spans="1:66" hidden="1" x14ac:dyDescent="0.2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25">
      <c r="A154" t="s">
        <v>1558</v>
      </c>
      <c r="B154" t="s">
        <v>1559</v>
      </c>
      <c r="C154" t="s">
        <v>1723</v>
      </c>
      <c r="D154" t="s">
        <v>1724</v>
      </c>
      <c r="BN154" s="86"/>
    </row>
    <row r="155" spans="1:66" hidden="1" x14ac:dyDescent="0.25">
      <c r="A155" t="s">
        <v>1560</v>
      </c>
      <c r="B155" t="s">
        <v>1561</v>
      </c>
      <c r="C155" t="s">
        <v>1723</v>
      </c>
      <c r="D155" t="s">
        <v>1724</v>
      </c>
      <c r="AP155">
        <v>49.9</v>
      </c>
      <c r="AS155">
        <v>43.7</v>
      </c>
      <c r="AX155">
        <v>43.9</v>
      </c>
      <c r="BE155">
        <v>41.7</v>
      </c>
      <c r="BM155">
        <v>43.89</v>
      </c>
      <c r="BN155" s="86"/>
    </row>
    <row r="156" spans="1:66" hidden="1" x14ac:dyDescent="0.2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25">
      <c r="A157" t="s">
        <v>1144</v>
      </c>
      <c r="B157" t="s">
        <v>1563</v>
      </c>
      <c r="C157" t="s">
        <v>1723</v>
      </c>
      <c r="D157" t="s">
        <v>1724</v>
      </c>
      <c r="AJ157">
        <v>19</v>
      </c>
      <c r="AR157">
        <v>33</v>
      </c>
      <c r="AW157">
        <v>34</v>
      </c>
      <c r="BB157">
        <v>27</v>
      </c>
      <c r="BJ157">
        <v>14.7</v>
      </c>
      <c r="BN157" s="86"/>
    </row>
    <row r="158" spans="1:66" hidden="1" x14ac:dyDescent="0.25">
      <c r="A158" t="s">
        <v>1564</v>
      </c>
      <c r="B158" t="s">
        <v>1565</v>
      </c>
      <c r="C158" t="s">
        <v>1723</v>
      </c>
      <c r="D158" t="s">
        <v>1724</v>
      </c>
      <c r="AI158">
        <v>34.275896326155568</v>
      </c>
      <c r="AS158">
        <v>49.618322255286728</v>
      </c>
      <c r="BC158">
        <v>51.583380306844695</v>
      </c>
      <c r="BN158" s="86"/>
    </row>
    <row r="159" spans="1:66" hidden="1" x14ac:dyDescent="0.2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25">
      <c r="A160" t="s">
        <v>1567</v>
      </c>
      <c r="B160" t="s">
        <v>1568</v>
      </c>
      <c r="C160" t="s">
        <v>1723</v>
      </c>
      <c r="D160" t="s">
        <v>1724</v>
      </c>
      <c r="O160">
        <v>18.100000000000001</v>
      </c>
      <c r="AD160">
        <v>19.399999999999999</v>
      </c>
      <c r="AZ160">
        <v>42.4</v>
      </c>
      <c r="BN160" s="86"/>
    </row>
    <row r="161" spans="1:66" hidden="1" x14ac:dyDescent="0.25">
      <c r="A161" t="s">
        <v>1569</v>
      </c>
      <c r="B161" t="s">
        <v>1570</v>
      </c>
      <c r="C161" t="s">
        <v>1723</v>
      </c>
      <c r="D161" t="s">
        <v>1724</v>
      </c>
      <c r="AI161">
        <v>53.977893456758842</v>
      </c>
      <c r="AS161">
        <v>56.361245539656366</v>
      </c>
      <c r="BJ161">
        <v>56.010354019056933</v>
      </c>
      <c r="BN161" s="86"/>
    </row>
    <row r="162" spans="1:66" hidden="1" x14ac:dyDescent="0.25">
      <c r="A162" t="s">
        <v>1264</v>
      </c>
      <c r="B162" t="s">
        <v>1571</v>
      </c>
      <c r="C162" t="s">
        <v>1723</v>
      </c>
      <c r="D162" t="s">
        <v>1724</v>
      </c>
      <c r="O162">
        <v>3.1</v>
      </c>
      <c r="BD162">
        <v>12.8</v>
      </c>
      <c r="BL162">
        <v>14</v>
      </c>
      <c r="BN162" s="86"/>
    </row>
    <row r="163" spans="1:66" hidden="1" x14ac:dyDescent="0.2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25">
      <c r="A164" t="s">
        <v>1262</v>
      </c>
      <c r="B164" t="s">
        <v>1573</v>
      </c>
      <c r="C164" t="s">
        <v>1723</v>
      </c>
      <c r="D164" t="s">
        <v>1724</v>
      </c>
      <c r="P164">
        <v>16</v>
      </c>
      <c r="AL164">
        <v>46</v>
      </c>
      <c r="BN164" s="86"/>
    </row>
    <row r="165" spans="1:66" hidden="1" x14ac:dyDescent="0.25">
      <c r="A165" t="s">
        <v>1164</v>
      </c>
      <c r="B165" t="s">
        <v>1574</v>
      </c>
      <c r="C165" t="s">
        <v>1723</v>
      </c>
      <c r="D165" t="s">
        <v>1724</v>
      </c>
      <c r="AJ165">
        <v>13.6</v>
      </c>
      <c r="AP165">
        <v>28.3</v>
      </c>
      <c r="AT165">
        <v>32.799999999999997</v>
      </c>
      <c r="AZ165">
        <v>38.4</v>
      </c>
      <c r="BC165">
        <v>45.8</v>
      </c>
      <c r="BI165">
        <v>51.3</v>
      </c>
      <c r="BN165" s="86"/>
    </row>
    <row r="166" spans="1:66" hidden="1" x14ac:dyDescent="0.25">
      <c r="A166" t="s">
        <v>1575</v>
      </c>
      <c r="B166" t="s">
        <v>1576</v>
      </c>
      <c r="C166" t="s">
        <v>1723</v>
      </c>
      <c r="D166" t="s">
        <v>1724</v>
      </c>
      <c r="AI166">
        <v>34.040256345668169</v>
      </c>
      <c r="AS166">
        <v>49.956660565034376</v>
      </c>
      <c r="BC166">
        <v>51.95426356216084</v>
      </c>
      <c r="BN166" s="86"/>
    </row>
    <row r="167" spans="1:66" hidden="1" x14ac:dyDescent="0.25">
      <c r="A167" t="s">
        <v>1263</v>
      </c>
      <c r="B167" t="s">
        <v>1577</v>
      </c>
      <c r="C167" t="s">
        <v>1723</v>
      </c>
      <c r="D167" t="s">
        <v>1724</v>
      </c>
      <c r="O167">
        <v>7</v>
      </c>
      <c r="AS167">
        <v>30.7</v>
      </c>
      <c r="AY167">
        <v>17.399999999999999</v>
      </c>
      <c r="BF167">
        <v>15.4</v>
      </c>
      <c r="BK167">
        <v>11.6</v>
      </c>
      <c r="BN167" s="86"/>
    </row>
    <row r="168" spans="1:66" hidden="1" x14ac:dyDescent="0.2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25">
      <c r="A169" t="s">
        <v>1579</v>
      </c>
      <c r="B169" t="s">
        <v>1580</v>
      </c>
      <c r="C169" t="s">
        <v>1723</v>
      </c>
      <c r="D169" t="s">
        <v>1724</v>
      </c>
      <c r="O169">
        <v>16</v>
      </c>
      <c r="BN169" s="86"/>
    </row>
    <row r="170" spans="1:66" hidden="1" x14ac:dyDescent="0.25">
      <c r="A170" t="s">
        <v>596</v>
      </c>
      <c r="B170" t="s">
        <v>1581</v>
      </c>
      <c r="C170" t="s">
        <v>1723</v>
      </c>
      <c r="D170" t="s">
        <v>1724</v>
      </c>
      <c r="AP170">
        <v>5.0999999999999996</v>
      </c>
      <c r="AV170">
        <v>11.7</v>
      </c>
      <c r="AW170">
        <v>11.7</v>
      </c>
      <c r="BA170">
        <v>14.7</v>
      </c>
      <c r="BB170">
        <v>10.4</v>
      </c>
      <c r="BD170">
        <v>11.3</v>
      </c>
      <c r="BH170">
        <v>25.3</v>
      </c>
      <c r="BN170" s="86"/>
    </row>
    <row r="171" spans="1:66" hidden="1" x14ac:dyDescent="0.25">
      <c r="A171" t="s">
        <v>1097</v>
      </c>
      <c r="B171" t="s">
        <v>1582</v>
      </c>
      <c r="C171" t="s">
        <v>1723</v>
      </c>
      <c r="D171" t="s">
        <v>1724</v>
      </c>
      <c r="Z171">
        <v>0.3</v>
      </c>
      <c r="AJ171">
        <v>1.2</v>
      </c>
      <c r="AT171">
        <v>5.4</v>
      </c>
      <c r="AZ171">
        <v>8</v>
      </c>
      <c r="BD171">
        <v>10.1</v>
      </c>
      <c r="BH171">
        <v>15.6</v>
      </c>
      <c r="BN171" s="86"/>
    </row>
    <row r="172" spans="1:66" hidden="1" x14ac:dyDescent="0.25">
      <c r="A172" t="s">
        <v>1071</v>
      </c>
      <c r="B172" t="s">
        <v>1583</v>
      </c>
      <c r="C172" t="s">
        <v>1723</v>
      </c>
      <c r="D172" t="s">
        <v>1724</v>
      </c>
      <c r="T172">
        <v>29.2</v>
      </c>
      <c r="AD172">
        <v>44.2</v>
      </c>
      <c r="AJ172">
        <v>49.2</v>
      </c>
      <c r="AU172">
        <v>39.299999999999997</v>
      </c>
      <c r="BG172">
        <v>32</v>
      </c>
      <c r="BN172" s="86"/>
    </row>
    <row r="173" spans="1:66" hidden="1" x14ac:dyDescent="0.2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2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25">
      <c r="A175" t="s">
        <v>1586</v>
      </c>
      <c r="B175" t="s">
        <v>1587</v>
      </c>
      <c r="C175" t="s">
        <v>1723</v>
      </c>
      <c r="D175" t="s">
        <v>1724</v>
      </c>
      <c r="AI175">
        <v>66.599999999999994</v>
      </c>
      <c r="AS175">
        <v>68.491873481454562</v>
      </c>
      <c r="BC175">
        <v>70.400000000000006</v>
      </c>
      <c r="BJ175">
        <v>66.099999999999994</v>
      </c>
      <c r="BN175" s="86"/>
    </row>
    <row r="176" spans="1:66" hidden="1" x14ac:dyDescent="0.25">
      <c r="A176" t="s">
        <v>598</v>
      </c>
      <c r="B176" t="s">
        <v>1588</v>
      </c>
      <c r="C176" t="s">
        <v>1723</v>
      </c>
      <c r="D176" t="s">
        <v>1724</v>
      </c>
      <c r="AH176">
        <v>32.1</v>
      </c>
      <c r="AK176">
        <v>26</v>
      </c>
      <c r="AS176">
        <v>42.6</v>
      </c>
      <c r="AZ176">
        <v>53.5</v>
      </c>
      <c r="BF176">
        <v>55.3</v>
      </c>
      <c r="BN176" s="86"/>
    </row>
    <row r="177" spans="1:66" hidden="1" x14ac:dyDescent="0.25">
      <c r="A177" t="s">
        <v>1218</v>
      </c>
      <c r="B177" t="s">
        <v>1589</v>
      </c>
      <c r="C177" t="s">
        <v>1723</v>
      </c>
      <c r="D177" t="s">
        <v>1724</v>
      </c>
      <c r="BN177" s="86"/>
    </row>
    <row r="178" spans="1:66" hidden="1" x14ac:dyDescent="0.2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2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25">
      <c r="A180" t="s">
        <v>1196</v>
      </c>
      <c r="B180" t="s">
        <v>1592</v>
      </c>
      <c r="C180" t="s">
        <v>1723</v>
      </c>
      <c r="D180" t="s">
        <v>1724</v>
      </c>
      <c r="Z180">
        <v>22.8</v>
      </c>
      <c r="AL180">
        <v>44.9</v>
      </c>
      <c r="AQ180">
        <v>57.4</v>
      </c>
      <c r="AT180">
        <v>66.099999999999994</v>
      </c>
      <c r="AZ180">
        <v>69.8</v>
      </c>
      <c r="BE180">
        <v>77.400000000000006</v>
      </c>
      <c r="BN180" s="86"/>
    </row>
    <row r="181" spans="1:66" hidden="1" x14ac:dyDescent="0.2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25">
      <c r="A182" t="s">
        <v>1253</v>
      </c>
      <c r="B182" t="s">
        <v>1594</v>
      </c>
      <c r="C182" t="s">
        <v>1723</v>
      </c>
      <c r="D182" t="s">
        <v>1724</v>
      </c>
      <c r="W182">
        <v>65.2</v>
      </c>
      <c r="AH182">
        <v>69.2</v>
      </c>
      <c r="AQ182">
        <v>78.3</v>
      </c>
      <c r="AX182">
        <v>82.2</v>
      </c>
      <c r="BN182" s="86"/>
    </row>
    <row r="183" spans="1:66" hidden="1" x14ac:dyDescent="0.2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25">
      <c r="A184" t="s">
        <v>1596</v>
      </c>
      <c r="B184" t="s">
        <v>1597</v>
      </c>
      <c r="C184" t="s">
        <v>1723</v>
      </c>
      <c r="D184" t="s">
        <v>1724</v>
      </c>
      <c r="AZ184">
        <v>25.1</v>
      </c>
      <c r="BN184" s="86"/>
    </row>
    <row r="185" spans="1:66" hidden="1" x14ac:dyDescent="0.25">
      <c r="A185" t="s">
        <v>1214</v>
      </c>
      <c r="B185" t="s">
        <v>1598</v>
      </c>
      <c r="C185" t="s">
        <v>1723</v>
      </c>
      <c r="D185" t="s">
        <v>1724</v>
      </c>
      <c r="U185">
        <v>61.5</v>
      </c>
      <c r="AN185">
        <v>72.3</v>
      </c>
      <c r="BH185">
        <v>74.7</v>
      </c>
      <c r="BN185" s="86"/>
    </row>
    <row r="186" spans="1:66" hidden="1" x14ac:dyDescent="0.25">
      <c r="A186" t="s">
        <v>1599</v>
      </c>
      <c r="B186" t="s">
        <v>1600</v>
      </c>
      <c r="C186" t="s">
        <v>1723</v>
      </c>
      <c r="D186" t="s">
        <v>1724</v>
      </c>
      <c r="AI186">
        <v>59.5124098791864</v>
      </c>
      <c r="AS186">
        <v>63.914418628955403</v>
      </c>
      <c r="BC186">
        <v>68.084516543018438</v>
      </c>
      <c r="BN186" s="86"/>
    </row>
    <row r="187" spans="1:66" hidden="1" x14ac:dyDescent="0.25">
      <c r="A187" t="s">
        <v>1123</v>
      </c>
      <c r="B187" t="s">
        <v>1601</v>
      </c>
      <c r="C187" t="s">
        <v>1723</v>
      </c>
      <c r="D187" t="s">
        <v>1724</v>
      </c>
      <c r="AH187">
        <v>7.5</v>
      </c>
      <c r="AN187">
        <v>18.2</v>
      </c>
      <c r="AS187">
        <v>24.6</v>
      </c>
      <c r="BA187">
        <v>15.3</v>
      </c>
      <c r="BG187">
        <v>18.8</v>
      </c>
      <c r="BN187" s="86"/>
    </row>
    <row r="188" spans="1:66" hidden="1" x14ac:dyDescent="0.25">
      <c r="A188" t="s">
        <v>1602</v>
      </c>
      <c r="B188" t="s">
        <v>1603</v>
      </c>
      <c r="C188" t="s">
        <v>1723</v>
      </c>
      <c r="D188" t="s">
        <v>1724</v>
      </c>
      <c r="AS188">
        <v>26.141506029600837</v>
      </c>
      <c r="BN188" s="86"/>
    </row>
    <row r="189" spans="1:66" hidden="1" x14ac:dyDescent="0.2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25">
      <c r="A190" t="s">
        <v>1197</v>
      </c>
      <c r="B190" t="s">
        <v>1605</v>
      </c>
      <c r="C190" t="s">
        <v>1723</v>
      </c>
      <c r="D190" t="s">
        <v>1724</v>
      </c>
      <c r="U190">
        <v>45.9</v>
      </c>
      <c r="X190">
        <v>54.1</v>
      </c>
      <c r="AC190">
        <v>54.2</v>
      </c>
      <c r="AD190">
        <v>54.2</v>
      </c>
      <c r="BB190">
        <v>59.5</v>
      </c>
      <c r="BF190">
        <v>60.1</v>
      </c>
      <c r="BH190">
        <v>46.9</v>
      </c>
      <c r="BN190" s="86"/>
    </row>
    <row r="191" spans="1:66" hidden="1" x14ac:dyDescent="0.2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2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25">
      <c r="A193" t="s">
        <v>1608</v>
      </c>
      <c r="B193" t="s">
        <v>1609</v>
      </c>
      <c r="C193" t="s">
        <v>1723</v>
      </c>
      <c r="D193" t="s">
        <v>1724</v>
      </c>
      <c r="AV193">
        <v>29.7</v>
      </c>
      <c r="BN193" s="86"/>
    </row>
    <row r="194" spans="1:66" hidden="1" x14ac:dyDescent="0.25">
      <c r="A194" t="s">
        <v>1219</v>
      </c>
      <c r="B194" t="s">
        <v>1610</v>
      </c>
      <c r="C194" t="s">
        <v>1723</v>
      </c>
      <c r="D194" t="s">
        <v>1724</v>
      </c>
      <c r="AO194">
        <v>19.600000000000001</v>
      </c>
      <c r="AP194">
        <v>19.600000000000001</v>
      </c>
      <c r="AY194">
        <v>24.3</v>
      </c>
      <c r="AZ194">
        <v>24.3</v>
      </c>
      <c r="BK194">
        <v>30.5</v>
      </c>
      <c r="BN194" s="86"/>
    </row>
    <row r="195" spans="1:66" hidden="1" x14ac:dyDescent="0.25">
      <c r="A195" t="s">
        <v>1238</v>
      </c>
      <c r="B195" t="s">
        <v>1611</v>
      </c>
      <c r="C195" t="s">
        <v>1723</v>
      </c>
      <c r="D195" t="s">
        <v>1724</v>
      </c>
      <c r="Q195">
        <v>13.2</v>
      </c>
      <c r="V195">
        <v>26.3</v>
      </c>
      <c r="AJ195">
        <v>28</v>
      </c>
      <c r="BD195">
        <v>41.2</v>
      </c>
      <c r="BN195" s="86"/>
    </row>
    <row r="196" spans="1:66" hidden="1" x14ac:dyDescent="0.25">
      <c r="A196" t="s">
        <v>1612</v>
      </c>
      <c r="B196" t="s">
        <v>1613</v>
      </c>
      <c r="C196" t="s">
        <v>1723</v>
      </c>
      <c r="D196" t="s">
        <v>1724</v>
      </c>
      <c r="AI196">
        <v>5.5019892937674904</v>
      </c>
      <c r="AS196">
        <v>12.066684000560063</v>
      </c>
      <c r="BC196">
        <v>16.819905983573118</v>
      </c>
      <c r="BJ196">
        <v>22.884442373810714</v>
      </c>
      <c r="BN196" s="86"/>
    </row>
    <row r="197" spans="1:66" hidden="1" x14ac:dyDescent="0.25">
      <c r="A197" t="s">
        <v>1184</v>
      </c>
      <c r="B197" t="s">
        <v>1614</v>
      </c>
      <c r="C197" t="s">
        <v>1723</v>
      </c>
      <c r="D197" t="s">
        <v>1724</v>
      </c>
      <c r="M197">
        <v>50.8</v>
      </c>
      <c r="S197">
        <v>55</v>
      </c>
      <c r="U197">
        <v>57.6</v>
      </c>
      <c r="AA197">
        <v>62.1</v>
      </c>
      <c r="AO197">
        <v>67.599999999999994</v>
      </c>
      <c r="AU197">
        <v>72.2</v>
      </c>
      <c r="BN197" s="86"/>
    </row>
    <row r="198" spans="1:66" hidden="1" x14ac:dyDescent="0.2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25">
      <c r="A199" t="s">
        <v>1265</v>
      </c>
      <c r="B199" t="s">
        <v>1617</v>
      </c>
      <c r="C199" t="s">
        <v>1723</v>
      </c>
      <c r="D199" t="s">
        <v>1724</v>
      </c>
      <c r="Y199">
        <v>37.799999999999997</v>
      </c>
      <c r="AP199">
        <v>70.400000000000006</v>
      </c>
      <c r="AY199">
        <v>82.5</v>
      </c>
      <c r="BG199">
        <v>67.083438816994502</v>
      </c>
      <c r="BN199" s="86"/>
    </row>
    <row r="200" spans="1:66" hidden="1" x14ac:dyDescent="0.2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2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25">
      <c r="A202" t="s">
        <v>1621</v>
      </c>
      <c r="B202" t="s">
        <v>1622</v>
      </c>
      <c r="C202" t="s">
        <v>1723</v>
      </c>
      <c r="D202" t="s">
        <v>1724</v>
      </c>
      <c r="BN202" s="86"/>
    </row>
    <row r="203" spans="1:66" hidden="1" x14ac:dyDescent="0.25">
      <c r="A203" t="s">
        <v>1623</v>
      </c>
      <c r="B203" t="s">
        <v>1624</v>
      </c>
      <c r="C203" t="s">
        <v>1723</v>
      </c>
      <c r="D203" t="s">
        <v>1724</v>
      </c>
      <c r="AI203">
        <v>64.595692648770239</v>
      </c>
      <c r="AS203">
        <v>64.380557801988985</v>
      </c>
      <c r="BC203">
        <v>69.911178900535702</v>
      </c>
      <c r="BN203" s="86"/>
    </row>
    <row r="204" spans="1:66" hidden="1" x14ac:dyDescent="0.25">
      <c r="A204" t="s">
        <v>1227</v>
      </c>
      <c r="B204" t="s">
        <v>1625</v>
      </c>
      <c r="C204" t="s">
        <v>1723</v>
      </c>
      <c r="D204" t="s">
        <v>1724</v>
      </c>
      <c r="BN204" s="86"/>
    </row>
    <row r="205" spans="1:66" hidden="1" x14ac:dyDescent="0.25">
      <c r="A205" t="s">
        <v>1124</v>
      </c>
      <c r="B205" t="s">
        <v>1626</v>
      </c>
      <c r="C205" t="s">
        <v>1723</v>
      </c>
      <c r="D205" t="s">
        <v>1724</v>
      </c>
      <c r="AF205">
        <v>28.9</v>
      </c>
      <c r="AQ205">
        <v>32.299999999999997</v>
      </c>
      <c r="BE205">
        <v>34.4</v>
      </c>
      <c r="BN205" s="86"/>
    </row>
    <row r="206" spans="1:66" hidden="1" x14ac:dyDescent="0.25">
      <c r="A206" t="s">
        <v>1240</v>
      </c>
      <c r="B206" t="s">
        <v>1627</v>
      </c>
      <c r="C206" t="s">
        <v>1723</v>
      </c>
      <c r="D206" t="s">
        <v>1724</v>
      </c>
      <c r="W206">
        <v>5.3</v>
      </c>
      <c r="AL206">
        <v>14.5</v>
      </c>
      <c r="AR206">
        <v>29.5</v>
      </c>
      <c r="AW206">
        <v>38.200000000000003</v>
      </c>
      <c r="AX206">
        <v>50.5</v>
      </c>
      <c r="BN206" s="86"/>
    </row>
    <row r="207" spans="1:66" hidden="1" x14ac:dyDescent="0.2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2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25">
      <c r="A209" t="s">
        <v>1630</v>
      </c>
      <c r="B209" t="s">
        <v>1631</v>
      </c>
      <c r="C209" t="s">
        <v>1723</v>
      </c>
      <c r="D209" t="s">
        <v>1724</v>
      </c>
      <c r="AI209">
        <v>36.020230628973458</v>
      </c>
      <c r="AS209">
        <v>39.908808721588336</v>
      </c>
      <c r="BC209">
        <v>45.162204640285495</v>
      </c>
      <c r="BJ209">
        <v>45.600981419537888</v>
      </c>
      <c r="BN209" s="86"/>
    </row>
    <row r="210" spans="1:66" hidden="1" x14ac:dyDescent="0.25">
      <c r="A210" t="s">
        <v>1125</v>
      </c>
      <c r="B210" t="s">
        <v>1632</v>
      </c>
      <c r="C210" t="s">
        <v>1723</v>
      </c>
      <c r="D210" t="s">
        <v>1724</v>
      </c>
      <c r="AP210">
        <v>28.5</v>
      </c>
      <c r="BI210">
        <v>20.8</v>
      </c>
      <c r="BN210" s="86"/>
    </row>
    <row r="211" spans="1:66" hidden="1" x14ac:dyDescent="0.25">
      <c r="A211" t="s">
        <v>1109</v>
      </c>
      <c r="B211" t="s">
        <v>1633</v>
      </c>
      <c r="C211" t="s">
        <v>1723</v>
      </c>
      <c r="D211" t="s">
        <v>1724</v>
      </c>
      <c r="X211">
        <v>3.9</v>
      </c>
      <c r="AI211">
        <v>5.6</v>
      </c>
      <c r="AL211">
        <v>6.9</v>
      </c>
      <c r="AR211">
        <v>5.4</v>
      </c>
      <c r="AY211">
        <v>9</v>
      </c>
      <c r="BC211">
        <v>8.5</v>
      </c>
      <c r="BG211">
        <v>11.7</v>
      </c>
      <c r="BN211" s="86"/>
    </row>
    <row r="212" spans="1:66" hidden="1" x14ac:dyDescent="0.2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25">
      <c r="A213" t="s">
        <v>1166</v>
      </c>
      <c r="B213" t="s">
        <v>1635</v>
      </c>
      <c r="C213" t="s">
        <v>1723</v>
      </c>
      <c r="D213" t="s">
        <v>1724</v>
      </c>
      <c r="R213">
        <v>52.8</v>
      </c>
      <c r="V213">
        <v>62.8</v>
      </c>
      <c r="AA213">
        <v>58.8</v>
      </c>
      <c r="AF213">
        <v>53</v>
      </c>
      <c r="AK213">
        <v>52</v>
      </c>
      <c r="AP213">
        <v>55</v>
      </c>
      <c r="BN213" s="86"/>
    </row>
    <row r="214" spans="1:66" hidden="1" x14ac:dyDescent="0.25">
      <c r="A214" t="s">
        <v>1220</v>
      </c>
      <c r="B214" t="s">
        <v>1636</v>
      </c>
      <c r="C214" t="s">
        <v>1723</v>
      </c>
      <c r="D214" t="s">
        <v>1724</v>
      </c>
      <c r="AZ214">
        <v>27.4</v>
      </c>
      <c r="BH214">
        <v>24.3</v>
      </c>
      <c r="BN214" s="86"/>
    </row>
    <row r="215" spans="1:66" hidden="1" x14ac:dyDescent="0.2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2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25">
      <c r="A217" t="s">
        <v>1639</v>
      </c>
      <c r="B217" t="s">
        <v>1640</v>
      </c>
      <c r="C217" t="s">
        <v>1723</v>
      </c>
      <c r="D217" t="s">
        <v>1724</v>
      </c>
      <c r="BN217" s="86"/>
    </row>
    <row r="218" spans="1:66" hidden="1" x14ac:dyDescent="0.25">
      <c r="A218" t="s">
        <v>1075</v>
      </c>
      <c r="B218" t="s">
        <v>1641</v>
      </c>
      <c r="C218" t="s">
        <v>1723</v>
      </c>
      <c r="D218" t="s">
        <v>1724</v>
      </c>
      <c r="AR218">
        <v>1</v>
      </c>
      <c r="AY218">
        <v>1.1000000000000001</v>
      </c>
      <c r="BD218">
        <v>1.5</v>
      </c>
      <c r="BL218">
        <v>0.9</v>
      </c>
      <c r="BN218" s="86"/>
    </row>
    <row r="219" spans="1:66" hidden="1" x14ac:dyDescent="0.25">
      <c r="A219" t="s">
        <v>1266</v>
      </c>
      <c r="B219" t="s">
        <v>1642</v>
      </c>
      <c r="C219" t="s">
        <v>1723</v>
      </c>
      <c r="D219" t="s">
        <v>1724</v>
      </c>
      <c r="O219">
        <v>3.7</v>
      </c>
      <c r="AS219">
        <v>33</v>
      </c>
      <c r="AY219">
        <v>18.899999999999999</v>
      </c>
      <c r="BC219">
        <v>22.3</v>
      </c>
      <c r="BG219">
        <v>18.399999999999999</v>
      </c>
      <c r="BL219">
        <v>21.4</v>
      </c>
      <c r="BN219" s="86"/>
    </row>
    <row r="220" spans="1:66" hidden="1" x14ac:dyDescent="0.25">
      <c r="A220" t="s">
        <v>1643</v>
      </c>
      <c r="B220" t="s">
        <v>1644</v>
      </c>
      <c r="C220" t="s">
        <v>1723</v>
      </c>
      <c r="D220" t="s">
        <v>1724</v>
      </c>
      <c r="AI220">
        <v>10.535110005132699</v>
      </c>
      <c r="AS220">
        <v>15.861261662699617</v>
      </c>
      <c r="BC220">
        <v>18.901557813527596</v>
      </c>
      <c r="BJ220">
        <v>27.530043697602235</v>
      </c>
      <c r="BN220" s="86"/>
    </row>
    <row r="221" spans="1:66" hidden="1" x14ac:dyDescent="0.25">
      <c r="A221" t="s">
        <v>1076</v>
      </c>
      <c r="B221" t="s">
        <v>1645</v>
      </c>
      <c r="C221" t="s">
        <v>1723</v>
      </c>
      <c r="D221" t="s">
        <v>1724</v>
      </c>
      <c r="AY221">
        <v>3.3</v>
      </c>
      <c r="BC221">
        <v>1.7</v>
      </c>
      <c r="BD221">
        <v>6.5</v>
      </c>
      <c r="BH221">
        <v>5</v>
      </c>
      <c r="BN221" s="86"/>
    </row>
    <row r="222" spans="1:66" hidden="1" x14ac:dyDescent="0.25">
      <c r="A222" t="s">
        <v>1646</v>
      </c>
      <c r="B222" t="s">
        <v>1647</v>
      </c>
      <c r="C222" t="s">
        <v>1723</v>
      </c>
      <c r="D222" t="s">
        <v>1724</v>
      </c>
      <c r="AI222">
        <v>10.535110005132696</v>
      </c>
      <c r="AS222">
        <v>15.861261662699617</v>
      </c>
      <c r="BC222">
        <v>18.901557813527599</v>
      </c>
      <c r="BJ222">
        <v>27.530043697602231</v>
      </c>
      <c r="BN222" s="86"/>
    </row>
    <row r="223" spans="1:66" hidden="1" x14ac:dyDescent="0.25">
      <c r="A223" t="s">
        <v>1648</v>
      </c>
      <c r="B223" t="s">
        <v>1649</v>
      </c>
      <c r="C223" t="s">
        <v>1723</v>
      </c>
      <c r="D223" t="s">
        <v>1724</v>
      </c>
      <c r="AS223">
        <v>27.711031718142401</v>
      </c>
      <c r="BN223" s="86"/>
    </row>
    <row r="224" spans="1:66" hidden="1" x14ac:dyDescent="0.25">
      <c r="A224" t="s">
        <v>1084</v>
      </c>
      <c r="B224" t="s">
        <v>1650</v>
      </c>
      <c r="C224" t="s">
        <v>1723</v>
      </c>
      <c r="D224" t="s">
        <v>1724</v>
      </c>
      <c r="AS224">
        <v>28</v>
      </c>
      <c r="AY224">
        <v>28.5</v>
      </c>
      <c r="BB224">
        <v>33.700000000000003</v>
      </c>
      <c r="BG224">
        <v>37.4</v>
      </c>
      <c r="BL224">
        <v>46.1</v>
      </c>
      <c r="BN224" s="86"/>
    </row>
    <row r="225" spans="1:66" hidden="1" x14ac:dyDescent="0.25">
      <c r="A225" t="s">
        <v>1209</v>
      </c>
      <c r="B225" t="s">
        <v>1651</v>
      </c>
      <c r="C225" t="s">
        <v>1723</v>
      </c>
      <c r="D225" t="s">
        <v>1724</v>
      </c>
      <c r="AK225">
        <v>46.6</v>
      </c>
      <c r="AS225">
        <v>40.700000000000003</v>
      </c>
      <c r="AY225">
        <v>45</v>
      </c>
      <c r="BC225">
        <v>47.2</v>
      </c>
      <c r="BK225">
        <v>38.5</v>
      </c>
      <c r="BN225" s="86"/>
    </row>
    <row r="226" spans="1:66" hidden="1" x14ac:dyDescent="0.25">
      <c r="A226" t="s">
        <v>1652</v>
      </c>
      <c r="B226" t="s">
        <v>1653</v>
      </c>
      <c r="C226" t="s">
        <v>1723</v>
      </c>
      <c r="D226" t="s">
        <v>1724</v>
      </c>
      <c r="AJ226">
        <v>41</v>
      </c>
      <c r="AP226">
        <v>65.599999999999994</v>
      </c>
      <c r="BN226" s="86"/>
    </row>
    <row r="227" spans="1:66" hidden="1" x14ac:dyDescent="0.25">
      <c r="A227" t="s">
        <v>1267</v>
      </c>
      <c r="B227" t="s">
        <v>1654</v>
      </c>
      <c r="C227" t="s">
        <v>1723</v>
      </c>
      <c r="D227" t="s">
        <v>1724</v>
      </c>
      <c r="O227">
        <v>14.2</v>
      </c>
      <c r="AN227">
        <v>63.2</v>
      </c>
      <c r="BN227" s="86"/>
    </row>
    <row r="228" spans="1:66" hidden="1" x14ac:dyDescent="0.25">
      <c r="A228" t="s">
        <v>1254</v>
      </c>
      <c r="B228" t="s">
        <v>1655</v>
      </c>
      <c r="C228" t="s">
        <v>1723</v>
      </c>
      <c r="D228" t="s">
        <v>1724</v>
      </c>
      <c r="Z228">
        <v>72</v>
      </c>
      <c r="AO228">
        <v>64.8</v>
      </c>
      <c r="BF228">
        <v>68.8</v>
      </c>
      <c r="BJ228">
        <v>68.099999999999994</v>
      </c>
      <c r="BN228" s="86"/>
    </row>
    <row r="229" spans="1:66" hidden="1" x14ac:dyDescent="0.2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25">
      <c r="A230" t="s">
        <v>1657</v>
      </c>
      <c r="B230" t="s">
        <v>1658</v>
      </c>
      <c r="C230" t="s">
        <v>1723</v>
      </c>
      <c r="D230" t="s">
        <v>1724</v>
      </c>
      <c r="BN230" s="86"/>
    </row>
    <row r="231" spans="1:66" hidden="1" x14ac:dyDescent="0.25">
      <c r="A231" t="s">
        <v>1074</v>
      </c>
      <c r="B231" t="s">
        <v>1659</v>
      </c>
      <c r="C231" t="s">
        <v>1723</v>
      </c>
      <c r="D231" t="s">
        <v>1724</v>
      </c>
      <c r="BN231" s="86"/>
    </row>
    <row r="232" spans="1:66" hidden="1" x14ac:dyDescent="0.25">
      <c r="A232" t="s">
        <v>1127</v>
      </c>
      <c r="B232" t="s">
        <v>1660</v>
      </c>
      <c r="C232" t="s">
        <v>1723</v>
      </c>
      <c r="D232" t="s">
        <v>1724</v>
      </c>
      <c r="W232">
        <v>22.4</v>
      </c>
      <c r="AL232">
        <v>28.3</v>
      </c>
      <c r="AT232">
        <v>35.1</v>
      </c>
      <c r="AY232">
        <v>46.6</v>
      </c>
      <c r="BB232">
        <v>37.5</v>
      </c>
      <c r="BN232" s="86"/>
    </row>
    <row r="233" spans="1:66" hidden="1" x14ac:dyDescent="0.25">
      <c r="A233" t="s">
        <v>1661</v>
      </c>
      <c r="B233" t="s">
        <v>1662</v>
      </c>
      <c r="C233" t="s">
        <v>1723</v>
      </c>
      <c r="D233" t="s">
        <v>1724</v>
      </c>
      <c r="BN233" s="86"/>
    </row>
    <row r="234" spans="1:66" hidden="1" x14ac:dyDescent="0.25">
      <c r="A234" t="s">
        <v>1080</v>
      </c>
      <c r="B234" t="s">
        <v>1663</v>
      </c>
      <c r="C234" t="s">
        <v>1723</v>
      </c>
      <c r="D234" t="s">
        <v>1724</v>
      </c>
      <c r="AP234">
        <v>1.2</v>
      </c>
      <c r="AS234">
        <v>6.4</v>
      </c>
      <c r="AW234">
        <v>1.7</v>
      </c>
      <c r="BC234">
        <v>4.5</v>
      </c>
      <c r="BH234">
        <v>5</v>
      </c>
      <c r="BL234">
        <v>6.7</v>
      </c>
      <c r="BN234" s="86"/>
    </row>
    <row r="235" spans="1:66" hidden="1" x14ac:dyDescent="0.25">
      <c r="A235" t="s">
        <v>1664</v>
      </c>
      <c r="B235" t="s">
        <v>1665</v>
      </c>
      <c r="C235" t="s">
        <v>1723</v>
      </c>
      <c r="D235" t="s">
        <v>1724</v>
      </c>
      <c r="AI235">
        <v>74.344760907810937</v>
      </c>
      <c r="AS235">
        <v>76.324711379774996</v>
      </c>
      <c r="BJ235">
        <v>71.510219915722203</v>
      </c>
      <c r="BN235" s="86"/>
    </row>
    <row r="236" spans="1:66" hidden="1" x14ac:dyDescent="0.25">
      <c r="A236" t="s">
        <v>1666</v>
      </c>
      <c r="B236" t="s">
        <v>1667</v>
      </c>
      <c r="C236" t="s">
        <v>1723</v>
      </c>
      <c r="D236" t="s">
        <v>1724</v>
      </c>
      <c r="BC236">
        <v>46.320135014112168</v>
      </c>
      <c r="BN236" s="86"/>
    </row>
    <row r="237" spans="1:66" hidden="1" x14ac:dyDescent="0.25">
      <c r="A237" t="s">
        <v>1102</v>
      </c>
      <c r="B237" t="s">
        <v>1668</v>
      </c>
      <c r="C237" t="s">
        <v>1723</v>
      </c>
      <c r="D237" t="s">
        <v>1724</v>
      </c>
      <c r="AG237">
        <v>3.1</v>
      </c>
      <c r="AQ237">
        <v>7</v>
      </c>
      <c r="AS237">
        <v>13.3</v>
      </c>
      <c r="AY237">
        <v>11.6</v>
      </c>
      <c r="BC237">
        <v>13.7</v>
      </c>
      <c r="BG237">
        <v>17.2</v>
      </c>
      <c r="BJ237">
        <v>21.5</v>
      </c>
      <c r="BN237" s="86"/>
    </row>
    <row r="238" spans="1:66" hidden="1" x14ac:dyDescent="0.2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25">
      <c r="A239" t="s">
        <v>1135</v>
      </c>
      <c r="B239" t="s">
        <v>1670</v>
      </c>
      <c r="C239" t="s">
        <v>1723</v>
      </c>
      <c r="D239" t="s">
        <v>1724</v>
      </c>
      <c r="AS239">
        <v>28.3</v>
      </c>
      <c r="AX239">
        <v>36.200000000000003</v>
      </c>
      <c r="AZ239">
        <v>31.7</v>
      </c>
      <c r="BE239">
        <v>25.8</v>
      </c>
      <c r="BJ239">
        <v>27.1</v>
      </c>
      <c r="BN239" s="86"/>
    </row>
    <row r="240" spans="1:66" hidden="1" x14ac:dyDescent="0.25">
      <c r="A240" t="s">
        <v>1136</v>
      </c>
      <c r="B240" t="s">
        <v>1671</v>
      </c>
      <c r="C240" t="s">
        <v>1723</v>
      </c>
      <c r="D240" t="s">
        <v>1724</v>
      </c>
      <c r="AS240">
        <v>45.2</v>
      </c>
      <c r="AY240">
        <v>46.9</v>
      </c>
      <c r="BH240">
        <v>47.1</v>
      </c>
      <c r="BI240">
        <v>47.1</v>
      </c>
      <c r="BL240">
        <v>47.3</v>
      </c>
      <c r="BN240" s="86"/>
    </row>
    <row r="241" spans="1:66" hidden="1" x14ac:dyDescent="0.25">
      <c r="A241" t="s">
        <v>1672</v>
      </c>
      <c r="B241" t="s">
        <v>1673</v>
      </c>
      <c r="C241" t="s">
        <v>1723</v>
      </c>
      <c r="D241" t="s">
        <v>1724</v>
      </c>
      <c r="BN241" s="86"/>
    </row>
    <row r="242" spans="1:66" hidden="1" x14ac:dyDescent="0.2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25">
      <c r="A243" t="s">
        <v>1675</v>
      </c>
      <c r="B243" t="s">
        <v>1676</v>
      </c>
      <c r="C243" t="s">
        <v>1723</v>
      </c>
      <c r="D243" t="s">
        <v>1724</v>
      </c>
      <c r="AI243">
        <v>34.040256345668169</v>
      </c>
      <c r="AS243">
        <v>50.103479569329643</v>
      </c>
      <c r="BC243">
        <v>52.040610005849487</v>
      </c>
      <c r="BN243" s="86"/>
    </row>
    <row r="244" spans="1:66" hidden="1" x14ac:dyDescent="0.25">
      <c r="A244" t="s">
        <v>1229</v>
      </c>
      <c r="B244" t="s">
        <v>1677</v>
      </c>
      <c r="C244" t="s">
        <v>1723</v>
      </c>
      <c r="D244" t="s">
        <v>1724</v>
      </c>
      <c r="BE244">
        <v>28.4</v>
      </c>
      <c r="BL244">
        <v>25.2</v>
      </c>
      <c r="BN244" s="86"/>
    </row>
    <row r="245" spans="1:66" hidden="1" x14ac:dyDescent="0.25">
      <c r="A245" t="s">
        <v>1678</v>
      </c>
      <c r="B245" t="s">
        <v>1679</v>
      </c>
      <c r="C245" t="s">
        <v>1723</v>
      </c>
      <c r="D245" t="s">
        <v>1724</v>
      </c>
      <c r="AI245">
        <v>36.020230628973458</v>
      </c>
      <c r="AS245">
        <v>39.908808721588329</v>
      </c>
      <c r="BC245">
        <v>45.162204640285502</v>
      </c>
      <c r="BJ245">
        <v>45.600981419537895</v>
      </c>
      <c r="BN245" s="86"/>
    </row>
    <row r="246" spans="1:66" hidden="1" x14ac:dyDescent="0.25">
      <c r="A246" t="s">
        <v>1680</v>
      </c>
      <c r="B246" t="s">
        <v>1681</v>
      </c>
      <c r="C246" t="s">
        <v>1723</v>
      </c>
      <c r="D246" t="s">
        <v>1724</v>
      </c>
      <c r="AI246">
        <v>10.535110005132697</v>
      </c>
      <c r="AS246">
        <v>15.861261662699624</v>
      </c>
      <c r="BC246">
        <v>18.901557813527599</v>
      </c>
      <c r="BJ246">
        <v>27.530043697602235</v>
      </c>
      <c r="BN246" s="86"/>
    </row>
    <row r="247" spans="1:66" hidden="1" x14ac:dyDescent="0.25">
      <c r="A247" t="s">
        <v>1187</v>
      </c>
      <c r="B247" t="s">
        <v>1682</v>
      </c>
      <c r="C247" t="s">
        <v>1723</v>
      </c>
      <c r="D247" t="s">
        <v>1724</v>
      </c>
      <c r="P247">
        <v>36.5</v>
      </c>
      <c r="V247">
        <v>53.4</v>
      </c>
      <c r="AF247">
        <v>44.4</v>
      </c>
      <c r="AS247">
        <v>33.299999999999997</v>
      </c>
      <c r="AY247">
        <v>38.1</v>
      </c>
      <c r="BD247">
        <v>37.6</v>
      </c>
      <c r="BN247" s="86"/>
    </row>
    <row r="248" spans="1:66" hidden="1" x14ac:dyDescent="0.2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2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25">
      <c r="A250" t="s">
        <v>1685</v>
      </c>
      <c r="B250" t="s">
        <v>1686</v>
      </c>
      <c r="C250" t="s">
        <v>1723</v>
      </c>
      <c r="D250" t="s">
        <v>1724</v>
      </c>
      <c r="AZ250">
        <v>22.4</v>
      </c>
      <c r="BN250" s="86"/>
    </row>
    <row r="251" spans="1:66" hidden="1" x14ac:dyDescent="0.25">
      <c r="A251" t="s">
        <v>1687</v>
      </c>
      <c r="B251" t="s">
        <v>1688</v>
      </c>
      <c r="C251" t="s">
        <v>1723</v>
      </c>
      <c r="D251" t="s">
        <v>1724</v>
      </c>
      <c r="AK251">
        <v>6.6</v>
      </c>
      <c r="AM251">
        <v>13.1</v>
      </c>
      <c r="AO251">
        <v>13.3</v>
      </c>
      <c r="AR251">
        <v>18.8</v>
      </c>
      <c r="AW251">
        <v>23.4</v>
      </c>
      <c r="AX251">
        <v>20</v>
      </c>
      <c r="BC251">
        <v>27.4</v>
      </c>
      <c r="BI251">
        <v>32</v>
      </c>
      <c r="BN251" s="86"/>
    </row>
    <row r="252" spans="1:66" hidden="1" x14ac:dyDescent="0.2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25">
      <c r="A253" t="s">
        <v>1243</v>
      </c>
      <c r="B253" t="s">
        <v>1690</v>
      </c>
      <c r="C253" t="s">
        <v>1723</v>
      </c>
      <c r="D253" t="s">
        <v>1724</v>
      </c>
      <c r="AR253">
        <v>37.6</v>
      </c>
      <c r="AX253">
        <v>58.5</v>
      </c>
      <c r="AZ253">
        <v>47.5</v>
      </c>
      <c r="BE253">
        <v>47.8</v>
      </c>
      <c r="BN253" s="86"/>
    </row>
    <row r="254" spans="1:66" hidden="1" x14ac:dyDescent="0.25">
      <c r="A254" t="s">
        <v>1691</v>
      </c>
      <c r="B254" t="s">
        <v>1692</v>
      </c>
      <c r="C254" t="s">
        <v>1723</v>
      </c>
      <c r="D254" t="s">
        <v>1724</v>
      </c>
      <c r="AI254">
        <v>75.194862660775925</v>
      </c>
      <c r="AS254">
        <v>77.254867767247703</v>
      </c>
      <c r="BJ254">
        <v>73.097506712649249</v>
      </c>
      <c r="BN254" s="86"/>
    </row>
    <row r="255" spans="1:66" hidden="1" x14ac:dyDescent="0.25">
      <c r="A255" t="s">
        <v>1210</v>
      </c>
      <c r="B255" t="s">
        <v>1693</v>
      </c>
      <c r="C255" t="s">
        <v>1723</v>
      </c>
      <c r="D255" t="s">
        <v>1724</v>
      </c>
      <c r="AE255">
        <v>72.400000000000006</v>
      </c>
      <c r="AW255">
        <v>74.8</v>
      </c>
      <c r="BH255">
        <v>78.274219633171299</v>
      </c>
      <c r="BN255" s="86"/>
    </row>
    <row r="256" spans="1:66" hidden="1" x14ac:dyDescent="0.2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25">
      <c r="A257" t="s">
        <v>1137</v>
      </c>
      <c r="B257" t="s">
        <v>1696</v>
      </c>
      <c r="C257" t="s">
        <v>1723</v>
      </c>
      <c r="D257" t="s">
        <v>1724</v>
      </c>
      <c r="AO257">
        <v>51.3</v>
      </c>
      <c r="AS257">
        <v>63.6</v>
      </c>
      <c r="AU257">
        <v>62.8</v>
      </c>
      <c r="AY257">
        <v>61.9</v>
      </c>
      <c r="BN257" s="86"/>
    </row>
    <row r="258" spans="1:66" hidden="1" x14ac:dyDescent="0.25">
      <c r="A258" t="s">
        <v>1697</v>
      </c>
      <c r="B258" t="s">
        <v>1698</v>
      </c>
      <c r="C258" t="s">
        <v>1723</v>
      </c>
      <c r="D258" t="s">
        <v>1724</v>
      </c>
      <c r="Z258">
        <v>51.6</v>
      </c>
      <c r="AG258">
        <v>55.9</v>
      </c>
      <c r="BN258" s="86"/>
    </row>
    <row r="259" spans="1:66" hidden="1" x14ac:dyDescent="0.25">
      <c r="A259" t="s">
        <v>1699</v>
      </c>
      <c r="B259" t="s">
        <v>1700</v>
      </c>
      <c r="C259" t="s">
        <v>1723</v>
      </c>
      <c r="D259" t="s">
        <v>1724</v>
      </c>
      <c r="V259">
        <v>46.1</v>
      </c>
      <c r="AL259">
        <v>54.5</v>
      </c>
      <c r="AQ259">
        <v>61.7</v>
      </c>
      <c r="BN259" s="86"/>
    </row>
    <row r="260" spans="1:66" hidden="1" x14ac:dyDescent="0.25">
      <c r="A260" t="s">
        <v>1701</v>
      </c>
      <c r="B260" t="s">
        <v>1702</v>
      </c>
      <c r="C260" t="s">
        <v>1723</v>
      </c>
      <c r="D260" t="s">
        <v>1724</v>
      </c>
      <c r="BN260" s="86"/>
    </row>
    <row r="261" spans="1:66" hidden="1" x14ac:dyDescent="0.25">
      <c r="A261" t="s">
        <v>1703</v>
      </c>
      <c r="B261" t="s">
        <v>1704</v>
      </c>
      <c r="C261" t="s">
        <v>1723</v>
      </c>
      <c r="D261" t="s">
        <v>1724</v>
      </c>
      <c r="AU261">
        <v>72.599999999999994</v>
      </c>
      <c r="BN261" s="86"/>
    </row>
    <row r="262" spans="1:66" hidden="1" x14ac:dyDescent="0.2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25">
      <c r="A263" t="s">
        <v>1221</v>
      </c>
      <c r="B263" t="s">
        <v>1707</v>
      </c>
      <c r="C263" t="s">
        <v>1723</v>
      </c>
      <c r="D263" t="s">
        <v>1724</v>
      </c>
      <c r="AC263">
        <v>20.8</v>
      </c>
      <c r="AN263">
        <v>32.1</v>
      </c>
      <c r="AZ263">
        <v>37</v>
      </c>
      <c r="BF263">
        <v>37.1</v>
      </c>
      <c r="BN263" s="86"/>
    </row>
    <row r="264" spans="1:66" hidden="1" x14ac:dyDescent="0.25">
      <c r="A264" t="s">
        <v>1017</v>
      </c>
      <c r="B264" t="s">
        <v>1708</v>
      </c>
      <c r="C264" t="s">
        <v>1723</v>
      </c>
      <c r="D264" t="s">
        <v>1724</v>
      </c>
      <c r="AI264">
        <v>53.495480705570358</v>
      </c>
      <c r="AS264">
        <v>55.41656771461178</v>
      </c>
      <c r="BC264">
        <v>48.415906173198515</v>
      </c>
      <c r="BJ264">
        <v>53.803504118733848</v>
      </c>
      <c r="BN264" s="86"/>
    </row>
    <row r="265" spans="1:66" hidden="1" x14ac:dyDescent="0.25">
      <c r="A265" t="s">
        <v>1228</v>
      </c>
      <c r="B265" t="s">
        <v>1709</v>
      </c>
      <c r="C265" t="s">
        <v>1723</v>
      </c>
      <c r="D265" t="s">
        <v>1724</v>
      </c>
      <c r="AQ265">
        <v>23.2</v>
      </c>
      <c r="BB265">
        <v>26.7</v>
      </c>
      <c r="BG265">
        <v>24.3</v>
      </c>
      <c r="BN265" s="86"/>
    </row>
    <row r="266" spans="1:66" hidden="1" x14ac:dyDescent="0.25">
      <c r="A266" t="s">
        <v>1710</v>
      </c>
      <c r="B266" t="s">
        <v>1711</v>
      </c>
      <c r="C266" t="s">
        <v>1723</v>
      </c>
      <c r="D266" t="s">
        <v>1724</v>
      </c>
      <c r="BN266" s="86"/>
    </row>
    <row r="267" spans="1:66" hidden="1" x14ac:dyDescent="0.25">
      <c r="A267" t="s">
        <v>1712</v>
      </c>
      <c r="B267" t="s">
        <v>1713</v>
      </c>
      <c r="C267" t="s">
        <v>1723</v>
      </c>
      <c r="D267" t="s">
        <v>1724</v>
      </c>
      <c r="X267">
        <v>1.6</v>
      </c>
      <c r="AK267">
        <v>6.1</v>
      </c>
      <c r="AP267">
        <v>9.8000000000000007</v>
      </c>
      <c r="AV267">
        <v>13.4</v>
      </c>
      <c r="AY267">
        <v>19.2</v>
      </c>
      <c r="BF267">
        <v>25.2</v>
      </c>
      <c r="BN267" s="86"/>
    </row>
    <row r="268" spans="1:66" hidden="1" x14ac:dyDescent="0.25">
      <c r="A268" t="s">
        <v>602</v>
      </c>
      <c r="B268" t="s">
        <v>1714</v>
      </c>
      <c r="C268" t="s">
        <v>1723</v>
      </c>
      <c r="D268" t="s">
        <v>1724</v>
      </c>
      <c r="AG268">
        <v>48.4</v>
      </c>
      <c r="AH268">
        <v>48.4</v>
      </c>
      <c r="AQ268">
        <v>55.1</v>
      </c>
      <c r="AV268">
        <v>59.8</v>
      </c>
      <c r="AW268">
        <v>59.8</v>
      </c>
      <c r="BI268">
        <v>54</v>
      </c>
      <c r="BN268" s="86"/>
    </row>
    <row r="269" spans="1:66" hidden="1" x14ac:dyDescent="0.2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2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25">
      <c r="BN271" s="87"/>
    </row>
    <row r="272" spans="1:66" s="1" customFormat="1" x14ac:dyDescent="0.25">
      <c r="BH272" s="1">
        <f>'unmet need'!BH77</f>
        <v>24.4</v>
      </c>
      <c r="BI272" s="1">
        <f>'unmet need'!BI77</f>
        <v>22.3</v>
      </c>
      <c r="BJ272" s="1">
        <f>'unmet need'!BJ77</f>
        <v>22.724205180569701</v>
      </c>
      <c r="BK272" s="1">
        <f>'unmet need'!BK77</f>
        <v>20.6</v>
      </c>
      <c r="BN272" s="87" t="s">
        <v>1726</v>
      </c>
    </row>
    <row r="273" spans="8:66" s="1" customFormat="1" x14ac:dyDescent="0.25">
      <c r="BH273" s="1">
        <f>BH272+BH77</f>
        <v>60.3</v>
      </c>
      <c r="BI273" s="1">
        <f>BI272+BI77</f>
        <v>57.400000000000006</v>
      </c>
      <c r="BJ273" s="1">
        <f>BJ272+BJ77</f>
        <v>58.045380301448304</v>
      </c>
      <c r="BK273" s="1">
        <f>BK272+BK77</f>
        <v>58.4</v>
      </c>
      <c r="BN273" s="87" t="s">
        <v>1727</v>
      </c>
    </row>
    <row r="274" spans="8:66" s="1" customFormat="1" x14ac:dyDescent="0.25">
      <c r="I274" s="1" t="s">
        <v>1719</v>
      </c>
      <c r="BN274" s="87" t="s">
        <v>1728</v>
      </c>
    </row>
    <row r="275" spans="8:66" s="1" customFormat="1" x14ac:dyDescent="0.25">
      <c r="H275">
        <v>2020</v>
      </c>
      <c r="I275" s="156">
        <f>BL77*$BM$276</f>
        <v>41.231655893534402</v>
      </c>
    </row>
    <row r="276" spans="8:66" s="1" customFormat="1" x14ac:dyDescent="0.2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2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2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25">
      <c r="H279">
        <v>2024</v>
      </c>
      <c r="I279" s="156">
        <f t="shared" si="0"/>
        <v>44.292866847517914</v>
      </c>
    </row>
    <row r="280" spans="8:66" s="1" customFormat="1" x14ac:dyDescent="0.25">
      <c r="H280">
        <v>2025</v>
      </c>
      <c r="I280" s="156">
        <f t="shared" si="0"/>
        <v>45.093043071481389</v>
      </c>
    </row>
    <row r="281" spans="8:66" s="1" customFormat="1" x14ac:dyDescent="0.25">
      <c r="H281">
        <v>2026</v>
      </c>
      <c r="I281" s="156">
        <f t="shared" si="0"/>
        <v>45.907674941127063</v>
      </c>
    </row>
    <row r="282" spans="8:66" s="1" customFormat="1" x14ac:dyDescent="0.25">
      <c r="H282">
        <v>2027</v>
      </c>
      <c r="I282" s="156">
        <f t="shared" si="0"/>
        <v>46.737023606044026</v>
      </c>
    </row>
    <row r="283" spans="8:66" s="1" customFormat="1" x14ac:dyDescent="0.25">
      <c r="H283">
        <v>2028</v>
      </c>
      <c r="I283" s="156">
        <f t="shared" si="0"/>
        <v>47.581354933639545</v>
      </c>
    </row>
    <row r="284" spans="8:66" s="1" customFormat="1" x14ac:dyDescent="0.25">
      <c r="H284">
        <v>2029</v>
      </c>
      <c r="I284" s="156">
        <f t="shared" si="0"/>
        <v>48.440939594369162</v>
      </c>
    </row>
    <row r="285" spans="8:66" s="1" customFormat="1" x14ac:dyDescent="0.25">
      <c r="H285">
        <v>2030</v>
      </c>
      <c r="I285" s="156">
        <f t="shared" si="0"/>
        <v>49.316053148506548</v>
      </c>
    </row>
    <row r="286" spans="8:66" s="1" customFormat="1" x14ac:dyDescent="0.25">
      <c r="H286">
        <v>2031</v>
      </c>
      <c r="I286" s="156">
        <f t="shared" si="0"/>
        <v>50.206976134480882</v>
      </c>
    </row>
    <row r="287" spans="8:66" s="1" customFormat="1" x14ac:dyDescent="0.25">
      <c r="H287">
        <v>2032</v>
      </c>
      <c r="I287" s="156">
        <f t="shared" si="0"/>
        <v>51.113994158810115</v>
      </c>
    </row>
    <row r="288" spans="8:66" s="1" customFormat="1" x14ac:dyDescent="0.25">
      <c r="H288">
        <v>2033</v>
      </c>
      <c r="I288" s="156">
        <f t="shared" si="0"/>
        <v>52.037397987658913</v>
      </c>
    </row>
    <row r="289" spans="3:9" s="1" customFormat="1" x14ac:dyDescent="0.25">
      <c r="C289" s="49"/>
      <c r="D289" s="49"/>
      <c r="E289" s="49"/>
      <c r="H289">
        <v>2034</v>
      </c>
      <c r="I289" s="156">
        <f t="shared" si="0"/>
        <v>52.977483640050657</v>
      </c>
    </row>
    <row r="290" spans="3:9" s="1" customFormat="1" x14ac:dyDescent="0.25">
      <c r="C290" s="49"/>
      <c r="D290" s="49"/>
      <c r="E290" s="49"/>
      <c r="H290">
        <v>2035</v>
      </c>
      <c r="I290" s="156">
        <f t="shared" si="0"/>
        <v>53.93455248276338</v>
      </c>
    </row>
    <row r="291" spans="3:9" s="1" customFormat="1" x14ac:dyDescent="0.25">
      <c r="C291" s="49"/>
      <c r="D291" s="49"/>
      <c r="E291" s="49"/>
      <c r="H291">
        <v>2036</v>
      </c>
      <c r="I291" s="156">
        <f t="shared" si="0"/>
        <v>54.908911326940029</v>
      </c>
    </row>
    <row r="292" spans="3:9" s="1" customFormat="1" x14ac:dyDescent="0.25">
      <c r="H292">
        <v>2037</v>
      </c>
      <c r="I292" s="156">
        <f t="shared" si="0"/>
        <v>55.900872526444061</v>
      </c>
    </row>
    <row r="293" spans="3:9" s="1" customFormat="1" x14ac:dyDescent="0.25">
      <c r="H293">
        <v>2038</v>
      </c>
      <c r="I293" s="156">
        <f t="shared" si="0"/>
        <v>56.910754077991911</v>
      </c>
    </row>
    <row r="294" spans="3:9" s="1" customFormat="1" x14ac:dyDescent="0.25">
      <c r="H294">
        <v>2039</v>
      </c>
      <c r="I294" s="156">
        <f t="shared" si="0"/>
        <v>57.938879723094374</v>
      </c>
    </row>
    <row r="295" spans="3:9" s="1" customFormat="1" x14ac:dyDescent="0.25">
      <c r="H295">
        <v>2040</v>
      </c>
      <c r="I295" s="156">
        <f t="shared" si="0"/>
        <v>58.985579051839629</v>
      </c>
    </row>
    <row r="296" spans="3:9" s="1" customFormat="1" x14ac:dyDescent="0.2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5" x14ac:dyDescent="0.25"/>
  <cols>
    <col min="1" max="1" width="14.42578125" customWidth="1"/>
    <col min="2" max="2" width="25.5703125" bestFit="1" customWidth="1"/>
    <col min="3" max="3" width="53" bestFit="1" customWidth="1"/>
    <col min="4" max="4" width="12.7109375" bestFit="1" customWidth="1"/>
    <col min="5" max="34" width="5" bestFit="1" customWidth="1"/>
    <col min="35" max="35" width="11.42578125" bestFit="1" customWidth="1"/>
    <col min="36" max="44" width="5" bestFit="1" customWidth="1"/>
    <col min="45" max="45" width="11.42578125" bestFit="1" customWidth="1"/>
    <col min="46" max="54" width="5" bestFit="1" customWidth="1"/>
    <col min="55" max="55" width="11.42578125" bestFit="1" customWidth="1"/>
    <col min="56" max="60" width="5" bestFit="1" customWidth="1"/>
    <col min="61" max="61" width="5.42578125" bestFit="1" customWidth="1"/>
    <col min="62" max="64" width="11.42578125" bestFit="1" customWidth="1"/>
    <col min="65" max="65" width="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1732</v>
      </c>
      <c r="D5" t="s">
        <v>1733</v>
      </c>
    </row>
    <row r="6" spans="1:65" hidden="1" x14ac:dyDescent="0.25">
      <c r="A6" t="s">
        <v>1354</v>
      </c>
      <c r="B6" t="s">
        <v>1355</v>
      </c>
      <c r="C6" t="s">
        <v>1732</v>
      </c>
      <c r="D6" t="s">
        <v>1733</v>
      </c>
      <c r="BC6">
        <v>25.432069149232998</v>
      </c>
      <c r="BJ6">
        <v>22.321067933728632</v>
      </c>
    </row>
    <row r="7" spans="1:65" hidden="1" x14ac:dyDescent="0.25">
      <c r="A7" t="s">
        <v>1139</v>
      </c>
      <c r="B7" t="s">
        <v>1356</v>
      </c>
      <c r="C7" t="s">
        <v>1732</v>
      </c>
      <c r="D7" t="s">
        <v>1733</v>
      </c>
      <c r="BI7">
        <v>24.5</v>
      </c>
    </row>
    <row r="8" spans="1:65" hidden="1" x14ac:dyDescent="0.25">
      <c r="A8" t="s">
        <v>1357</v>
      </c>
      <c r="B8" t="s">
        <v>1358</v>
      </c>
      <c r="C8" t="s">
        <v>1732</v>
      </c>
      <c r="D8" t="s">
        <v>1733</v>
      </c>
      <c r="AI8">
        <v>23.558726346809131</v>
      </c>
      <c r="AS8">
        <v>23.690605164947261</v>
      </c>
      <c r="BC8">
        <v>22.771091977052873</v>
      </c>
      <c r="BJ8">
        <v>22.958818927252459</v>
      </c>
    </row>
    <row r="9" spans="1:65" hidden="1" x14ac:dyDescent="0.25">
      <c r="A9" t="s">
        <v>1078</v>
      </c>
      <c r="B9" t="s">
        <v>1359</v>
      </c>
      <c r="C9" t="s">
        <v>1732</v>
      </c>
      <c r="D9" t="s">
        <v>1733</v>
      </c>
      <c r="BI9">
        <v>38</v>
      </c>
    </row>
    <row r="10" spans="1:65" hidden="1" x14ac:dyDescent="0.25">
      <c r="A10" t="s">
        <v>1257</v>
      </c>
      <c r="B10" t="s">
        <v>1360</v>
      </c>
      <c r="C10" t="s">
        <v>1732</v>
      </c>
      <c r="D10" t="s">
        <v>1733</v>
      </c>
      <c r="BB10">
        <v>12.9</v>
      </c>
      <c r="BK10">
        <v>15.1</v>
      </c>
    </row>
    <row r="11" spans="1:65" hidden="1" x14ac:dyDescent="0.25">
      <c r="A11" t="s">
        <v>1361</v>
      </c>
      <c r="B11" t="s">
        <v>1362</v>
      </c>
      <c r="C11" t="s">
        <v>1732</v>
      </c>
      <c r="D11" t="s">
        <v>1733</v>
      </c>
    </row>
    <row r="12" spans="1:65" hidden="1" x14ac:dyDescent="0.25">
      <c r="A12" t="s">
        <v>1363</v>
      </c>
      <c r="B12" t="s">
        <v>1364</v>
      </c>
      <c r="C12" t="s">
        <v>1732</v>
      </c>
      <c r="D12" t="s">
        <v>1733</v>
      </c>
      <c r="BC12">
        <v>14.241775777841585</v>
      </c>
    </row>
    <row r="13" spans="1:65" hidden="1" x14ac:dyDescent="0.25">
      <c r="A13" t="s">
        <v>1129</v>
      </c>
      <c r="B13" t="s">
        <v>1365</v>
      </c>
      <c r="C13" t="s">
        <v>1732</v>
      </c>
      <c r="D13" t="s">
        <v>1733</v>
      </c>
    </row>
    <row r="14" spans="1:65" hidden="1" x14ac:dyDescent="0.25">
      <c r="A14" t="s">
        <v>1199</v>
      </c>
      <c r="B14" t="s">
        <v>1366</v>
      </c>
      <c r="C14" t="s">
        <v>1732</v>
      </c>
      <c r="D14" t="s">
        <v>1733</v>
      </c>
    </row>
    <row r="15" spans="1:65" hidden="1" x14ac:dyDescent="0.25">
      <c r="A15" t="s">
        <v>1113</v>
      </c>
      <c r="B15" t="s">
        <v>1367</v>
      </c>
      <c r="C15" t="s">
        <v>1732</v>
      </c>
      <c r="D15" t="s">
        <v>1733</v>
      </c>
      <c r="AS15">
        <v>18.100000000000001</v>
      </c>
      <c r="AX15">
        <v>19.3</v>
      </c>
      <c r="BC15">
        <v>13.5</v>
      </c>
      <c r="BH15">
        <v>12.5</v>
      </c>
      <c r="BI15">
        <v>12.5</v>
      </c>
    </row>
    <row r="16" spans="1:65" hidden="1" x14ac:dyDescent="0.25">
      <c r="A16" t="s">
        <v>1368</v>
      </c>
      <c r="B16" t="s">
        <v>1369</v>
      </c>
      <c r="C16" t="s">
        <v>1732</v>
      </c>
      <c r="D16" t="s">
        <v>1733</v>
      </c>
    </row>
    <row r="17" spans="1:65" hidden="1" x14ac:dyDescent="0.25">
      <c r="A17" t="s">
        <v>1172</v>
      </c>
      <c r="B17" t="s">
        <v>1370</v>
      </c>
      <c r="C17" t="s">
        <v>1732</v>
      </c>
      <c r="D17" t="s">
        <v>1733</v>
      </c>
    </row>
    <row r="18" spans="1:65" hidden="1" x14ac:dyDescent="0.25">
      <c r="A18" t="s">
        <v>1213</v>
      </c>
      <c r="B18" t="s">
        <v>1371</v>
      </c>
      <c r="C18" t="s">
        <v>1732</v>
      </c>
      <c r="D18" t="s">
        <v>1733</v>
      </c>
    </row>
    <row r="19" spans="1:65" hidden="1" x14ac:dyDescent="0.25">
      <c r="A19" t="s">
        <v>1270</v>
      </c>
      <c r="B19" t="s">
        <v>1372</v>
      </c>
      <c r="C19" t="s">
        <v>1732</v>
      </c>
      <c r="D19" t="s">
        <v>1733</v>
      </c>
    </row>
    <row r="20" spans="1:65" hidden="1" x14ac:dyDescent="0.25">
      <c r="A20" t="s">
        <v>1114</v>
      </c>
      <c r="B20" t="s">
        <v>1373</v>
      </c>
      <c r="C20" t="s">
        <v>1732</v>
      </c>
      <c r="D20" t="s">
        <v>1733</v>
      </c>
      <c r="AT20">
        <v>11.5</v>
      </c>
      <c r="AY20">
        <v>15.4</v>
      </c>
    </row>
    <row r="21" spans="1:65" hidden="1" x14ac:dyDescent="0.25">
      <c r="A21" t="s">
        <v>582</v>
      </c>
      <c r="B21" t="s">
        <v>1374</v>
      </c>
      <c r="C21" t="s">
        <v>1732</v>
      </c>
      <c r="D21" t="s">
        <v>1733</v>
      </c>
      <c r="AF21">
        <v>25.1</v>
      </c>
      <c r="AU21">
        <v>29</v>
      </c>
      <c r="BC21">
        <v>32.4</v>
      </c>
      <c r="BD21">
        <v>32.4</v>
      </c>
      <c r="BI21">
        <v>29.7</v>
      </c>
      <c r="BJ21">
        <v>29.7</v>
      </c>
    </row>
    <row r="22" spans="1:65" hidden="1" x14ac:dyDescent="0.25">
      <c r="A22" t="s">
        <v>1271</v>
      </c>
      <c r="B22" t="s">
        <v>1375</v>
      </c>
      <c r="C22" t="s">
        <v>1732</v>
      </c>
      <c r="D22" t="s">
        <v>1733</v>
      </c>
      <c r="AK22">
        <v>3.4</v>
      </c>
    </row>
    <row r="23" spans="1:65" hidden="1" x14ac:dyDescent="0.25">
      <c r="A23" t="s">
        <v>1088</v>
      </c>
      <c r="B23" t="s">
        <v>1376</v>
      </c>
      <c r="C23" t="s">
        <v>1732</v>
      </c>
      <c r="D23" t="s">
        <v>1733</v>
      </c>
      <c r="AO23">
        <v>27.7</v>
      </c>
      <c r="AT23">
        <v>27.9</v>
      </c>
      <c r="AY23">
        <v>27.3</v>
      </c>
      <c r="BE23">
        <v>32.6</v>
      </c>
      <c r="BG23">
        <v>33.1</v>
      </c>
      <c r="BK23">
        <v>32.299999999999997</v>
      </c>
    </row>
    <row r="24" spans="1:65" hidden="1" x14ac:dyDescent="0.2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25">
      <c r="A25" t="s">
        <v>1140</v>
      </c>
      <c r="B25" t="s">
        <v>1378</v>
      </c>
      <c r="C25" t="s">
        <v>1732</v>
      </c>
      <c r="D25" t="s">
        <v>1733</v>
      </c>
      <c r="AM25">
        <v>21.6</v>
      </c>
      <c r="AP25">
        <v>19.7</v>
      </c>
      <c r="AS25">
        <v>18.2</v>
      </c>
      <c r="AW25">
        <v>15</v>
      </c>
      <c r="AZ25">
        <v>16.8</v>
      </c>
      <c r="BD25">
        <v>13.5</v>
      </c>
      <c r="BF25">
        <v>13.9</v>
      </c>
      <c r="BG25">
        <v>12</v>
      </c>
      <c r="BL25">
        <v>13.7</v>
      </c>
    </row>
    <row r="26" spans="1:65" hidden="1" x14ac:dyDescent="0.25">
      <c r="A26" t="s">
        <v>1235</v>
      </c>
      <c r="B26" t="s">
        <v>1379</v>
      </c>
      <c r="C26" t="s">
        <v>1732</v>
      </c>
      <c r="D26" t="s">
        <v>1733</v>
      </c>
      <c r="AQ26">
        <v>29.7</v>
      </c>
    </row>
    <row r="27" spans="1:65" hidden="1" x14ac:dyDescent="0.25">
      <c r="A27" t="s">
        <v>1115</v>
      </c>
      <c r="B27" t="s">
        <v>1380</v>
      </c>
      <c r="C27" t="s">
        <v>1732</v>
      </c>
      <c r="D27" t="s">
        <v>1733</v>
      </c>
    </row>
    <row r="28" spans="1:65" hidden="1" x14ac:dyDescent="0.25">
      <c r="A28" t="s">
        <v>1381</v>
      </c>
      <c r="B28" t="s">
        <v>1382</v>
      </c>
      <c r="C28" t="s">
        <v>1732</v>
      </c>
      <c r="D28" t="s">
        <v>1733</v>
      </c>
    </row>
    <row r="29" spans="1:65" hidden="1" x14ac:dyDescent="0.25">
      <c r="A29" t="s">
        <v>1258</v>
      </c>
      <c r="B29" t="s">
        <v>1383</v>
      </c>
      <c r="C29" t="s">
        <v>1732</v>
      </c>
      <c r="D29" t="s">
        <v>1733</v>
      </c>
      <c r="BE29">
        <v>9</v>
      </c>
    </row>
    <row r="30" spans="1:65" hidden="1" x14ac:dyDescent="0.25">
      <c r="A30" t="s">
        <v>1234</v>
      </c>
      <c r="B30" t="s">
        <v>1384</v>
      </c>
      <c r="C30" t="s">
        <v>1732</v>
      </c>
      <c r="D30" t="s">
        <v>1733</v>
      </c>
      <c r="BE30">
        <v>7</v>
      </c>
    </row>
    <row r="31" spans="1:65" hidden="1" x14ac:dyDescent="0.25">
      <c r="A31" t="s">
        <v>1190</v>
      </c>
      <c r="B31" t="s">
        <v>1385</v>
      </c>
      <c r="C31" t="s">
        <v>1732</v>
      </c>
      <c r="D31" t="s">
        <v>1733</v>
      </c>
      <c r="AJ31">
        <v>25.7</v>
      </c>
      <c r="AR31">
        <v>20.8</v>
      </c>
      <c r="BD31">
        <v>15.9</v>
      </c>
      <c r="BI31">
        <v>22.2</v>
      </c>
    </row>
    <row r="32" spans="1:65" hidden="1" x14ac:dyDescent="0.25">
      <c r="A32" t="s">
        <v>1386</v>
      </c>
      <c r="B32" t="s">
        <v>1387</v>
      </c>
      <c r="C32" t="s">
        <v>1732</v>
      </c>
      <c r="D32" t="s">
        <v>1733</v>
      </c>
    </row>
    <row r="33" spans="1:64" hidden="1" x14ac:dyDescent="0.25">
      <c r="A33" t="s">
        <v>1388</v>
      </c>
      <c r="B33" t="s">
        <v>1389</v>
      </c>
      <c r="C33" t="s">
        <v>1732</v>
      </c>
      <c r="D33" t="s">
        <v>1733</v>
      </c>
      <c r="AH33">
        <v>35.700000000000003</v>
      </c>
      <c r="AM33">
        <v>28.9</v>
      </c>
      <c r="AQ33">
        <v>26.6</v>
      </c>
      <c r="AV33">
        <v>22.8</v>
      </c>
      <c r="AW33">
        <v>22.8</v>
      </c>
      <c r="BA33">
        <v>20.100000000000001</v>
      </c>
      <c r="BI33">
        <v>23.2</v>
      </c>
    </row>
    <row r="34" spans="1:64" hidden="1" x14ac:dyDescent="0.25">
      <c r="A34" t="s">
        <v>1201</v>
      </c>
      <c r="B34" t="s">
        <v>1390</v>
      </c>
      <c r="C34" t="s">
        <v>1732</v>
      </c>
      <c r="D34" t="s">
        <v>1733</v>
      </c>
      <c r="AE34">
        <v>12.8</v>
      </c>
      <c r="AO34">
        <v>10.8</v>
      </c>
      <c r="AY34">
        <v>6</v>
      </c>
      <c r="AZ34">
        <v>6</v>
      </c>
    </row>
    <row r="35" spans="1:64" hidden="1" x14ac:dyDescent="0.25">
      <c r="A35" t="s">
        <v>1175</v>
      </c>
      <c r="B35" t="s">
        <v>1391</v>
      </c>
      <c r="C35" t="s">
        <v>1732</v>
      </c>
      <c r="D35" t="s">
        <v>1733</v>
      </c>
      <c r="BE35">
        <v>19.899999999999999</v>
      </c>
    </row>
    <row r="36" spans="1:64" hidden="1" x14ac:dyDescent="0.25">
      <c r="A36" t="s">
        <v>1159</v>
      </c>
      <c r="B36" t="s">
        <v>1392</v>
      </c>
      <c r="C36" t="s">
        <v>1732</v>
      </c>
      <c r="D36" t="s">
        <v>1733</v>
      </c>
    </row>
    <row r="37" spans="1:64" hidden="1" x14ac:dyDescent="0.25">
      <c r="A37" t="s">
        <v>1141</v>
      </c>
      <c r="B37" t="s">
        <v>1393</v>
      </c>
      <c r="C37" t="s">
        <v>1732</v>
      </c>
      <c r="D37" t="s">
        <v>1733</v>
      </c>
      <c r="BC37">
        <v>11.7</v>
      </c>
    </row>
    <row r="38" spans="1:64" hidden="1" x14ac:dyDescent="0.25">
      <c r="A38" t="s">
        <v>580</v>
      </c>
      <c r="B38" t="s">
        <v>1394</v>
      </c>
      <c r="C38" t="s">
        <v>1732</v>
      </c>
      <c r="D38" t="s">
        <v>1733</v>
      </c>
      <c r="AG38">
        <v>26.9</v>
      </c>
      <c r="AZ38">
        <v>9.6</v>
      </c>
      <c r="BA38">
        <v>9.6</v>
      </c>
    </row>
    <row r="39" spans="1:64" hidden="1" x14ac:dyDescent="0.25">
      <c r="A39" t="s">
        <v>584</v>
      </c>
      <c r="B39" t="s">
        <v>1395</v>
      </c>
      <c r="C39" t="s">
        <v>1732</v>
      </c>
      <c r="D39" t="s">
        <v>1733</v>
      </c>
      <c r="AN39">
        <v>19.100000000000001</v>
      </c>
      <c r="BC39">
        <v>27</v>
      </c>
      <c r="BD39">
        <v>27</v>
      </c>
      <c r="BL39">
        <v>37.6</v>
      </c>
    </row>
    <row r="40" spans="1:64" hidden="1" x14ac:dyDescent="0.25">
      <c r="A40" t="s">
        <v>1278</v>
      </c>
      <c r="B40" t="s">
        <v>1396</v>
      </c>
      <c r="C40" t="s">
        <v>1732</v>
      </c>
      <c r="D40" t="s">
        <v>1733</v>
      </c>
    </row>
    <row r="41" spans="1:64" hidden="1" x14ac:dyDescent="0.25">
      <c r="A41" t="s">
        <v>1397</v>
      </c>
      <c r="B41" t="s">
        <v>1398</v>
      </c>
      <c r="C41" t="s">
        <v>1732</v>
      </c>
      <c r="D41" t="s">
        <v>1733</v>
      </c>
    </row>
    <row r="42" spans="1:64" hidden="1" x14ac:dyDescent="0.25">
      <c r="A42" t="s">
        <v>1276</v>
      </c>
      <c r="B42" t="s">
        <v>1399</v>
      </c>
      <c r="C42" t="s">
        <v>1732</v>
      </c>
      <c r="D42" t="s">
        <v>1733</v>
      </c>
    </row>
    <row r="43" spans="1:64" hidden="1" x14ac:dyDescent="0.25">
      <c r="A43" t="s">
        <v>1245</v>
      </c>
      <c r="B43" t="s">
        <v>1400</v>
      </c>
      <c r="C43" t="s">
        <v>1732</v>
      </c>
      <c r="D43" t="s">
        <v>1733</v>
      </c>
    </row>
    <row r="44" spans="1:64" hidden="1" x14ac:dyDescent="0.25">
      <c r="A44" t="s">
        <v>1202</v>
      </c>
      <c r="B44" t="s">
        <v>1401</v>
      </c>
      <c r="C44" t="s">
        <v>1732</v>
      </c>
      <c r="D44" t="s">
        <v>1733</v>
      </c>
    </row>
    <row r="45" spans="1:64" hidden="1" x14ac:dyDescent="0.25">
      <c r="A45" t="s">
        <v>1150</v>
      </c>
      <c r="B45" t="s">
        <v>1402</v>
      </c>
      <c r="C45" t="s">
        <v>1732</v>
      </c>
      <c r="D45" t="s">
        <v>1733</v>
      </c>
      <c r="AK45">
        <v>3.3</v>
      </c>
      <c r="AP45">
        <v>2.7</v>
      </c>
      <c r="AT45">
        <v>2.2999999999999998</v>
      </c>
    </row>
    <row r="46" spans="1:64" hidden="1" x14ac:dyDescent="0.25">
      <c r="A46" t="s">
        <v>1403</v>
      </c>
      <c r="B46" t="s">
        <v>1404</v>
      </c>
      <c r="C46" t="s">
        <v>1732</v>
      </c>
      <c r="D46" t="s">
        <v>1733</v>
      </c>
      <c r="AM46">
        <v>30.4</v>
      </c>
      <c r="AR46">
        <v>28.9</v>
      </c>
      <c r="BE46">
        <v>27.1</v>
      </c>
      <c r="BI46">
        <v>30.5</v>
      </c>
      <c r="BJ46">
        <v>32.856492245041203</v>
      </c>
      <c r="BK46">
        <v>26.5</v>
      </c>
    </row>
    <row r="47" spans="1:64" hidden="1" x14ac:dyDescent="0.25">
      <c r="A47" t="s">
        <v>1079</v>
      </c>
      <c r="B47" t="s">
        <v>1405</v>
      </c>
      <c r="C47" t="s">
        <v>1732</v>
      </c>
      <c r="D47" t="s">
        <v>1733</v>
      </c>
      <c r="AJ47">
        <v>22.4</v>
      </c>
      <c r="AQ47">
        <v>20.7</v>
      </c>
      <c r="AW47">
        <v>20.5</v>
      </c>
      <c r="BD47">
        <v>23.5</v>
      </c>
      <c r="BG47">
        <v>18</v>
      </c>
      <c r="BK47">
        <v>23</v>
      </c>
    </row>
    <row r="48" spans="1:64" hidden="1" x14ac:dyDescent="0.25">
      <c r="A48" t="s">
        <v>1406</v>
      </c>
      <c r="B48" t="s">
        <v>1407</v>
      </c>
      <c r="C48" t="s">
        <v>1732</v>
      </c>
      <c r="D48" t="s">
        <v>1733</v>
      </c>
      <c r="AZ48">
        <v>26.9</v>
      </c>
      <c r="BC48">
        <v>24.2</v>
      </c>
      <c r="BG48">
        <v>27.7</v>
      </c>
      <c r="BK48">
        <v>28.7</v>
      </c>
    </row>
    <row r="49" spans="1:64" hidden="1" x14ac:dyDescent="0.25">
      <c r="A49" t="s">
        <v>1408</v>
      </c>
      <c r="B49" t="s">
        <v>1409</v>
      </c>
      <c r="C49" t="s">
        <v>1732</v>
      </c>
      <c r="D49" t="s">
        <v>1733</v>
      </c>
      <c r="AX49">
        <v>19.5</v>
      </c>
      <c r="BE49">
        <v>18.2</v>
      </c>
      <c r="BH49">
        <v>17.899999999999999</v>
      </c>
    </row>
    <row r="50" spans="1:64" hidden="1" x14ac:dyDescent="0.25">
      <c r="A50" t="s">
        <v>1203</v>
      </c>
      <c r="B50" t="s">
        <v>1410</v>
      </c>
      <c r="C50" t="s">
        <v>1732</v>
      </c>
      <c r="D50" t="s">
        <v>1733</v>
      </c>
      <c r="AE50">
        <v>13.5</v>
      </c>
      <c r="AI50">
        <v>13.7</v>
      </c>
      <c r="AN50">
        <v>11.4</v>
      </c>
      <c r="AS50">
        <v>10</v>
      </c>
      <c r="AX50">
        <v>8.6</v>
      </c>
      <c r="BC50">
        <v>8</v>
      </c>
      <c r="BH50">
        <v>7</v>
      </c>
      <c r="BI50">
        <v>6.7</v>
      </c>
    </row>
    <row r="51" spans="1:64" hidden="1" x14ac:dyDescent="0.25">
      <c r="A51" t="s">
        <v>1067</v>
      </c>
      <c r="B51" t="s">
        <v>1411</v>
      </c>
      <c r="C51" t="s">
        <v>1732</v>
      </c>
      <c r="D51" t="s">
        <v>1733</v>
      </c>
      <c r="AO51">
        <v>35.6</v>
      </c>
      <c r="BE51">
        <v>31.6</v>
      </c>
    </row>
    <row r="52" spans="1:64" hidden="1" x14ac:dyDescent="0.25">
      <c r="A52" t="s">
        <v>1090</v>
      </c>
      <c r="B52" t="s">
        <v>1412</v>
      </c>
      <c r="C52" t="s">
        <v>1732</v>
      </c>
      <c r="D52" t="s">
        <v>1733</v>
      </c>
      <c r="AQ52">
        <v>14.2</v>
      </c>
      <c r="AX52">
        <v>16.7</v>
      </c>
    </row>
    <row r="53" spans="1:64" hidden="1" x14ac:dyDescent="0.25">
      <c r="A53" t="s">
        <v>1191</v>
      </c>
      <c r="B53" t="s">
        <v>1413</v>
      </c>
      <c r="C53" t="s">
        <v>1732</v>
      </c>
      <c r="D53" t="s">
        <v>1733</v>
      </c>
      <c r="AL53">
        <v>5</v>
      </c>
      <c r="BC53">
        <v>11.7</v>
      </c>
      <c r="BD53">
        <v>7.6</v>
      </c>
      <c r="BK53">
        <v>13.7</v>
      </c>
    </row>
    <row r="54" spans="1:64" hidden="1" x14ac:dyDescent="0.25">
      <c r="A54" t="s">
        <v>1414</v>
      </c>
      <c r="B54" t="s">
        <v>1415</v>
      </c>
      <c r="C54" t="s">
        <v>1732</v>
      </c>
      <c r="D54" t="s">
        <v>1733</v>
      </c>
      <c r="BC54">
        <v>16.881390455074595</v>
      </c>
    </row>
    <row r="55" spans="1:64" hidden="1" x14ac:dyDescent="0.25">
      <c r="A55" t="s">
        <v>1176</v>
      </c>
      <c r="B55" t="s">
        <v>1416</v>
      </c>
      <c r="C55" t="s">
        <v>1732</v>
      </c>
      <c r="D55" t="s">
        <v>1733</v>
      </c>
      <c r="BD55">
        <v>9.1</v>
      </c>
      <c r="BG55">
        <v>8</v>
      </c>
      <c r="BL55">
        <v>8.7802372119324499</v>
      </c>
    </row>
    <row r="56" spans="1:64" hidden="1" x14ac:dyDescent="0.25">
      <c r="A56" t="s">
        <v>1417</v>
      </c>
      <c r="B56" t="s">
        <v>1418</v>
      </c>
      <c r="C56" t="s">
        <v>1732</v>
      </c>
      <c r="D56" t="s">
        <v>1733</v>
      </c>
    </row>
    <row r="57" spans="1:64" hidden="1" x14ac:dyDescent="0.25">
      <c r="A57" t="s">
        <v>1419</v>
      </c>
      <c r="B57" t="s">
        <v>1420</v>
      </c>
      <c r="C57" t="s">
        <v>1732</v>
      </c>
      <c r="D57" t="s">
        <v>1733</v>
      </c>
    </row>
    <row r="58" spans="1:64" hidden="1" x14ac:dyDescent="0.25">
      <c r="A58" t="s">
        <v>1116</v>
      </c>
      <c r="B58" t="s">
        <v>1421</v>
      </c>
      <c r="C58" t="s">
        <v>1732</v>
      </c>
      <c r="D58" t="s">
        <v>1733</v>
      </c>
    </row>
    <row r="59" spans="1:64" hidden="1" x14ac:dyDescent="0.25">
      <c r="A59" t="s">
        <v>1422</v>
      </c>
      <c r="B59" t="s">
        <v>1423</v>
      </c>
      <c r="C59" t="s">
        <v>1732</v>
      </c>
      <c r="D59" t="s">
        <v>1733</v>
      </c>
      <c r="AL59">
        <v>14.6</v>
      </c>
      <c r="AP59">
        <v>10.8</v>
      </c>
      <c r="AX59">
        <v>8.1</v>
      </c>
      <c r="BA59">
        <v>4.3</v>
      </c>
    </row>
    <row r="60" spans="1:64" hidden="1" x14ac:dyDescent="0.25">
      <c r="A60" t="s">
        <v>1273</v>
      </c>
      <c r="B60" t="s">
        <v>1424</v>
      </c>
      <c r="C60" t="s">
        <v>1732</v>
      </c>
      <c r="D60" t="s">
        <v>1733</v>
      </c>
    </row>
    <row r="61" spans="1:64" hidden="1" x14ac:dyDescent="0.25">
      <c r="A61" t="s">
        <v>1068</v>
      </c>
      <c r="B61" t="s">
        <v>1425</v>
      </c>
      <c r="C61" t="s">
        <v>1732</v>
      </c>
      <c r="D61" t="s">
        <v>1733</v>
      </c>
    </row>
    <row r="62" spans="1:64" hidden="1" x14ac:dyDescent="0.25">
      <c r="A62" t="s">
        <v>1426</v>
      </c>
      <c r="B62" t="s">
        <v>1427</v>
      </c>
      <c r="C62" t="s">
        <v>1732</v>
      </c>
      <c r="D62" t="s">
        <v>1733</v>
      </c>
    </row>
    <row r="63" spans="1:64" hidden="1" x14ac:dyDescent="0.25">
      <c r="A63" t="s">
        <v>1246</v>
      </c>
      <c r="B63" t="s">
        <v>1428</v>
      </c>
      <c r="C63" t="s">
        <v>1732</v>
      </c>
      <c r="D63" t="s">
        <v>1733</v>
      </c>
    </row>
    <row r="64" spans="1:64" hidden="1" x14ac:dyDescent="0.25">
      <c r="A64" t="s">
        <v>1178</v>
      </c>
      <c r="B64" t="s">
        <v>1429</v>
      </c>
      <c r="C64" t="s">
        <v>1732</v>
      </c>
      <c r="D64" t="s">
        <v>1733</v>
      </c>
      <c r="AE64">
        <v>19.399999999999999</v>
      </c>
      <c r="AJ64">
        <v>19.399999999999999</v>
      </c>
      <c r="AO64">
        <v>14.3</v>
      </c>
      <c r="AR64">
        <v>13.8</v>
      </c>
      <c r="AU64">
        <v>12.4</v>
      </c>
      <c r="AZ64">
        <v>11.1</v>
      </c>
      <c r="BF64">
        <v>10.8</v>
      </c>
      <c r="BG64">
        <v>11.4</v>
      </c>
    </row>
    <row r="65" spans="1:63" hidden="1" x14ac:dyDescent="0.25">
      <c r="A65" t="s">
        <v>1105</v>
      </c>
      <c r="B65" t="s">
        <v>1430</v>
      </c>
      <c r="C65" t="s">
        <v>1732</v>
      </c>
      <c r="D65" t="s">
        <v>1733</v>
      </c>
      <c r="AY65">
        <v>10.8</v>
      </c>
      <c r="BE65">
        <v>10.4</v>
      </c>
      <c r="BF65">
        <v>7</v>
      </c>
    </row>
    <row r="66" spans="1:63" hidden="1" x14ac:dyDescent="0.25">
      <c r="A66" t="s">
        <v>1431</v>
      </c>
      <c r="B66" t="s">
        <v>1432</v>
      </c>
      <c r="C66" t="s">
        <v>1732</v>
      </c>
      <c r="D66" t="s">
        <v>1733</v>
      </c>
      <c r="AI66">
        <v>5.5430541004073604</v>
      </c>
      <c r="AS66">
        <v>4.6751851167517255</v>
      </c>
    </row>
    <row r="67" spans="1:63" hidden="1" x14ac:dyDescent="0.25">
      <c r="A67" t="s">
        <v>1433</v>
      </c>
      <c r="B67" t="s">
        <v>1434</v>
      </c>
      <c r="C67" t="s">
        <v>1732</v>
      </c>
      <c r="D67" t="s">
        <v>1733</v>
      </c>
      <c r="AS67">
        <v>19.036163737095563</v>
      </c>
      <c r="BC67">
        <v>17.123465430722138</v>
      </c>
      <c r="BJ67">
        <v>14.082296311851188</v>
      </c>
    </row>
    <row r="68" spans="1:63" hidden="1" x14ac:dyDescent="0.25">
      <c r="A68" t="s">
        <v>1435</v>
      </c>
      <c r="B68" t="s">
        <v>1436</v>
      </c>
      <c r="C68" t="s">
        <v>1732</v>
      </c>
      <c r="D68" t="s">
        <v>1733</v>
      </c>
      <c r="AI68">
        <v>5.5430541004073604</v>
      </c>
      <c r="AS68">
        <v>4.6751851167517255</v>
      </c>
    </row>
    <row r="69" spans="1:63" hidden="1" x14ac:dyDescent="0.25">
      <c r="A69" t="s">
        <v>1437</v>
      </c>
      <c r="B69" t="s">
        <v>1438</v>
      </c>
      <c r="C69" t="s">
        <v>1732</v>
      </c>
      <c r="D69" t="s">
        <v>1733</v>
      </c>
      <c r="BC69">
        <v>8.6003922174420158</v>
      </c>
    </row>
    <row r="70" spans="1:63" hidden="1" x14ac:dyDescent="0.25">
      <c r="A70" t="s">
        <v>1439</v>
      </c>
      <c r="B70" t="s">
        <v>1440</v>
      </c>
      <c r="C70" t="s">
        <v>1732</v>
      </c>
      <c r="D70" t="s">
        <v>1733</v>
      </c>
    </row>
    <row r="71" spans="1:63" hidden="1" x14ac:dyDescent="0.25">
      <c r="A71" t="s">
        <v>1204</v>
      </c>
      <c r="B71" t="s">
        <v>1441</v>
      </c>
      <c r="C71" t="s">
        <v>1732</v>
      </c>
      <c r="D71" t="s">
        <v>1733</v>
      </c>
      <c r="AF71">
        <v>24.2</v>
      </c>
      <c r="AH71">
        <v>24.6</v>
      </c>
      <c r="AM71">
        <v>15.2</v>
      </c>
      <c r="AR71">
        <v>10</v>
      </c>
      <c r="AW71">
        <v>7.4</v>
      </c>
      <c r="BE71">
        <v>8.8000000000000007</v>
      </c>
    </row>
    <row r="72" spans="1:63" hidden="1" x14ac:dyDescent="0.2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25">
      <c r="A73" t="s">
        <v>1444</v>
      </c>
      <c r="B73" t="s">
        <v>1445</v>
      </c>
      <c r="C73" t="s">
        <v>1732</v>
      </c>
      <c r="D73" t="s">
        <v>1733</v>
      </c>
    </row>
    <row r="74" spans="1:63" hidden="1" x14ac:dyDescent="0.25">
      <c r="A74" t="s">
        <v>592</v>
      </c>
      <c r="B74" t="s">
        <v>1446</v>
      </c>
      <c r="C74" t="s">
        <v>1732</v>
      </c>
      <c r="D74" t="s">
        <v>1733</v>
      </c>
      <c r="AN74">
        <v>29.7</v>
      </c>
      <c r="AO74">
        <v>29.7</v>
      </c>
      <c r="AU74">
        <v>28.5</v>
      </c>
      <c r="BC74">
        <v>27.4</v>
      </c>
    </row>
    <row r="75" spans="1:63" hidden="1" x14ac:dyDescent="0.25">
      <c r="A75" t="s">
        <v>1268</v>
      </c>
      <c r="B75" t="s">
        <v>1447</v>
      </c>
      <c r="C75" t="s">
        <v>1732</v>
      </c>
      <c r="D75" t="s">
        <v>1733</v>
      </c>
      <c r="AN75">
        <v>11.8</v>
      </c>
    </row>
    <row r="76" spans="1:63" hidden="1" x14ac:dyDescent="0.25">
      <c r="A76" t="s">
        <v>1247</v>
      </c>
      <c r="B76" t="s">
        <v>1448</v>
      </c>
      <c r="C76" t="s">
        <v>1732</v>
      </c>
      <c r="D76" t="s">
        <v>1733</v>
      </c>
    </row>
    <row r="77" spans="1:63" x14ac:dyDescent="0.25">
      <c r="A77" t="s">
        <v>594</v>
      </c>
      <c r="B77" t="s">
        <v>926</v>
      </c>
      <c r="C77" t="s">
        <v>1732</v>
      </c>
      <c r="D77" t="s">
        <v>1733</v>
      </c>
      <c r="AS77">
        <v>36.6</v>
      </c>
      <c r="AX77">
        <v>36.1</v>
      </c>
      <c r="BD77">
        <v>26.3</v>
      </c>
      <c r="BH77">
        <v>24.4</v>
      </c>
      <c r="BI77">
        <v>22.3</v>
      </c>
      <c r="BJ77">
        <v>22.724205180569701</v>
      </c>
      <c r="BK77">
        <v>20.6</v>
      </c>
    </row>
    <row r="78" spans="1:63" hidden="1" x14ac:dyDescent="0.25">
      <c r="A78" t="s">
        <v>1449</v>
      </c>
      <c r="B78" t="s">
        <v>1450</v>
      </c>
      <c r="C78" t="s">
        <v>1732</v>
      </c>
      <c r="D78" t="s">
        <v>1733</v>
      </c>
    </row>
    <row r="79" spans="1:63" hidden="1" x14ac:dyDescent="0.25">
      <c r="A79" t="s">
        <v>1451</v>
      </c>
      <c r="B79" t="s">
        <v>1452</v>
      </c>
      <c r="C79" t="s">
        <v>1732</v>
      </c>
      <c r="D79" t="s">
        <v>1733</v>
      </c>
      <c r="BC79">
        <v>21.975174955062435</v>
      </c>
      <c r="BJ79">
        <v>22.006657003566328</v>
      </c>
    </row>
    <row r="80" spans="1:63" hidden="1" x14ac:dyDescent="0.25">
      <c r="A80" t="s">
        <v>1248</v>
      </c>
      <c r="B80" t="s">
        <v>1453</v>
      </c>
      <c r="C80" t="s">
        <v>1732</v>
      </c>
      <c r="D80" t="s">
        <v>1733</v>
      </c>
    </row>
    <row r="81" spans="1:65" hidden="1" x14ac:dyDescent="0.25">
      <c r="A81" t="s">
        <v>1217</v>
      </c>
      <c r="B81" t="s">
        <v>1454</v>
      </c>
      <c r="C81" t="s">
        <v>1732</v>
      </c>
      <c r="D81" t="s">
        <v>1733</v>
      </c>
    </row>
    <row r="82" spans="1:65" hidden="1" x14ac:dyDescent="0.25">
      <c r="A82" t="s">
        <v>1272</v>
      </c>
      <c r="B82" t="s">
        <v>1455</v>
      </c>
      <c r="C82" t="s">
        <v>1732</v>
      </c>
      <c r="D82" t="s">
        <v>1733</v>
      </c>
      <c r="AM82">
        <v>7.4</v>
      </c>
      <c r="AX82">
        <v>1.7</v>
      </c>
    </row>
    <row r="83" spans="1:65" hidden="1" x14ac:dyDescent="0.25">
      <c r="A83" t="s">
        <v>1456</v>
      </c>
      <c r="B83" t="s">
        <v>1457</v>
      </c>
      <c r="C83" t="s">
        <v>1732</v>
      </c>
      <c r="D83" t="s">
        <v>1733</v>
      </c>
    </row>
    <row r="84" spans="1:65" hidden="1" x14ac:dyDescent="0.25">
      <c r="A84" t="s">
        <v>1458</v>
      </c>
      <c r="B84" t="s">
        <v>1459</v>
      </c>
      <c r="C84" t="s">
        <v>1732</v>
      </c>
      <c r="D84" t="s">
        <v>1733</v>
      </c>
    </row>
    <row r="85" spans="1:65" hidden="1" x14ac:dyDescent="0.25">
      <c r="A85" t="s">
        <v>1083</v>
      </c>
      <c r="B85" t="s">
        <v>1460</v>
      </c>
      <c r="C85" t="s">
        <v>1732</v>
      </c>
      <c r="D85" t="s">
        <v>1733</v>
      </c>
      <c r="AS85">
        <v>27.9</v>
      </c>
      <c r="BE85">
        <v>26.5</v>
      </c>
    </row>
    <row r="86" spans="1:65" hidden="1" x14ac:dyDescent="0.25">
      <c r="A86" t="s">
        <v>1255</v>
      </c>
      <c r="B86" t="s">
        <v>1461</v>
      </c>
      <c r="C86" t="s">
        <v>1732</v>
      </c>
      <c r="D86" t="s">
        <v>1733</v>
      </c>
      <c r="BE86">
        <v>8.1199999999999992</v>
      </c>
    </row>
    <row r="87" spans="1:65" hidden="1" x14ac:dyDescent="0.25">
      <c r="A87" t="s">
        <v>1117</v>
      </c>
      <c r="B87" t="s">
        <v>1462</v>
      </c>
      <c r="C87" t="s">
        <v>1732</v>
      </c>
      <c r="D87" t="s">
        <v>1733</v>
      </c>
      <c r="AR87">
        <v>23.8</v>
      </c>
      <c r="AS87">
        <v>23.8</v>
      </c>
      <c r="BC87">
        <v>12.3</v>
      </c>
      <c r="BK87">
        <v>23.1</v>
      </c>
    </row>
    <row r="88" spans="1:65" hidden="1" x14ac:dyDescent="0.2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25">
      <c r="A89" t="s">
        <v>1464</v>
      </c>
      <c r="B89" t="s">
        <v>1465</v>
      </c>
      <c r="C89" t="s">
        <v>1732</v>
      </c>
      <c r="D89" t="s">
        <v>1733</v>
      </c>
    </row>
    <row r="90" spans="1:65" hidden="1" x14ac:dyDescent="0.25">
      <c r="A90" t="s">
        <v>1093</v>
      </c>
      <c r="B90" t="s">
        <v>1466</v>
      </c>
      <c r="C90" t="s">
        <v>1732</v>
      </c>
      <c r="D90" t="s">
        <v>1733</v>
      </c>
      <c r="AK90">
        <v>24.7</v>
      </c>
      <c r="AL90">
        <v>24.7</v>
      </c>
      <c r="AR90">
        <v>24.8</v>
      </c>
      <c r="AX90">
        <v>21.9</v>
      </c>
      <c r="BE90">
        <v>23.7</v>
      </c>
      <c r="BI90">
        <v>27.6</v>
      </c>
      <c r="BK90">
        <v>22.1</v>
      </c>
    </row>
    <row r="91" spans="1:65" hidden="1" x14ac:dyDescent="0.25">
      <c r="A91" t="s">
        <v>1467</v>
      </c>
      <c r="B91" t="s">
        <v>1468</v>
      </c>
      <c r="C91" t="s">
        <v>1732</v>
      </c>
      <c r="D91" t="s">
        <v>1733</v>
      </c>
      <c r="BC91">
        <v>21.5</v>
      </c>
      <c r="BF91">
        <v>24.9</v>
      </c>
      <c r="BK91">
        <v>26.5</v>
      </c>
      <c r="BM91">
        <v>24.2</v>
      </c>
    </row>
    <row r="92" spans="1:65" hidden="1" x14ac:dyDescent="0.25">
      <c r="A92" t="s">
        <v>1094</v>
      </c>
      <c r="B92" t="s">
        <v>1469</v>
      </c>
      <c r="C92" t="s">
        <v>1732</v>
      </c>
      <c r="D92" t="s">
        <v>1733</v>
      </c>
      <c r="BC92">
        <v>6</v>
      </c>
      <c r="BG92">
        <v>22.3</v>
      </c>
      <c r="BL92">
        <v>21.1</v>
      </c>
    </row>
    <row r="93" spans="1:65" hidden="1" x14ac:dyDescent="0.25">
      <c r="A93" t="s">
        <v>1082</v>
      </c>
      <c r="B93" t="s">
        <v>1470</v>
      </c>
      <c r="C93" t="s">
        <v>1732</v>
      </c>
      <c r="D93" t="s">
        <v>1733</v>
      </c>
      <c r="BD93">
        <v>33.799999999999997</v>
      </c>
    </row>
    <row r="94" spans="1:65" hidden="1" x14ac:dyDescent="0.25">
      <c r="A94" t="s">
        <v>1260</v>
      </c>
      <c r="B94" t="s">
        <v>1471</v>
      </c>
      <c r="C94" t="s">
        <v>1732</v>
      </c>
      <c r="D94" t="s">
        <v>1733</v>
      </c>
    </row>
    <row r="95" spans="1:65" hidden="1" x14ac:dyDescent="0.25">
      <c r="A95" t="s">
        <v>1179</v>
      </c>
      <c r="B95" t="s">
        <v>1472</v>
      </c>
      <c r="C95" t="s">
        <v>1732</v>
      </c>
      <c r="D95" t="s">
        <v>1733</v>
      </c>
    </row>
    <row r="96" spans="1:65" hidden="1" x14ac:dyDescent="0.25">
      <c r="A96" t="s">
        <v>1473</v>
      </c>
      <c r="B96" t="s">
        <v>1474</v>
      </c>
      <c r="C96" t="s">
        <v>1732</v>
      </c>
      <c r="D96" t="s">
        <v>1733</v>
      </c>
    </row>
    <row r="97" spans="1:62" hidden="1" x14ac:dyDescent="0.25">
      <c r="A97" t="s">
        <v>1193</v>
      </c>
      <c r="B97" t="s">
        <v>1475</v>
      </c>
      <c r="C97" t="s">
        <v>1732</v>
      </c>
      <c r="D97" t="s">
        <v>1733</v>
      </c>
      <c r="AF97">
        <v>29.4</v>
      </c>
      <c r="AN97">
        <v>28.1</v>
      </c>
      <c r="AR97">
        <v>26.8</v>
      </c>
      <c r="AU97">
        <v>27.6</v>
      </c>
      <c r="BB97">
        <v>20.8</v>
      </c>
      <c r="BH97">
        <v>13.9</v>
      </c>
    </row>
    <row r="98" spans="1:62" hidden="1" x14ac:dyDescent="0.25">
      <c r="A98" t="s">
        <v>1223</v>
      </c>
      <c r="B98" t="s">
        <v>1476</v>
      </c>
      <c r="C98" t="s">
        <v>1732</v>
      </c>
      <c r="D98" t="s">
        <v>1733</v>
      </c>
    </row>
    <row r="99" spans="1:62" hidden="1" x14ac:dyDescent="0.25">
      <c r="A99" t="s">
        <v>1206</v>
      </c>
      <c r="B99" t="s">
        <v>1477</v>
      </c>
      <c r="C99" t="s">
        <v>1732</v>
      </c>
      <c r="D99" t="s">
        <v>1733</v>
      </c>
      <c r="BB99">
        <v>28.5</v>
      </c>
      <c r="BG99">
        <v>28</v>
      </c>
    </row>
    <row r="100" spans="1:62" hidden="1" x14ac:dyDescent="0.25">
      <c r="A100" t="s">
        <v>1478</v>
      </c>
      <c r="B100" t="s">
        <v>1479</v>
      </c>
      <c r="C100" t="s">
        <v>1732</v>
      </c>
      <c r="D100" t="s">
        <v>1733</v>
      </c>
    </row>
    <row r="101" spans="1:62" hidden="1" x14ac:dyDescent="0.25">
      <c r="A101" t="s">
        <v>1480</v>
      </c>
      <c r="B101" t="s">
        <v>1481</v>
      </c>
      <c r="C101" t="s">
        <v>1732</v>
      </c>
      <c r="D101" t="s">
        <v>1733</v>
      </c>
    </row>
    <row r="102" spans="1:62" hidden="1" x14ac:dyDescent="0.25">
      <c r="A102" t="s">
        <v>1194</v>
      </c>
      <c r="B102" t="s">
        <v>1482</v>
      </c>
      <c r="C102" t="s">
        <v>1732</v>
      </c>
      <c r="D102" t="s">
        <v>1733</v>
      </c>
      <c r="AF102">
        <v>15.8</v>
      </c>
      <c r="AK102">
        <v>13.2</v>
      </c>
      <c r="AO102">
        <v>18</v>
      </c>
      <c r="AT102">
        <v>11.2</v>
      </c>
      <c r="AY102">
        <v>16.8</v>
      </c>
      <c r="BE102">
        <v>10.7</v>
      </c>
    </row>
    <row r="103" spans="1:62" hidden="1" x14ac:dyDescent="0.25">
      <c r="A103" t="s">
        <v>1483</v>
      </c>
      <c r="B103" t="s">
        <v>1484</v>
      </c>
      <c r="C103" t="s">
        <v>1732</v>
      </c>
      <c r="D103" t="s">
        <v>1733</v>
      </c>
      <c r="BC103">
        <v>25.498949196054866</v>
      </c>
      <c r="BJ103">
        <v>24.808948541558713</v>
      </c>
    </row>
    <row r="104" spans="1:62" hidden="1" x14ac:dyDescent="0.25">
      <c r="A104" t="s">
        <v>1259</v>
      </c>
      <c r="B104" t="s">
        <v>1485</v>
      </c>
      <c r="C104" t="s">
        <v>1732</v>
      </c>
      <c r="D104" t="s">
        <v>1733</v>
      </c>
    </row>
    <row r="105" spans="1:62" hidden="1" x14ac:dyDescent="0.25">
      <c r="A105" t="s">
        <v>1181</v>
      </c>
      <c r="B105" t="s">
        <v>1486</v>
      </c>
      <c r="C105" t="s">
        <v>1732</v>
      </c>
      <c r="D105" t="s">
        <v>1733</v>
      </c>
      <c r="AH105">
        <v>27.2</v>
      </c>
      <c r="AN105">
        <v>44.7</v>
      </c>
      <c r="AS105">
        <v>39.6</v>
      </c>
      <c r="AY105">
        <v>37.299999999999997</v>
      </c>
      <c r="BE105">
        <v>35.299999999999997</v>
      </c>
      <c r="BI105">
        <v>38</v>
      </c>
      <c r="BJ105">
        <v>38</v>
      </c>
    </row>
    <row r="106" spans="1:62" hidden="1" x14ac:dyDescent="0.25">
      <c r="A106" t="s">
        <v>1237</v>
      </c>
      <c r="B106" t="s">
        <v>1487</v>
      </c>
      <c r="C106" t="s">
        <v>1732</v>
      </c>
      <c r="D106" t="s">
        <v>1733</v>
      </c>
      <c r="AL106">
        <v>7</v>
      </c>
    </row>
    <row r="107" spans="1:62" hidden="1" x14ac:dyDescent="0.25">
      <c r="A107" t="s">
        <v>1488</v>
      </c>
      <c r="B107" t="s">
        <v>1489</v>
      </c>
      <c r="C107" t="s">
        <v>1732</v>
      </c>
      <c r="D107" t="s">
        <v>1733</v>
      </c>
      <c r="AS107">
        <v>9.6449478714045416</v>
      </c>
    </row>
    <row r="108" spans="1:62" hidden="1" x14ac:dyDescent="0.25">
      <c r="A108" t="s">
        <v>1490</v>
      </c>
      <c r="B108" t="s">
        <v>1491</v>
      </c>
      <c r="C108" t="s">
        <v>1732</v>
      </c>
      <c r="D108" t="s">
        <v>1733</v>
      </c>
      <c r="AS108">
        <v>12.882659378746389</v>
      </c>
    </row>
    <row r="109" spans="1:62" hidden="1" x14ac:dyDescent="0.25">
      <c r="A109" t="s">
        <v>1492</v>
      </c>
      <c r="B109" t="s">
        <v>1493</v>
      </c>
      <c r="C109" t="s">
        <v>1732</v>
      </c>
      <c r="D109" t="s">
        <v>1733</v>
      </c>
      <c r="AS109">
        <v>26.004243532212111</v>
      </c>
      <c r="BC109">
        <v>22.124694614190126</v>
      </c>
      <c r="BJ109">
        <v>20.606031439695872</v>
      </c>
    </row>
    <row r="110" spans="1:62" hidden="1" x14ac:dyDescent="0.25">
      <c r="A110" t="s">
        <v>1494</v>
      </c>
      <c r="B110" t="s">
        <v>1495</v>
      </c>
      <c r="C110" t="s">
        <v>1732</v>
      </c>
      <c r="D110" t="s">
        <v>1733</v>
      </c>
      <c r="AI110">
        <v>27.176759884044976</v>
      </c>
      <c r="AS110">
        <v>26.315190516634964</v>
      </c>
      <c r="BJ110">
        <v>17.873361262878777</v>
      </c>
    </row>
    <row r="111" spans="1:62" hidden="1" x14ac:dyDescent="0.25">
      <c r="A111" t="s">
        <v>1161</v>
      </c>
      <c r="B111" t="s">
        <v>1496</v>
      </c>
      <c r="C111" t="s">
        <v>1732</v>
      </c>
      <c r="D111" t="s">
        <v>1733</v>
      </c>
      <c r="AF111">
        <v>16</v>
      </c>
      <c r="AJ111">
        <v>17</v>
      </c>
      <c r="AM111">
        <v>15.3</v>
      </c>
      <c r="AP111">
        <v>13.6</v>
      </c>
      <c r="AV111">
        <v>13.2</v>
      </c>
      <c r="BA111">
        <v>13.1</v>
      </c>
      <c r="BE111">
        <v>11.4</v>
      </c>
      <c r="BI111">
        <v>16.2</v>
      </c>
      <c r="BJ111">
        <v>10.6</v>
      </c>
    </row>
    <row r="112" spans="1:62" hidden="1" x14ac:dyDescent="0.25">
      <c r="A112" t="s">
        <v>1497</v>
      </c>
      <c r="B112" t="s">
        <v>1498</v>
      </c>
      <c r="C112" t="s">
        <v>1732</v>
      </c>
      <c r="D112" t="s">
        <v>1733</v>
      </c>
      <c r="AS112">
        <v>25.806797376010884</v>
      </c>
      <c r="BC112">
        <v>22.569632351594169</v>
      </c>
      <c r="BJ112">
        <v>21.972632728571622</v>
      </c>
    </row>
    <row r="113" spans="1:64" hidden="1" x14ac:dyDescent="0.25">
      <c r="A113" t="s">
        <v>1499</v>
      </c>
      <c r="B113" t="s">
        <v>1500</v>
      </c>
      <c r="C113" t="s">
        <v>1732</v>
      </c>
      <c r="D113" t="s">
        <v>1733</v>
      </c>
    </row>
    <row r="114" spans="1:64" hidden="1" x14ac:dyDescent="0.25">
      <c r="A114" t="s">
        <v>1142</v>
      </c>
      <c r="B114" t="s">
        <v>1501</v>
      </c>
      <c r="C114" t="s">
        <v>1732</v>
      </c>
      <c r="D114" t="s">
        <v>1733</v>
      </c>
      <c r="AL114">
        <v>20.3</v>
      </c>
      <c r="AR114">
        <v>16.100000000000001</v>
      </c>
      <c r="AV114">
        <v>21.1</v>
      </c>
      <c r="AW114">
        <v>21.1</v>
      </c>
      <c r="AY114">
        <v>13.9</v>
      </c>
      <c r="BA114">
        <v>20.5</v>
      </c>
      <c r="BI114">
        <v>12.9</v>
      </c>
    </row>
    <row r="115" spans="1:64" hidden="1" x14ac:dyDescent="0.25">
      <c r="A115" t="s">
        <v>1502</v>
      </c>
      <c r="B115" t="s">
        <v>1503</v>
      </c>
      <c r="C115" t="s">
        <v>1732</v>
      </c>
      <c r="D115" t="s">
        <v>1733</v>
      </c>
    </row>
    <row r="116" spans="1:64" hidden="1" x14ac:dyDescent="0.25">
      <c r="A116" t="s">
        <v>1250</v>
      </c>
      <c r="B116" t="s">
        <v>1504</v>
      </c>
      <c r="C116" t="s">
        <v>1732</v>
      </c>
      <c r="D116" t="s">
        <v>1733</v>
      </c>
    </row>
    <row r="117" spans="1:64" hidden="1" x14ac:dyDescent="0.25">
      <c r="A117" t="s">
        <v>1505</v>
      </c>
      <c r="B117" t="s">
        <v>1506</v>
      </c>
      <c r="C117" t="s">
        <v>1732</v>
      </c>
      <c r="D117" t="s">
        <v>1733</v>
      </c>
      <c r="BC117">
        <v>5.7</v>
      </c>
      <c r="BD117">
        <v>5.7</v>
      </c>
    </row>
    <row r="118" spans="1:64" hidden="1" x14ac:dyDescent="0.25">
      <c r="A118" t="s">
        <v>1118</v>
      </c>
      <c r="B118" t="s">
        <v>1507</v>
      </c>
      <c r="C118" t="s">
        <v>1732</v>
      </c>
      <c r="D118" t="s">
        <v>1733</v>
      </c>
      <c r="BD118">
        <v>8</v>
      </c>
      <c r="BK118">
        <v>14.3</v>
      </c>
    </row>
    <row r="119" spans="1:64" hidden="1" x14ac:dyDescent="0.25">
      <c r="A119" t="s">
        <v>1249</v>
      </c>
      <c r="B119" t="s">
        <v>1508</v>
      </c>
      <c r="C119" t="s">
        <v>1732</v>
      </c>
      <c r="D119" t="s">
        <v>1733</v>
      </c>
    </row>
    <row r="120" spans="1:64" hidden="1" x14ac:dyDescent="0.25">
      <c r="A120" t="s">
        <v>1119</v>
      </c>
      <c r="B120" t="s">
        <v>1509</v>
      </c>
      <c r="C120" t="s">
        <v>1732</v>
      </c>
      <c r="D120" t="s">
        <v>1733</v>
      </c>
    </row>
    <row r="121" spans="1:64" hidden="1" x14ac:dyDescent="0.25">
      <c r="A121" t="s">
        <v>1261</v>
      </c>
      <c r="B121" t="s">
        <v>1510</v>
      </c>
      <c r="C121" t="s">
        <v>1732</v>
      </c>
      <c r="D121" t="s">
        <v>1733</v>
      </c>
      <c r="AO121">
        <v>11.8</v>
      </c>
    </row>
    <row r="122" spans="1:64" hidden="1" x14ac:dyDescent="0.25">
      <c r="A122" t="s">
        <v>1182</v>
      </c>
      <c r="B122" t="s">
        <v>1511</v>
      </c>
      <c r="C122" t="s">
        <v>1732</v>
      </c>
      <c r="D122" t="s">
        <v>1733</v>
      </c>
      <c r="AH122">
        <v>20.6</v>
      </c>
      <c r="AL122">
        <v>13</v>
      </c>
      <c r="AP122">
        <v>14.2</v>
      </c>
      <c r="AV122">
        <v>11.7</v>
      </c>
      <c r="BA122">
        <v>10</v>
      </c>
      <c r="BB122">
        <v>10</v>
      </c>
    </row>
    <row r="123" spans="1:64" hidden="1" x14ac:dyDescent="0.25">
      <c r="A123" t="s">
        <v>1120</v>
      </c>
      <c r="B123" t="s">
        <v>1512</v>
      </c>
      <c r="C123" t="s">
        <v>1732</v>
      </c>
      <c r="D123" t="s">
        <v>1733</v>
      </c>
      <c r="AI123">
        <v>26.5</v>
      </c>
      <c r="AP123">
        <v>20.100000000000001</v>
      </c>
      <c r="AU123">
        <v>14.9</v>
      </c>
      <c r="AZ123">
        <v>13.8</v>
      </c>
      <c r="BB123">
        <v>13.4</v>
      </c>
      <c r="BE123">
        <v>11.7</v>
      </c>
      <c r="BJ123">
        <v>14.2</v>
      </c>
      <c r="BK123">
        <v>14.2</v>
      </c>
    </row>
    <row r="124" spans="1:64" hidden="1" x14ac:dyDescent="0.25">
      <c r="A124" t="s">
        <v>1155</v>
      </c>
      <c r="B124" t="s">
        <v>1513</v>
      </c>
      <c r="C124" t="s">
        <v>1732</v>
      </c>
      <c r="D124" t="s">
        <v>1733</v>
      </c>
    </row>
    <row r="125" spans="1:64" hidden="1" x14ac:dyDescent="0.25">
      <c r="A125" t="s">
        <v>1133</v>
      </c>
      <c r="B125" t="s">
        <v>1514</v>
      </c>
      <c r="C125" t="s">
        <v>1732</v>
      </c>
      <c r="D125" t="s">
        <v>1733</v>
      </c>
      <c r="AN125">
        <v>16.3</v>
      </c>
      <c r="AR125">
        <v>11.9</v>
      </c>
      <c r="BD125">
        <v>11.6</v>
      </c>
      <c r="BH125">
        <v>9.8000000000000007</v>
      </c>
      <c r="BK125">
        <v>15.47</v>
      </c>
    </row>
    <row r="126" spans="1:64" hidden="1" x14ac:dyDescent="0.2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25">
      <c r="A127" t="s">
        <v>1516</v>
      </c>
      <c r="B127" t="s">
        <v>1517</v>
      </c>
      <c r="C127" t="s">
        <v>1732</v>
      </c>
      <c r="D127" t="s">
        <v>1733</v>
      </c>
      <c r="AP127">
        <v>11.8</v>
      </c>
      <c r="BE127">
        <v>18</v>
      </c>
      <c r="BG127">
        <v>19.100000000000001</v>
      </c>
      <c r="BK127">
        <v>19</v>
      </c>
    </row>
    <row r="128" spans="1:64" hidden="1" x14ac:dyDescent="0.25">
      <c r="A128" t="s">
        <v>1160</v>
      </c>
      <c r="B128" t="s">
        <v>1518</v>
      </c>
      <c r="C128" t="s">
        <v>1732</v>
      </c>
      <c r="D128" t="s">
        <v>1733</v>
      </c>
      <c r="AS128">
        <v>33</v>
      </c>
      <c r="AX128">
        <v>25.3</v>
      </c>
      <c r="AY128">
        <v>25.3</v>
      </c>
      <c r="BC128">
        <v>16.899999999999999</v>
      </c>
      <c r="BD128">
        <v>16.899999999999999</v>
      </c>
      <c r="BG128">
        <v>12.5</v>
      </c>
    </row>
    <row r="129" spans="1:65" hidden="1" x14ac:dyDescent="0.25">
      <c r="A129" t="s">
        <v>1224</v>
      </c>
      <c r="B129" t="s">
        <v>1519</v>
      </c>
      <c r="C129" t="s">
        <v>1732</v>
      </c>
      <c r="D129" t="s">
        <v>1733</v>
      </c>
      <c r="BB129">
        <v>28</v>
      </c>
      <c r="BL129">
        <v>17.3</v>
      </c>
    </row>
    <row r="130" spans="1:65" hidden="1" x14ac:dyDescent="0.25">
      <c r="A130" t="s">
        <v>1520</v>
      </c>
      <c r="B130" t="s">
        <v>1521</v>
      </c>
      <c r="C130" t="s">
        <v>1732</v>
      </c>
      <c r="D130" t="s">
        <v>1733</v>
      </c>
    </row>
    <row r="131" spans="1:65" hidden="1" x14ac:dyDescent="0.25">
      <c r="A131" t="s">
        <v>1522</v>
      </c>
      <c r="B131" t="s">
        <v>1523</v>
      </c>
      <c r="C131" t="s">
        <v>1732</v>
      </c>
      <c r="D131" t="s">
        <v>1733</v>
      </c>
    </row>
    <row r="132" spans="1:65" hidden="1" x14ac:dyDescent="0.25">
      <c r="A132" t="s">
        <v>1121</v>
      </c>
      <c r="B132" t="s">
        <v>1524</v>
      </c>
      <c r="C132" t="s">
        <v>1732</v>
      </c>
      <c r="D132" t="s">
        <v>1733</v>
      </c>
    </row>
    <row r="133" spans="1:65" hidden="1" x14ac:dyDescent="0.25">
      <c r="A133" t="s">
        <v>1525</v>
      </c>
      <c r="B133" t="s">
        <v>1526</v>
      </c>
      <c r="C133" t="s">
        <v>1732</v>
      </c>
      <c r="D133" t="s">
        <v>1733</v>
      </c>
    </row>
    <row r="134" spans="1:65" hidden="1" x14ac:dyDescent="0.25">
      <c r="A134" t="s">
        <v>1527</v>
      </c>
      <c r="B134" t="s">
        <v>1528</v>
      </c>
      <c r="C134" t="s">
        <v>1732</v>
      </c>
      <c r="D134" t="s">
        <v>1733</v>
      </c>
      <c r="AS134">
        <v>39.5</v>
      </c>
      <c r="AX134">
        <v>27.3</v>
      </c>
      <c r="BE134">
        <v>19.899999999999999</v>
      </c>
      <c r="BJ134">
        <v>14.3</v>
      </c>
    </row>
    <row r="135" spans="1:65" hidden="1" x14ac:dyDescent="0.25">
      <c r="A135" t="s">
        <v>1122</v>
      </c>
      <c r="B135" t="s">
        <v>1529</v>
      </c>
      <c r="C135" t="s">
        <v>1732</v>
      </c>
      <c r="D135" t="s">
        <v>1733</v>
      </c>
    </row>
    <row r="136" spans="1:65" hidden="1" x14ac:dyDescent="0.25">
      <c r="A136" t="s">
        <v>1095</v>
      </c>
      <c r="B136" t="s">
        <v>1530</v>
      </c>
      <c r="C136" t="s">
        <v>1732</v>
      </c>
      <c r="D136" t="s">
        <v>1733</v>
      </c>
      <c r="AE136">
        <v>32.799999999999997</v>
      </c>
      <c r="AZ136">
        <v>35.700000000000003</v>
      </c>
      <c r="BF136">
        <v>31.1</v>
      </c>
      <c r="BM136">
        <v>33.4</v>
      </c>
    </row>
    <row r="137" spans="1:65" hidden="1" x14ac:dyDescent="0.25">
      <c r="A137" t="s">
        <v>1107</v>
      </c>
      <c r="B137" t="s">
        <v>1531</v>
      </c>
      <c r="C137" t="s">
        <v>1732</v>
      </c>
      <c r="D137" t="s">
        <v>1733</v>
      </c>
      <c r="AZ137">
        <v>27</v>
      </c>
      <c r="BG137">
        <v>40.200000000000003</v>
      </c>
    </row>
    <row r="138" spans="1:65" hidden="1" x14ac:dyDescent="0.25">
      <c r="A138" t="s">
        <v>1532</v>
      </c>
      <c r="B138" t="s">
        <v>1533</v>
      </c>
      <c r="C138" t="s">
        <v>1732</v>
      </c>
      <c r="D138" t="s">
        <v>1733</v>
      </c>
      <c r="BE138">
        <v>17</v>
      </c>
    </row>
    <row r="139" spans="1:65" hidden="1" x14ac:dyDescent="0.25">
      <c r="A139" t="s">
        <v>1534</v>
      </c>
      <c r="B139" t="s">
        <v>1535</v>
      </c>
      <c r="C139" t="s">
        <v>1732</v>
      </c>
      <c r="D139" t="s">
        <v>1733</v>
      </c>
    </row>
    <row r="140" spans="1:65" hidden="1" x14ac:dyDescent="0.25">
      <c r="A140" t="s">
        <v>1536</v>
      </c>
      <c r="B140" t="s">
        <v>1537</v>
      </c>
      <c r="C140" t="s">
        <v>1732</v>
      </c>
      <c r="D140" t="s">
        <v>1733</v>
      </c>
      <c r="AS140">
        <v>25.669831802455104</v>
      </c>
      <c r="BC140">
        <v>22.854628994876588</v>
      </c>
      <c r="BJ140">
        <v>21.971698335452484</v>
      </c>
    </row>
    <row r="141" spans="1:65" hidden="1" x14ac:dyDescent="0.25">
      <c r="A141" t="s">
        <v>1538</v>
      </c>
      <c r="B141" t="s">
        <v>1539</v>
      </c>
      <c r="C141" t="s">
        <v>1732</v>
      </c>
      <c r="D141" t="s">
        <v>1733</v>
      </c>
      <c r="BC141">
        <v>24.522398247718971</v>
      </c>
      <c r="BJ141">
        <v>23.491469738023458</v>
      </c>
    </row>
    <row r="142" spans="1:65" hidden="1" x14ac:dyDescent="0.25">
      <c r="A142" t="s">
        <v>1540</v>
      </c>
      <c r="B142" t="s">
        <v>1541</v>
      </c>
      <c r="C142" t="s">
        <v>1732</v>
      </c>
      <c r="D142" t="s">
        <v>1733</v>
      </c>
    </row>
    <row r="143" spans="1:65" hidden="1" x14ac:dyDescent="0.25">
      <c r="A143" t="s">
        <v>1147</v>
      </c>
      <c r="B143" t="s">
        <v>1542</v>
      </c>
      <c r="C143" t="s">
        <v>1732</v>
      </c>
      <c r="D143" t="s">
        <v>1733</v>
      </c>
      <c r="AF143">
        <v>12.3</v>
      </c>
      <c r="AS143">
        <v>18.2</v>
      </c>
      <c r="AZ143">
        <v>7.3</v>
      </c>
      <c r="BI143">
        <v>7.5</v>
      </c>
    </row>
    <row r="144" spans="1:65" hidden="1" x14ac:dyDescent="0.25">
      <c r="A144" t="s">
        <v>1543</v>
      </c>
      <c r="B144" t="s">
        <v>1544</v>
      </c>
      <c r="C144" t="s">
        <v>1732</v>
      </c>
      <c r="D144" t="s">
        <v>1733</v>
      </c>
      <c r="AS144">
        <v>18.589601081369111</v>
      </c>
      <c r="BC144">
        <v>17.401009568341138</v>
      </c>
      <c r="BJ144">
        <v>14.634757238263417</v>
      </c>
    </row>
    <row r="145" spans="1:65" hidden="1" x14ac:dyDescent="0.25">
      <c r="A145" t="s">
        <v>1545</v>
      </c>
      <c r="B145" t="s">
        <v>1546</v>
      </c>
      <c r="C145" t="s">
        <v>1732</v>
      </c>
      <c r="D145" t="s">
        <v>1733</v>
      </c>
      <c r="AS145">
        <v>12.867391699616109</v>
      </c>
    </row>
    <row r="146" spans="1:65" hidden="1" x14ac:dyDescent="0.25">
      <c r="A146" t="s">
        <v>1086</v>
      </c>
      <c r="B146" t="s">
        <v>1547</v>
      </c>
      <c r="C146" t="s">
        <v>1732</v>
      </c>
      <c r="D146" t="s">
        <v>1733</v>
      </c>
      <c r="AW146">
        <v>31</v>
      </c>
      <c r="AX146">
        <v>31</v>
      </c>
      <c r="BB146">
        <v>23.3</v>
      </c>
      <c r="BC146">
        <v>23.3</v>
      </c>
      <c r="BG146">
        <v>18.399999999999999</v>
      </c>
      <c r="BK146">
        <v>16</v>
      </c>
    </row>
    <row r="147" spans="1:65" hidden="1" x14ac:dyDescent="0.25">
      <c r="A147" t="s">
        <v>1548</v>
      </c>
      <c r="B147" t="s">
        <v>1549</v>
      </c>
      <c r="C147" t="s">
        <v>1732</v>
      </c>
      <c r="D147" t="s">
        <v>1733</v>
      </c>
      <c r="AS147">
        <v>3.5003053384659086</v>
      </c>
    </row>
    <row r="148" spans="1:65" hidden="1" x14ac:dyDescent="0.25">
      <c r="A148" t="s">
        <v>1252</v>
      </c>
      <c r="B148" t="s">
        <v>1550</v>
      </c>
      <c r="C148" t="s">
        <v>1732</v>
      </c>
      <c r="D148" t="s">
        <v>1733</v>
      </c>
      <c r="AN148">
        <v>18</v>
      </c>
    </row>
    <row r="149" spans="1:65" hidden="1" x14ac:dyDescent="0.25">
      <c r="A149" t="s">
        <v>1274</v>
      </c>
      <c r="B149" t="s">
        <v>1551</v>
      </c>
      <c r="C149" t="s">
        <v>1732</v>
      </c>
      <c r="D149" t="s">
        <v>1733</v>
      </c>
    </row>
    <row r="150" spans="1:65" hidden="1" x14ac:dyDescent="0.25">
      <c r="A150" t="s">
        <v>1251</v>
      </c>
      <c r="B150" t="s">
        <v>1552</v>
      </c>
      <c r="C150" t="s">
        <v>1732</v>
      </c>
      <c r="D150" t="s">
        <v>1733</v>
      </c>
      <c r="AN150">
        <v>16.8</v>
      </c>
    </row>
    <row r="151" spans="1:65" hidden="1" x14ac:dyDescent="0.25">
      <c r="A151" t="s">
        <v>1553</v>
      </c>
      <c r="B151" t="s">
        <v>1554</v>
      </c>
      <c r="C151" t="s">
        <v>1732</v>
      </c>
      <c r="D151" t="s">
        <v>1733</v>
      </c>
    </row>
    <row r="152" spans="1:65" hidden="1" x14ac:dyDescent="0.25">
      <c r="A152" t="s">
        <v>1555</v>
      </c>
      <c r="B152" t="s">
        <v>1556</v>
      </c>
      <c r="C152" t="s">
        <v>1732</v>
      </c>
      <c r="D152" t="s">
        <v>1733</v>
      </c>
    </row>
    <row r="153" spans="1:65" hidden="1" x14ac:dyDescent="0.25">
      <c r="A153" t="s">
        <v>1108</v>
      </c>
      <c r="B153" t="s">
        <v>1557</v>
      </c>
      <c r="C153" t="s">
        <v>1732</v>
      </c>
      <c r="D153" t="s">
        <v>1733</v>
      </c>
      <c r="AF153">
        <v>22.1</v>
      </c>
      <c r="AK153">
        <v>23.5</v>
      </c>
      <c r="AN153">
        <v>16.100000000000001</v>
      </c>
      <c r="AW153">
        <v>11.9</v>
      </c>
      <c r="BD153">
        <v>10.9</v>
      </c>
      <c r="BK153">
        <v>11.3</v>
      </c>
    </row>
    <row r="154" spans="1:65" hidden="1" x14ac:dyDescent="0.25">
      <c r="A154" t="s">
        <v>1558</v>
      </c>
      <c r="B154" t="s">
        <v>1559</v>
      </c>
      <c r="C154" t="s">
        <v>1732</v>
      </c>
      <c r="D154" t="s">
        <v>1733</v>
      </c>
    </row>
    <row r="155" spans="1:65" hidden="1" x14ac:dyDescent="0.25">
      <c r="A155" t="s">
        <v>1560</v>
      </c>
      <c r="B155" t="s">
        <v>1561</v>
      </c>
      <c r="C155" t="s">
        <v>1732</v>
      </c>
      <c r="D155" t="s">
        <v>1733</v>
      </c>
      <c r="AP155">
        <v>6.7</v>
      </c>
      <c r="AX155">
        <v>11.4</v>
      </c>
      <c r="BE155">
        <v>9.5</v>
      </c>
      <c r="BM155">
        <v>21.2</v>
      </c>
    </row>
    <row r="156" spans="1:65" hidden="1" x14ac:dyDescent="0.25">
      <c r="A156" t="s">
        <v>1070</v>
      </c>
      <c r="B156" t="s">
        <v>1562</v>
      </c>
      <c r="C156" t="s">
        <v>1732</v>
      </c>
      <c r="D156" t="s">
        <v>1733</v>
      </c>
      <c r="AK156">
        <v>32.299999999999997</v>
      </c>
      <c r="AP156">
        <v>27.7</v>
      </c>
      <c r="AW156">
        <v>24.5</v>
      </c>
      <c r="BB156">
        <v>19</v>
      </c>
      <c r="BJ156">
        <v>16.399999999999999</v>
      </c>
      <c r="BK156">
        <v>18.399999999999999</v>
      </c>
    </row>
    <row r="157" spans="1:65" hidden="1" x14ac:dyDescent="0.25">
      <c r="A157" t="s">
        <v>1144</v>
      </c>
      <c r="B157" t="s">
        <v>1563</v>
      </c>
      <c r="C157" t="s">
        <v>1732</v>
      </c>
      <c r="D157" t="s">
        <v>1733</v>
      </c>
      <c r="BB157">
        <v>28.6</v>
      </c>
      <c r="BJ157">
        <v>31.4</v>
      </c>
    </row>
    <row r="158" spans="1:65" hidden="1" x14ac:dyDescent="0.25">
      <c r="A158" t="s">
        <v>1564</v>
      </c>
      <c r="B158" t="s">
        <v>1565</v>
      </c>
      <c r="C158" t="s">
        <v>1732</v>
      </c>
      <c r="D158" t="s">
        <v>1733</v>
      </c>
      <c r="BC158">
        <v>10.095325690306105</v>
      </c>
    </row>
    <row r="159" spans="1:65" hidden="1" x14ac:dyDescent="0.2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25">
      <c r="A160" t="s">
        <v>1567</v>
      </c>
      <c r="B160" t="s">
        <v>1568</v>
      </c>
      <c r="C160" t="s">
        <v>1732</v>
      </c>
      <c r="D160" t="s">
        <v>1733</v>
      </c>
      <c r="AZ160">
        <v>8.1</v>
      </c>
    </row>
    <row r="161" spans="1:64" hidden="1" x14ac:dyDescent="0.25">
      <c r="A161" t="s">
        <v>1569</v>
      </c>
      <c r="B161" t="s">
        <v>1570</v>
      </c>
      <c r="C161" t="s">
        <v>1732</v>
      </c>
      <c r="D161" t="s">
        <v>1733</v>
      </c>
      <c r="AS161">
        <v>12.056826965091568</v>
      </c>
    </row>
    <row r="162" spans="1:64" hidden="1" x14ac:dyDescent="0.25">
      <c r="A162" t="s">
        <v>1264</v>
      </c>
      <c r="B162" t="s">
        <v>1571</v>
      </c>
      <c r="C162" t="s">
        <v>1732</v>
      </c>
      <c r="D162" t="s">
        <v>1733</v>
      </c>
      <c r="BD162">
        <v>17.2</v>
      </c>
      <c r="BL162">
        <v>10.3</v>
      </c>
    </row>
    <row r="163" spans="1:64" hidden="1" x14ac:dyDescent="0.25">
      <c r="A163" t="s">
        <v>1096</v>
      </c>
      <c r="B163" t="s">
        <v>1572</v>
      </c>
      <c r="C163" t="s">
        <v>1732</v>
      </c>
      <c r="D163" t="s">
        <v>1733</v>
      </c>
      <c r="AF163">
        <v>22.9</v>
      </c>
      <c r="AO163">
        <v>27.5</v>
      </c>
      <c r="AT163">
        <v>29.6</v>
      </c>
      <c r="AY163">
        <v>27.6</v>
      </c>
      <c r="BF163">
        <v>26</v>
      </c>
      <c r="BH163">
        <v>30.7</v>
      </c>
      <c r="BK163">
        <v>23.9</v>
      </c>
    </row>
    <row r="164" spans="1:64" hidden="1" x14ac:dyDescent="0.25">
      <c r="A164" t="s">
        <v>1262</v>
      </c>
      <c r="B164" t="s">
        <v>1573</v>
      </c>
      <c r="C164" t="s">
        <v>1732</v>
      </c>
      <c r="D164" t="s">
        <v>1733</v>
      </c>
    </row>
    <row r="165" spans="1:64" hidden="1" x14ac:dyDescent="0.25">
      <c r="A165" t="s">
        <v>1164</v>
      </c>
      <c r="B165" t="s">
        <v>1574</v>
      </c>
      <c r="C165" t="s">
        <v>1732</v>
      </c>
      <c r="D165" t="s">
        <v>1733</v>
      </c>
      <c r="AJ165">
        <v>20.6</v>
      </c>
      <c r="AP165">
        <v>19.100000000000001</v>
      </c>
      <c r="AT165">
        <v>19.100000000000001</v>
      </c>
      <c r="BI165">
        <v>16.2</v>
      </c>
    </row>
    <row r="166" spans="1:64" hidden="1" x14ac:dyDescent="0.25">
      <c r="A166" t="s">
        <v>1575</v>
      </c>
      <c r="B166" t="s">
        <v>1576</v>
      </c>
      <c r="C166" t="s">
        <v>1732</v>
      </c>
      <c r="D166" t="s">
        <v>1733</v>
      </c>
      <c r="BC166">
        <v>9.6862514613038471</v>
      </c>
    </row>
    <row r="167" spans="1:64" hidden="1" x14ac:dyDescent="0.25">
      <c r="A167" t="s">
        <v>1263</v>
      </c>
      <c r="B167" t="s">
        <v>1577</v>
      </c>
      <c r="C167" t="s">
        <v>1732</v>
      </c>
      <c r="D167" t="s">
        <v>1733</v>
      </c>
      <c r="BF167">
        <v>21.8</v>
      </c>
      <c r="BK167">
        <v>21</v>
      </c>
    </row>
    <row r="168" spans="1:64" hidden="1" x14ac:dyDescent="0.25">
      <c r="A168" t="s">
        <v>1156</v>
      </c>
      <c r="B168" t="s">
        <v>1578</v>
      </c>
      <c r="C168" t="s">
        <v>1732</v>
      </c>
      <c r="D168" t="s">
        <v>1733</v>
      </c>
      <c r="AQ168">
        <v>9.9</v>
      </c>
      <c r="AV168">
        <v>4.5999999999999996</v>
      </c>
      <c r="BA168">
        <v>14.4</v>
      </c>
      <c r="BC168">
        <v>22.3</v>
      </c>
      <c r="BF168">
        <v>16</v>
      </c>
      <c r="BK168">
        <v>22.8</v>
      </c>
    </row>
    <row r="169" spans="1:64" hidden="1" x14ac:dyDescent="0.25">
      <c r="A169" t="s">
        <v>1579</v>
      </c>
      <c r="B169" t="s">
        <v>1580</v>
      </c>
      <c r="C169" t="s">
        <v>1732</v>
      </c>
      <c r="D169" t="s">
        <v>1733</v>
      </c>
    </row>
    <row r="170" spans="1:64" hidden="1" x14ac:dyDescent="0.25">
      <c r="A170" t="s">
        <v>596</v>
      </c>
      <c r="B170" t="s">
        <v>1581</v>
      </c>
      <c r="C170" t="s">
        <v>1732</v>
      </c>
      <c r="D170" t="s">
        <v>1733</v>
      </c>
      <c r="AP170">
        <v>24.9</v>
      </c>
      <c r="AV170">
        <v>21.4</v>
      </c>
      <c r="AW170">
        <v>18.899999999999999</v>
      </c>
      <c r="BD170">
        <v>23.9</v>
      </c>
      <c r="BH170">
        <v>23.1</v>
      </c>
    </row>
    <row r="171" spans="1:64" hidden="1" x14ac:dyDescent="0.25">
      <c r="A171" t="s">
        <v>1097</v>
      </c>
      <c r="B171" t="s">
        <v>1582</v>
      </c>
      <c r="C171" t="s">
        <v>1732</v>
      </c>
      <c r="D171" t="s">
        <v>1733</v>
      </c>
      <c r="AT171">
        <v>32.1</v>
      </c>
      <c r="AZ171">
        <v>24.6</v>
      </c>
      <c r="BD171">
        <v>31.1</v>
      </c>
      <c r="BH171">
        <v>33.6</v>
      </c>
    </row>
    <row r="172" spans="1:64" hidden="1" x14ac:dyDescent="0.25">
      <c r="A172" t="s">
        <v>1071</v>
      </c>
      <c r="B172" t="s">
        <v>1583</v>
      </c>
      <c r="C172" t="s">
        <v>1732</v>
      </c>
      <c r="D172" t="s">
        <v>1733</v>
      </c>
      <c r="AJ172">
        <v>6.4</v>
      </c>
      <c r="AU172">
        <v>3.5</v>
      </c>
      <c r="BG172">
        <v>12.5</v>
      </c>
    </row>
    <row r="173" spans="1:64" hidden="1" x14ac:dyDescent="0.25">
      <c r="A173" t="s">
        <v>879</v>
      </c>
      <c r="B173" t="s">
        <v>1584</v>
      </c>
      <c r="C173" t="s">
        <v>1732</v>
      </c>
      <c r="D173" t="s">
        <v>1733</v>
      </c>
      <c r="AK173">
        <v>36.5</v>
      </c>
      <c r="AS173">
        <v>29.9</v>
      </c>
      <c r="AW173">
        <v>30.3</v>
      </c>
      <c r="AX173">
        <v>30.3</v>
      </c>
      <c r="BC173">
        <v>26.2</v>
      </c>
      <c r="BG173">
        <v>19.399999999999999</v>
      </c>
      <c r="BI173">
        <v>18.7</v>
      </c>
    </row>
    <row r="174" spans="1:64" hidden="1" x14ac:dyDescent="0.25">
      <c r="A174" t="s">
        <v>1163</v>
      </c>
      <c r="B174" t="s">
        <v>1585</v>
      </c>
      <c r="C174" t="s">
        <v>1732</v>
      </c>
      <c r="D174" t="s">
        <v>1733</v>
      </c>
    </row>
    <row r="175" spans="1:64" hidden="1" x14ac:dyDescent="0.25">
      <c r="A175" t="s">
        <v>1586</v>
      </c>
      <c r="B175" t="s">
        <v>1587</v>
      </c>
      <c r="C175" t="s">
        <v>1732</v>
      </c>
      <c r="D175" t="s">
        <v>1733</v>
      </c>
      <c r="AI175">
        <v>6</v>
      </c>
      <c r="AS175">
        <v>6.3</v>
      </c>
      <c r="BC175">
        <v>8</v>
      </c>
      <c r="BJ175">
        <v>7.2</v>
      </c>
    </row>
    <row r="176" spans="1:64" hidden="1" x14ac:dyDescent="0.25">
      <c r="A176" t="s">
        <v>598</v>
      </c>
      <c r="B176" t="s">
        <v>1588</v>
      </c>
      <c r="C176" t="s">
        <v>1732</v>
      </c>
      <c r="D176" t="s">
        <v>1733</v>
      </c>
      <c r="AK176">
        <v>21.8</v>
      </c>
      <c r="AS176">
        <v>23.9</v>
      </c>
      <c r="AZ176">
        <v>20.7</v>
      </c>
      <c r="BF176">
        <v>17.5</v>
      </c>
    </row>
    <row r="177" spans="1:64" hidden="1" x14ac:dyDescent="0.25">
      <c r="A177" t="s">
        <v>1218</v>
      </c>
      <c r="B177" t="s">
        <v>1589</v>
      </c>
      <c r="C177" t="s">
        <v>1732</v>
      </c>
      <c r="D177" t="s">
        <v>1733</v>
      </c>
    </row>
    <row r="178" spans="1:64" hidden="1" x14ac:dyDescent="0.25">
      <c r="A178" t="s">
        <v>1098</v>
      </c>
      <c r="B178" t="s">
        <v>1590</v>
      </c>
      <c r="C178" t="s">
        <v>1732</v>
      </c>
      <c r="D178" t="s">
        <v>1733</v>
      </c>
      <c r="AK178">
        <v>18.7</v>
      </c>
      <c r="AQ178">
        <v>17.7</v>
      </c>
      <c r="AY178">
        <v>16.100000000000001</v>
      </c>
      <c r="BE178">
        <v>16</v>
      </c>
      <c r="BI178">
        <v>23.9</v>
      </c>
      <c r="BJ178">
        <v>22.1864159763985</v>
      </c>
      <c r="BK178">
        <v>15</v>
      </c>
    </row>
    <row r="179" spans="1:64" hidden="1" x14ac:dyDescent="0.2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25">
      <c r="A180" t="s">
        <v>1196</v>
      </c>
      <c r="B180" t="s">
        <v>1592</v>
      </c>
      <c r="C180" t="s">
        <v>1732</v>
      </c>
      <c r="D180" t="s">
        <v>1733</v>
      </c>
      <c r="AL180">
        <v>23.9</v>
      </c>
      <c r="AQ180">
        <v>17.899999999999999</v>
      </c>
      <c r="AT180">
        <v>14.6</v>
      </c>
      <c r="AZ180">
        <v>10.7</v>
      </c>
      <c r="BE180">
        <v>5.8</v>
      </c>
    </row>
    <row r="181" spans="1:64" hidden="1" x14ac:dyDescent="0.25">
      <c r="A181" t="s">
        <v>1275</v>
      </c>
      <c r="B181" t="s">
        <v>1593</v>
      </c>
      <c r="C181" t="s">
        <v>1732</v>
      </c>
      <c r="D181" t="s">
        <v>1733</v>
      </c>
    </row>
    <row r="182" spans="1:64" hidden="1" x14ac:dyDescent="0.25">
      <c r="A182" t="s">
        <v>1253</v>
      </c>
      <c r="B182" t="s">
        <v>1594</v>
      </c>
      <c r="C182" t="s">
        <v>1732</v>
      </c>
      <c r="D182" t="s">
        <v>1733</v>
      </c>
    </row>
    <row r="183" spans="1:64" hidden="1" x14ac:dyDescent="0.2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25">
      <c r="A184" t="s">
        <v>1596</v>
      </c>
      <c r="B184" t="s">
        <v>1597</v>
      </c>
      <c r="C184" t="s">
        <v>1732</v>
      </c>
      <c r="D184" t="s">
        <v>1733</v>
      </c>
      <c r="AZ184">
        <v>23.5</v>
      </c>
    </row>
    <row r="185" spans="1:64" hidden="1" x14ac:dyDescent="0.25">
      <c r="A185" t="s">
        <v>1214</v>
      </c>
      <c r="B185" t="s">
        <v>1598</v>
      </c>
      <c r="C185" t="s">
        <v>1732</v>
      </c>
      <c r="D185" t="s">
        <v>1733</v>
      </c>
    </row>
    <row r="186" spans="1:64" hidden="1" x14ac:dyDescent="0.25">
      <c r="A186" t="s">
        <v>1599</v>
      </c>
      <c r="B186" t="s">
        <v>1600</v>
      </c>
      <c r="C186" t="s">
        <v>1732</v>
      </c>
      <c r="D186" t="s">
        <v>1733</v>
      </c>
    </row>
    <row r="187" spans="1:64" hidden="1" x14ac:dyDescent="0.25">
      <c r="A187" t="s">
        <v>1123</v>
      </c>
      <c r="B187" t="s">
        <v>1601</v>
      </c>
      <c r="C187" t="s">
        <v>1732</v>
      </c>
      <c r="D187" t="s">
        <v>1733</v>
      </c>
      <c r="BA187">
        <v>55.9</v>
      </c>
      <c r="BG187">
        <v>17.8</v>
      </c>
    </row>
    <row r="188" spans="1:64" hidden="1" x14ac:dyDescent="0.25">
      <c r="A188" t="s">
        <v>1602</v>
      </c>
      <c r="B188" t="s">
        <v>1603</v>
      </c>
      <c r="C188" t="s">
        <v>1732</v>
      </c>
      <c r="D188" t="s">
        <v>1733</v>
      </c>
    </row>
    <row r="189" spans="1:64" hidden="1" x14ac:dyDescent="0.25">
      <c r="A189" t="s">
        <v>1146</v>
      </c>
      <c r="B189" t="s">
        <v>1604</v>
      </c>
      <c r="C189" t="s">
        <v>1732</v>
      </c>
      <c r="D189" t="s">
        <v>1733</v>
      </c>
      <c r="AJ189">
        <v>30.5</v>
      </c>
      <c r="AP189">
        <v>37.5</v>
      </c>
      <c r="AT189">
        <v>33</v>
      </c>
      <c r="AZ189">
        <v>25.2</v>
      </c>
      <c r="BF189">
        <v>20.100000000000001</v>
      </c>
      <c r="BJ189">
        <v>17.3</v>
      </c>
      <c r="BK189">
        <v>17.3</v>
      </c>
    </row>
    <row r="190" spans="1:64" hidden="1" x14ac:dyDescent="0.25">
      <c r="A190" t="s">
        <v>1197</v>
      </c>
      <c r="B190" t="s">
        <v>1605</v>
      </c>
      <c r="C190" t="s">
        <v>1732</v>
      </c>
      <c r="D190" t="s">
        <v>1733</v>
      </c>
      <c r="AC190">
        <v>16.399999999999999</v>
      </c>
      <c r="AD190">
        <v>16.399999999999999</v>
      </c>
      <c r="BF190">
        <v>16.399999999999999</v>
      </c>
      <c r="BH190">
        <v>24.2</v>
      </c>
    </row>
    <row r="191" spans="1:64" hidden="1" x14ac:dyDescent="0.2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25">
      <c r="A192" t="s">
        <v>1165</v>
      </c>
      <c r="B192" t="s">
        <v>1607</v>
      </c>
      <c r="C192" t="s">
        <v>1732</v>
      </c>
      <c r="D192" t="s">
        <v>1733</v>
      </c>
      <c r="AL192">
        <v>30.2</v>
      </c>
      <c r="AQ192">
        <v>24.6</v>
      </c>
      <c r="AV192">
        <v>22.5</v>
      </c>
      <c r="BA192">
        <v>22</v>
      </c>
      <c r="BD192">
        <v>19.3</v>
      </c>
      <c r="BF192">
        <v>17.5</v>
      </c>
      <c r="BJ192">
        <v>16.7</v>
      </c>
    </row>
    <row r="193" spans="1:65" hidden="1" x14ac:dyDescent="0.25">
      <c r="A193" t="s">
        <v>1608</v>
      </c>
      <c r="B193" t="s">
        <v>1609</v>
      </c>
      <c r="C193" t="s">
        <v>1732</v>
      </c>
      <c r="D193" t="s">
        <v>1733</v>
      </c>
    </row>
    <row r="194" spans="1:65" hidden="1" x14ac:dyDescent="0.25">
      <c r="A194" t="s">
        <v>1219</v>
      </c>
      <c r="B194" t="s">
        <v>1610</v>
      </c>
      <c r="C194" t="s">
        <v>1732</v>
      </c>
      <c r="D194" t="s">
        <v>1733</v>
      </c>
      <c r="AY194">
        <v>27.4</v>
      </c>
      <c r="AZ194">
        <v>27.4</v>
      </c>
      <c r="BK194">
        <v>25.9</v>
      </c>
    </row>
    <row r="195" spans="1:65" hidden="1" x14ac:dyDescent="0.25">
      <c r="A195" t="s">
        <v>1238</v>
      </c>
      <c r="B195" t="s">
        <v>1611</v>
      </c>
      <c r="C195" t="s">
        <v>1732</v>
      </c>
      <c r="D195" t="s">
        <v>1733</v>
      </c>
    </row>
    <row r="196" spans="1:65" hidden="1" x14ac:dyDescent="0.25">
      <c r="A196" t="s">
        <v>1612</v>
      </c>
      <c r="B196" t="s">
        <v>1613</v>
      </c>
      <c r="C196" t="s">
        <v>1732</v>
      </c>
      <c r="D196" t="s">
        <v>1733</v>
      </c>
      <c r="BC196">
        <v>23.496303893992032</v>
      </c>
      <c r="BJ196">
        <v>23.033218204161027</v>
      </c>
    </row>
    <row r="197" spans="1:65" hidden="1" x14ac:dyDescent="0.25">
      <c r="A197" t="s">
        <v>1184</v>
      </c>
      <c r="B197" t="s">
        <v>1614</v>
      </c>
      <c r="C197" t="s">
        <v>1732</v>
      </c>
      <c r="D197" t="s">
        <v>1733</v>
      </c>
      <c r="AO197">
        <v>4</v>
      </c>
    </row>
    <row r="198" spans="1:65" hidden="1" x14ac:dyDescent="0.25">
      <c r="A198" t="s">
        <v>1615</v>
      </c>
      <c r="B198" t="s">
        <v>1616</v>
      </c>
      <c r="C198" t="s">
        <v>1732</v>
      </c>
      <c r="D198" t="s">
        <v>1733</v>
      </c>
      <c r="AU198">
        <v>16.7</v>
      </c>
      <c r="AY198">
        <v>15.8</v>
      </c>
      <c r="BC198">
        <v>14.5</v>
      </c>
      <c r="BG198">
        <v>7</v>
      </c>
      <c r="BJ198">
        <v>6.6</v>
      </c>
    </row>
    <row r="199" spans="1:65" hidden="1" x14ac:dyDescent="0.25">
      <c r="A199" t="s">
        <v>1265</v>
      </c>
      <c r="B199" t="s">
        <v>1617</v>
      </c>
      <c r="C199" t="s">
        <v>1732</v>
      </c>
      <c r="D199" t="s">
        <v>1733</v>
      </c>
    </row>
    <row r="200" spans="1:65" hidden="1" x14ac:dyDescent="0.25">
      <c r="A200" t="s">
        <v>1207</v>
      </c>
      <c r="B200" t="s">
        <v>1618</v>
      </c>
      <c r="C200" t="s">
        <v>1732</v>
      </c>
      <c r="D200" t="s">
        <v>1733</v>
      </c>
      <c r="AF200">
        <v>32.9</v>
      </c>
      <c r="AI200">
        <v>17.399999999999999</v>
      </c>
      <c r="AO200">
        <v>19.2</v>
      </c>
      <c r="AQ200">
        <v>17.3</v>
      </c>
      <c r="AW200">
        <v>6.6</v>
      </c>
      <c r="BA200">
        <v>4.7</v>
      </c>
      <c r="BI200">
        <v>12.1</v>
      </c>
    </row>
    <row r="201" spans="1:65" hidden="1" x14ac:dyDescent="0.25">
      <c r="A201" t="s">
        <v>1619</v>
      </c>
      <c r="B201" t="s">
        <v>1620</v>
      </c>
      <c r="C201" t="s">
        <v>1732</v>
      </c>
      <c r="D201" t="s">
        <v>1733</v>
      </c>
      <c r="BC201">
        <v>15.6</v>
      </c>
      <c r="BG201">
        <v>10.9</v>
      </c>
      <c r="BM201">
        <v>12.9</v>
      </c>
    </row>
    <row r="202" spans="1:65" hidden="1" x14ac:dyDescent="0.25">
      <c r="A202" t="s">
        <v>1621</v>
      </c>
      <c r="B202" t="s">
        <v>1622</v>
      </c>
      <c r="C202" t="s">
        <v>1732</v>
      </c>
      <c r="D202" t="s">
        <v>1733</v>
      </c>
    </row>
    <row r="203" spans="1:65" hidden="1" x14ac:dyDescent="0.25">
      <c r="A203" t="s">
        <v>1623</v>
      </c>
      <c r="B203" t="s">
        <v>1624</v>
      </c>
      <c r="C203" t="s">
        <v>1732</v>
      </c>
      <c r="D203" t="s">
        <v>1733</v>
      </c>
    </row>
    <row r="204" spans="1:65" hidden="1" x14ac:dyDescent="0.25">
      <c r="A204" t="s">
        <v>1227</v>
      </c>
      <c r="B204" t="s">
        <v>1625</v>
      </c>
      <c r="C204" t="s">
        <v>1732</v>
      </c>
      <c r="D204" t="s">
        <v>1733</v>
      </c>
    </row>
    <row r="205" spans="1:65" hidden="1" x14ac:dyDescent="0.25">
      <c r="A205" t="s">
        <v>1124</v>
      </c>
      <c r="B205" t="s">
        <v>1626</v>
      </c>
      <c r="C205" t="s">
        <v>1732</v>
      </c>
      <c r="D205" t="s">
        <v>1733</v>
      </c>
      <c r="BE205">
        <v>12.4</v>
      </c>
    </row>
    <row r="206" spans="1:65" hidden="1" x14ac:dyDescent="0.25">
      <c r="A206" t="s">
        <v>1240</v>
      </c>
      <c r="B206" t="s">
        <v>1627</v>
      </c>
      <c r="C206" t="s">
        <v>1732</v>
      </c>
      <c r="D206" t="s">
        <v>1733</v>
      </c>
      <c r="AL206">
        <v>11.4</v>
      </c>
      <c r="AR206">
        <v>5.6</v>
      </c>
      <c r="AW206">
        <v>11.9</v>
      </c>
    </row>
    <row r="207" spans="1:65" hidden="1" x14ac:dyDescent="0.25">
      <c r="A207" t="s">
        <v>1241</v>
      </c>
      <c r="B207" t="s">
        <v>1628</v>
      </c>
      <c r="C207" t="s">
        <v>1732</v>
      </c>
      <c r="D207" t="s">
        <v>1733</v>
      </c>
      <c r="BD207">
        <v>8</v>
      </c>
    </row>
    <row r="208" spans="1:65" hidden="1" x14ac:dyDescent="0.25">
      <c r="A208" t="s">
        <v>600</v>
      </c>
      <c r="B208" t="s">
        <v>1629</v>
      </c>
      <c r="C208" t="s">
        <v>1732</v>
      </c>
      <c r="D208" t="s">
        <v>1733</v>
      </c>
      <c r="AK208">
        <v>38.200000000000003</v>
      </c>
      <c r="AS208">
        <v>36.4</v>
      </c>
      <c r="AX208">
        <v>38.5</v>
      </c>
      <c r="BA208">
        <v>34.4</v>
      </c>
      <c r="BC208">
        <v>20.8</v>
      </c>
      <c r="BD208">
        <v>20.8</v>
      </c>
      <c r="BH208">
        <v>18.899999999999999</v>
      </c>
    </row>
    <row r="209" spans="1:64" hidden="1" x14ac:dyDescent="0.25">
      <c r="A209" t="s">
        <v>1630</v>
      </c>
      <c r="B209" t="s">
        <v>1631</v>
      </c>
      <c r="C209" t="s">
        <v>1732</v>
      </c>
      <c r="D209" t="s">
        <v>1733</v>
      </c>
      <c r="AS209">
        <v>18.141449014154649</v>
      </c>
      <c r="BC209">
        <v>19.851160253330214</v>
      </c>
      <c r="BJ209">
        <v>13.833978702388332</v>
      </c>
    </row>
    <row r="210" spans="1:64" hidden="1" x14ac:dyDescent="0.25">
      <c r="A210" t="s">
        <v>1125</v>
      </c>
      <c r="B210" t="s">
        <v>1632</v>
      </c>
      <c r="C210" t="s">
        <v>1732</v>
      </c>
      <c r="D210" t="s">
        <v>1733</v>
      </c>
    </row>
    <row r="211" spans="1:64" hidden="1" x14ac:dyDescent="0.25">
      <c r="A211" t="s">
        <v>1109</v>
      </c>
      <c r="B211" t="s">
        <v>1633</v>
      </c>
      <c r="C211" t="s">
        <v>1732</v>
      </c>
      <c r="D211" t="s">
        <v>1733</v>
      </c>
      <c r="AI211">
        <v>28.9</v>
      </c>
      <c r="AL211">
        <v>26</v>
      </c>
      <c r="BC211">
        <v>28.9</v>
      </c>
      <c r="BG211">
        <v>26.6</v>
      </c>
    </row>
    <row r="212" spans="1:64" hidden="1" x14ac:dyDescent="0.2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25">
      <c r="A213" t="s">
        <v>1166</v>
      </c>
      <c r="B213" t="s">
        <v>1635</v>
      </c>
      <c r="C213" t="s">
        <v>1732</v>
      </c>
      <c r="D213" t="s">
        <v>1733</v>
      </c>
    </row>
    <row r="214" spans="1:64" hidden="1" x14ac:dyDescent="0.25">
      <c r="A214" t="s">
        <v>1220</v>
      </c>
      <c r="B214" t="s">
        <v>1636</v>
      </c>
      <c r="C214" t="s">
        <v>1732</v>
      </c>
      <c r="D214" t="s">
        <v>1733</v>
      </c>
      <c r="AZ214">
        <v>11.1</v>
      </c>
      <c r="BH214">
        <v>34.700000000000003</v>
      </c>
    </row>
    <row r="215" spans="1:64" hidden="1" x14ac:dyDescent="0.25">
      <c r="A215" t="s">
        <v>1101</v>
      </c>
      <c r="B215" t="s">
        <v>1637</v>
      </c>
      <c r="C215" t="s">
        <v>1732</v>
      </c>
      <c r="D215" t="s">
        <v>1733</v>
      </c>
      <c r="BA215">
        <v>28.4</v>
      </c>
      <c r="BC215">
        <v>27.4</v>
      </c>
      <c r="BF215">
        <v>25</v>
      </c>
      <c r="BJ215">
        <v>26.3</v>
      </c>
      <c r="BL215">
        <v>24.8</v>
      </c>
    </row>
    <row r="216" spans="1:64" hidden="1" x14ac:dyDescent="0.25">
      <c r="A216" t="s">
        <v>1192</v>
      </c>
      <c r="B216" t="s">
        <v>1638</v>
      </c>
      <c r="C216" t="s">
        <v>1732</v>
      </c>
      <c r="D216" t="s">
        <v>1733</v>
      </c>
      <c r="AG216">
        <v>16.2</v>
      </c>
      <c r="AL216">
        <v>15.8</v>
      </c>
      <c r="AQ216">
        <v>14.2</v>
      </c>
      <c r="AV216">
        <v>8.9</v>
      </c>
      <c r="BA216">
        <v>18.399999999999999</v>
      </c>
      <c r="BG216">
        <v>11.1</v>
      </c>
    </row>
    <row r="217" spans="1:64" hidden="1" x14ac:dyDescent="0.25">
      <c r="A217" t="s">
        <v>1639</v>
      </c>
      <c r="B217" t="s">
        <v>1640</v>
      </c>
      <c r="C217" t="s">
        <v>1732</v>
      </c>
      <c r="D217" t="s">
        <v>1733</v>
      </c>
    </row>
    <row r="218" spans="1:64" hidden="1" x14ac:dyDescent="0.25">
      <c r="A218" t="s">
        <v>1075</v>
      </c>
      <c r="B218" t="s">
        <v>1641</v>
      </c>
      <c r="C218" t="s">
        <v>1732</v>
      </c>
      <c r="D218" t="s">
        <v>1733</v>
      </c>
      <c r="BD218">
        <v>20.2</v>
      </c>
      <c r="BL218">
        <v>36.6</v>
      </c>
    </row>
    <row r="219" spans="1:64" hidden="1" x14ac:dyDescent="0.25">
      <c r="A219" t="s">
        <v>1266</v>
      </c>
      <c r="B219" t="s">
        <v>1642</v>
      </c>
      <c r="C219" t="s">
        <v>1732</v>
      </c>
      <c r="D219" t="s">
        <v>1733</v>
      </c>
      <c r="BC219">
        <v>6.6</v>
      </c>
      <c r="BG219">
        <v>14.9</v>
      </c>
      <c r="BL219">
        <v>8.8000000000000007</v>
      </c>
    </row>
    <row r="220" spans="1:64" hidden="1" x14ac:dyDescent="0.25">
      <c r="A220" t="s">
        <v>1643</v>
      </c>
      <c r="B220" t="s">
        <v>1644</v>
      </c>
      <c r="C220" t="s">
        <v>1732</v>
      </c>
      <c r="D220" t="s">
        <v>1733</v>
      </c>
      <c r="AS220">
        <v>25.587193820020673</v>
      </c>
      <c r="BC220">
        <v>24.273167007508412</v>
      </c>
      <c r="BJ220">
        <v>22.575948707139936</v>
      </c>
    </row>
    <row r="221" spans="1:64" hidden="1" x14ac:dyDescent="0.25">
      <c r="A221" t="s">
        <v>1076</v>
      </c>
      <c r="B221" t="s">
        <v>1645</v>
      </c>
      <c r="C221" t="s">
        <v>1732</v>
      </c>
      <c r="D221" t="s">
        <v>1733</v>
      </c>
      <c r="BC221">
        <v>26.3</v>
      </c>
    </row>
    <row r="222" spans="1:64" hidden="1" x14ac:dyDescent="0.25">
      <c r="A222" t="s">
        <v>1646</v>
      </c>
      <c r="B222" t="s">
        <v>1647</v>
      </c>
      <c r="C222" t="s">
        <v>1732</v>
      </c>
      <c r="D222" t="s">
        <v>1733</v>
      </c>
      <c r="AS222">
        <v>25.587193820020673</v>
      </c>
      <c r="BC222">
        <v>24.27316700750842</v>
      </c>
      <c r="BJ222">
        <v>22.575948707139947</v>
      </c>
    </row>
    <row r="223" spans="1:64" hidden="1" x14ac:dyDescent="0.25">
      <c r="A223" t="s">
        <v>1648</v>
      </c>
      <c r="B223" t="s">
        <v>1649</v>
      </c>
      <c r="C223" t="s">
        <v>1732</v>
      </c>
      <c r="D223" t="s">
        <v>1733</v>
      </c>
    </row>
    <row r="224" spans="1:64" hidden="1" x14ac:dyDescent="0.25">
      <c r="A224" t="s">
        <v>1084</v>
      </c>
      <c r="B224" t="s">
        <v>1650</v>
      </c>
      <c r="C224" t="s">
        <v>1732</v>
      </c>
      <c r="D224" t="s">
        <v>1733</v>
      </c>
      <c r="BB224">
        <v>37.6</v>
      </c>
      <c r="BG224">
        <v>32.700000000000003</v>
      </c>
      <c r="BL224">
        <v>27.1</v>
      </c>
    </row>
    <row r="225" spans="1:64" hidden="1" x14ac:dyDescent="0.25">
      <c r="A225" t="s">
        <v>1209</v>
      </c>
      <c r="B225" t="s">
        <v>1651</v>
      </c>
      <c r="C225" t="s">
        <v>1732</v>
      </c>
      <c r="D225" t="s">
        <v>1733</v>
      </c>
      <c r="BC225">
        <v>16.899999999999999</v>
      </c>
      <c r="BK225">
        <v>28.4</v>
      </c>
    </row>
    <row r="226" spans="1:64" hidden="1" x14ac:dyDescent="0.25">
      <c r="A226" t="s">
        <v>1652</v>
      </c>
      <c r="B226" t="s">
        <v>1653</v>
      </c>
      <c r="C226" t="s">
        <v>1732</v>
      </c>
      <c r="D226" t="s">
        <v>1733</v>
      </c>
    </row>
    <row r="227" spans="1:64" hidden="1" x14ac:dyDescent="0.25">
      <c r="A227" t="s">
        <v>1267</v>
      </c>
      <c r="B227" t="s">
        <v>1654</v>
      </c>
      <c r="C227" t="s">
        <v>1732</v>
      </c>
      <c r="D227" t="s">
        <v>1733</v>
      </c>
      <c r="AN227">
        <v>9.1999999999999993</v>
      </c>
    </row>
    <row r="228" spans="1:64" hidden="1" x14ac:dyDescent="0.25">
      <c r="A228" t="s">
        <v>1254</v>
      </c>
      <c r="B228" t="s">
        <v>1655</v>
      </c>
      <c r="C228" t="s">
        <v>1732</v>
      </c>
      <c r="D228" t="s">
        <v>1733</v>
      </c>
      <c r="BF228">
        <v>6.5</v>
      </c>
      <c r="BJ228">
        <v>8.5</v>
      </c>
    </row>
    <row r="229" spans="1:64" hidden="1" x14ac:dyDescent="0.25">
      <c r="A229" t="s">
        <v>603</v>
      </c>
      <c r="B229" t="s">
        <v>1656</v>
      </c>
      <c r="C229" t="s">
        <v>1732</v>
      </c>
      <c r="D229" t="s">
        <v>1733</v>
      </c>
      <c r="AZ229">
        <v>24.7</v>
      </c>
      <c r="BC229">
        <v>13</v>
      </c>
      <c r="BG229">
        <v>15.2</v>
      </c>
    </row>
    <row r="230" spans="1:64" hidden="1" x14ac:dyDescent="0.25">
      <c r="A230" t="s">
        <v>1657</v>
      </c>
      <c r="B230" t="s">
        <v>1658</v>
      </c>
      <c r="C230" t="s">
        <v>1732</v>
      </c>
      <c r="D230" t="s">
        <v>1733</v>
      </c>
    </row>
    <row r="231" spans="1:64" hidden="1" x14ac:dyDescent="0.25">
      <c r="A231" t="s">
        <v>1074</v>
      </c>
      <c r="B231" t="s">
        <v>1659</v>
      </c>
      <c r="C231" t="s">
        <v>1732</v>
      </c>
      <c r="D231" t="s">
        <v>1733</v>
      </c>
    </row>
    <row r="232" spans="1:64" hidden="1" x14ac:dyDescent="0.25">
      <c r="A232" t="s">
        <v>1127</v>
      </c>
      <c r="B232" t="s">
        <v>1660</v>
      </c>
      <c r="C232" t="s">
        <v>1732</v>
      </c>
      <c r="D232" t="s">
        <v>1733</v>
      </c>
      <c r="BB232">
        <v>16.399999999999999</v>
      </c>
      <c r="BC232">
        <v>16.399999999999999</v>
      </c>
    </row>
    <row r="233" spans="1:64" hidden="1" x14ac:dyDescent="0.25">
      <c r="A233" t="s">
        <v>1661</v>
      </c>
      <c r="B233" t="s">
        <v>1662</v>
      </c>
      <c r="C233" t="s">
        <v>1732</v>
      </c>
      <c r="D233" t="s">
        <v>1733</v>
      </c>
    </row>
    <row r="234" spans="1:64" hidden="1" x14ac:dyDescent="0.25">
      <c r="A234" t="s">
        <v>1080</v>
      </c>
      <c r="B234" t="s">
        <v>1663</v>
      </c>
      <c r="C234" t="s">
        <v>1732</v>
      </c>
      <c r="D234" t="s">
        <v>1733</v>
      </c>
      <c r="AP234">
        <v>17.399999999999999</v>
      </c>
      <c r="AW234">
        <v>20.6</v>
      </c>
      <c r="BC234">
        <v>28.3</v>
      </c>
      <c r="BH234">
        <v>22.9</v>
      </c>
      <c r="BL234">
        <v>30.2</v>
      </c>
    </row>
    <row r="235" spans="1:64" hidden="1" x14ac:dyDescent="0.25">
      <c r="A235" t="s">
        <v>1664</v>
      </c>
      <c r="B235" t="s">
        <v>1665</v>
      </c>
      <c r="C235" t="s">
        <v>1732</v>
      </c>
      <c r="D235" t="s">
        <v>1733</v>
      </c>
      <c r="AI235">
        <v>5.5430541004073612</v>
      </c>
      <c r="AS235">
        <v>4.4956026625920913</v>
      </c>
    </row>
    <row r="236" spans="1:64" hidden="1" x14ac:dyDescent="0.25">
      <c r="A236" t="s">
        <v>1666</v>
      </c>
      <c r="B236" t="s">
        <v>1667</v>
      </c>
      <c r="C236" t="s">
        <v>1732</v>
      </c>
      <c r="D236" t="s">
        <v>1733</v>
      </c>
      <c r="BC236">
        <v>8.6003922174420158</v>
      </c>
    </row>
    <row r="237" spans="1:64" hidden="1" x14ac:dyDescent="0.25">
      <c r="A237" t="s">
        <v>1102</v>
      </c>
      <c r="B237" t="s">
        <v>1668</v>
      </c>
      <c r="C237" t="s">
        <v>1732</v>
      </c>
      <c r="D237" t="s">
        <v>1733</v>
      </c>
      <c r="AG237">
        <v>40.1</v>
      </c>
      <c r="AQ237">
        <v>35</v>
      </c>
      <c r="BC237">
        <v>37.200000000000003</v>
      </c>
      <c r="BG237">
        <v>33.6</v>
      </c>
      <c r="BJ237">
        <v>34</v>
      </c>
    </row>
    <row r="238" spans="1:64" hidden="1" x14ac:dyDescent="0.25">
      <c r="A238" t="s">
        <v>1167</v>
      </c>
      <c r="B238" t="s">
        <v>1669</v>
      </c>
      <c r="C238" t="s">
        <v>1732</v>
      </c>
      <c r="D238" t="s">
        <v>1733</v>
      </c>
      <c r="AF238">
        <v>11.1</v>
      </c>
      <c r="BE238">
        <v>6.9</v>
      </c>
      <c r="BI238">
        <v>6.2</v>
      </c>
      <c r="BL238">
        <v>8</v>
      </c>
    </row>
    <row r="239" spans="1:64" hidden="1" x14ac:dyDescent="0.25">
      <c r="A239" t="s">
        <v>1135</v>
      </c>
      <c r="B239" t="s">
        <v>1670</v>
      </c>
      <c r="C239" t="s">
        <v>1732</v>
      </c>
      <c r="D239" t="s">
        <v>1733</v>
      </c>
      <c r="BE239">
        <v>22.9</v>
      </c>
      <c r="BJ239">
        <v>22.7</v>
      </c>
    </row>
    <row r="240" spans="1:64" hidden="1" x14ac:dyDescent="0.25">
      <c r="A240" t="s">
        <v>1136</v>
      </c>
      <c r="B240" t="s">
        <v>1671</v>
      </c>
      <c r="C240" t="s">
        <v>1732</v>
      </c>
      <c r="D240" t="s">
        <v>1733</v>
      </c>
      <c r="AS240">
        <v>13.1</v>
      </c>
      <c r="BH240">
        <v>12.1</v>
      </c>
      <c r="BI240">
        <v>12.1</v>
      </c>
      <c r="BL240">
        <v>9.6999999999999993</v>
      </c>
    </row>
    <row r="241" spans="1:64" hidden="1" x14ac:dyDescent="0.25">
      <c r="A241" t="s">
        <v>1672</v>
      </c>
      <c r="B241" t="s">
        <v>1673</v>
      </c>
      <c r="C241" t="s">
        <v>1732</v>
      </c>
      <c r="D241" t="s">
        <v>1733</v>
      </c>
    </row>
    <row r="242" spans="1:64" hidden="1" x14ac:dyDescent="0.25">
      <c r="A242" t="s">
        <v>1168</v>
      </c>
      <c r="B242" t="s">
        <v>1674</v>
      </c>
      <c r="C242" t="s">
        <v>1732</v>
      </c>
      <c r="D242" t="s">
        <v>1733</v>
      </c>
      <c r="AJ242">
        <v>18.3</v>
      </c>
      <c r="AM242">
        <v>13.3</v>
      </c>
      <c r="AP242">
        <v>17.399999999999999</v>
      </c>
      <c r="BC242">
        <v>31.5</v>
      </c>
      <c r="BI242">
        <v>25.3</v>
      </c>
    </row>
    <row r="243" spans="1:64" hidden="1" x14ac:dyDescent="0.25">
      <c r="A243" t="s">
        <v>1675</v>
      </c>
      <c r="B243" t="s">
        <v>1676</v>
      </c>
      <c r="C243" t="s">
        <v>1732</v>
      </c>
      <c r="D243" t="s">
        <v>1733</v>
      </c>
      <c r="BC243">
        <v>9.6191050253589978</v>
      </c>
    </row>
    <row r="244" spans="1:64" hidden="1" x14ac:dyDescent="0.25">
      <c r="A244" t="s">
        <v>1229</v>
      </c>
      <c r="B244" t="s">
        <v>1677</v>
      </c>
      <c r="C244" t="s">
        <v>1732</v>
      </c>
      <c r="D244" t="s">
        <v>1733</v>
      </c>
      <c r="BE244">
        <v>25.2</v>
      </c>
    </row>
    <row r="245" spans="1:64" hidden="1" x14ac:dyDescent="0.25">
      <c r="A245" t="s">
        <v>1678</v>
      </c>
      <c r="B245" t="s">
        <v>1679</v>
      </c>
      <c r="C245" t="s">
        <v>1732</v>
      </c>
      <c r="D245" t="s">
        <v>1733</v>
      </c>
      <c r="AS245">
        <v>18.141449014154649</v>
      </c>
      <c r="BC245">
        <v>19.851160253330214</v>
      </c>
      <c r="BJ245">
        <v>13.833978702388332</v>
      </c>
    </row>
    <row r="246" spans="1:64" hidden="1" x14ac:dyDescent="0.25">
      <c r="A246" t="s">
        <v>1680</v>
      </c>
      <c r="B246" t="s">
        <v>1681</v>
      </c>
      <c r="C246" t="s">
        <v>1732</v>
      </c>
      <c r="D246" t="s">
        <v>1733</v>
      </c>
      <c r="AS246">
        <v>25.587193820020673</v>
      </c>
      <c r="BC246">
        <v>24.273167007508412</v>
      </c>
      <c r="BJ246">
        <v>22.575948707139943</v>
      </c>
    </row>
    <row r="247" spans="1:64" hidden="1" x14ac:dyDescent="0.25">
      <c r="A247" t="s">
        <v>1187</v>
      </c>
      <c r="B247" t="s">
        <v>1682</v>
      </c>
      <c r="C247" t="s">
        <v>1732</v>
      </c>
      <c r="D247" t="s">
        <v>1733</v>
      </c>
      <c r="AF247">
        <v>16.100000000000001</v>
      </c>
      <c r="AY247">
        <v>26.7</v>
      </c>
      <c r="BD247">
        <v>24.3</v>
      </c>
    </row>
    <row r="248" spans="1:64" hidden="1" x14ac:dyDescent="0.25">
      <c r="A248" t="s">
        <v>1110</v>
      </c>
      <c r="B248" t="s">
        <v>1683</v>
      </c>
      <c r="C248" t="s">
        <v>1732</v>
      </c>
      <c r="D248" t="s">
        <v>1733</v>
      </c>
      <c r="AT248">
        <v>12.1</v>
      </c>
      <c r="BE248">
        <v>7</v>
      </c>
      <c r="BK248">
        <v>19.899999999999999</v>
      </c>
    </row>
    <row r="249" spans="1:64" hidden="1" x14ac:dyDescent="0.25">
      <c r="A249" t="s">
        <v>1128</v>
      </c>
      <c r="B249" t="s">
        <v>1684</v>
      </c>
      <c r="C249" t="s">
        <v>1732</v>
      </c>
      <c r="D249" t="s">
        <v>1733</v>
      </c>
      <c r="AL249">
        <v>14.6</v>
      </c>
      <c r="AQ249">
        <v>14</v>
      </c>
      <c r="AV249">
        <v>6.5</v>
      </c>
      <c r="AW249">
        <v>9.5</v>
      </c>
      <c r="BA249">
        <v>8.6</v>
      </c>
      <c r="BF249">
        <v>5.9</v>
      </c>
      <c r="BG249">
        <v>5.9</v>
      </c>
      <c r="BK249">
        <v>11.6</v>
      </c>
    </row>
    <row r="250" spans="1:64" hidden="1" x14ac:dyDescent="0.25">
      <c r="A250" t="s">
        <v>1685</v>
      </c>
      <c r="B250" t="s">
        <v>1686</v>
      </c>
      <c r="C250" t="s">
        <v>1732</v>
      </c>
      <c r="D250" t="s">
        <v>1733</v>
      </c>
      <c r="AZ250">
        <v>24.2</v>
      </c>
    </row>
    <row r="251" spans="1:64" hidden="1" x14ac:dyDescent="0.25">
      <c r="A251" t="s">
        <v>1687</v>
      </c>
      <c r="B251" t="s">
        <v>1688</v>
      </c>
      <c r="C251" t="s">
        <v>1732</v>
      </c>
      <c r="D251" t="s">
        <v>1733</v>
      </c>
      <c r="AK251">
        <v>27.8</v>
      </c>
      <c r="AM251">
        <v>27.3</v>
      </c>
      <c r="AO251">
        <v>26</v>
      </c>
      <c r="AR251">
        <v>22.3</v>
      </c>
      <c r="AX251">
        <v>24.3</v>
      </c>
      <c r="BC251">
        <v>25.3</v>
      </c>
      <c r="BI251">
        <v>22.1</v>
      </c>
    </row>
    <row r="252" spans="1:64" hidden="1" x14ac:dyDescent="0.2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25">
      <c r="A253" t="s">
        <v>1243</v>
      </c>
      <c r="B253" t="s">
        <v>1690</v>
      </c>
      <c r="C253" t="s">
        <v>1732</v>
      </c>
      <c r="D253" t="s">
        <v>1733</v>
      </c>
      <c r="AR253">
        <v>17.5</v>
      </c>
      <c r="AZ253">
        <v>10.1</v>
      </c>
      <c r="BE253">
        <v>4.9000000000000004</v>
      </c>
    </row>
    <row r="254" spans="1:64" hidden="1" x14ac:dyDescent="0.25">
      <c r="A254" t="s">
        <v>1691</v>
      </c>
      <c r="B254" t="s">
        <v>1692</v>
      </c>
      <c r="C254" t="s">
        <v>1732</v>
      </c>
      <c r="D254" t="s">
        <v>1733</v>
      </c>
      <c r="AS254">
        <v>4.3933023543936276</v>
      </c>
    </row>
    <row r="255" spans="1:64" hidden="1" x14ac:dyDescent="0.25">
      <c r="A255" t="s">
        <v>1210</v>
      </c>
      <c r="B255" t="s">
        <v>1693</v>
      </c>
      <c r="C255" t="s">
        <v>1732</v>
      </c>
      <c r="D255" t="s">
        <v>1733</v>
      </c>
    </row>
    <row r="256" spans="1:64" hidden="1" x14ac:dyDescent="0.25">
      <c r="A256" t="s">
        <v>1694</v>
      </c>
      <c r="B256" t="s">
        <v>1695</v>
      </c>
      <c r="C256" t="s">
        <v>1732</v>
      </c>
      <c r="D256" t="s">
        <v>1733</v>
      </c>
      <c r="AG256">
        <v>4</v>
      </c>
      <c r="AI256">
        <v>6</v>
      </c>
      <c r="AU256">
        <v>6.3</v>
      </c>
      <c r="AZ256">
        <v>5.8</v>
      </c>
      <c r="BA256">
        <v>5.8</v>
      </c>
      <c r="BC256">
        <v>8</v>
      </c>
      <c r="BG256">
        <v>9</v>
      </c>
      <c r="BH256">
        <v>9</v>
      </c>
      <c r="BL256">
        <v>7.2</v>
      </c>
    </row>
    <row r="257" spans="1:63" hidden="1" x14ac:dyDescent="0.25">
      <c r="A257" t="s">
        <v>1137</v>
      </c>
      <c r="B257" t="s">
        <v>1696</v>
      </c>
      <c r="C257" t="s">
        <v>1732</v>
      </c>
      <c r="D257" t="s">
        <v>1733</v>
      </c>
      <c r="AO257">
        <v>13.7</v>
      </c>
    </row>
    <row r="258" spans="1:63" hidden="1" x14ac:dyDescent="0.25">
      <c r="A258" t="s">
        <v>1697</v>
      </c>
      <c r="B258" t="s">
        <v>1698</v>
      </c>
      <c r="C258" t="s">
        <v>1732</v>
      </c>
      <c r="D258" t="s">
        <v>1733</v>
      </c>
    </row>
    <row r="259" spans="1:63" hidden="1" x14ac:dyDescent="0.25">
      <c r="A259" t="s">
        <v>1699</v>
      </c>
      <c r="B259" t="s">
        <v>1700</v>
      </c>
      <c r="C259" t="s">
        <v>1732</v>
      </c>
      <c r="D259" t="s">
        <v>1733</v>
      </c>
      <c r="AQ259">
        <v>18.899999999999999</v>
      </c>
    </row>
    <row r="260" spans="1:63" hidden="1" x14ac:dyDescent="0.25">
      <c r="A260" t="s">
        <v>1701</v>
      </c>
      <c r="B260" t="s">
        <v>1702</v>
      </c>
      <c r="C260" t="s">
        <v>1732</v>
      </c>
      <c r="D260" t="s">
        <v>1733</v>
      </c>
    </row>
    <row r="261" spans="1:63" hidden="1" x14ac:dyDescent="0.25">
      <c r="A261" t="s">
        <v>1703</v>
      </c>
      <c r="B261" t="s">
        <v>1704</v>
      </c>
      <c r="C261" t="s">
        <v>1732</v>
      </c>
      <c r="D261" t="s">
        <v>1733</v>
      </c>
    </row>
    <row r="262" spans="1:63" hidden="1" x14ac:dyDescent="0.25">
      <c r="A262" t="s">
        <v>1705</v>
      </c>
      <c r="B262" t="s">
        <v>1706</v>
      </c>
      <c r="C262" t="s">
        <v>1732</v>
      </c>
      <c r="D262" t="s">
        <v>1733</v>
      </c>
      <c r="AP262">
        <v>8.4</v>
      </c>
      <c r="AU262">
        <v>6.6</v>
      </c>
      <c r="BD262">
        <v>4.3</v>
      </c>
      <c r="BG262">
        <v>6.1</v>
      </c>
    </row>
    <row r="263" spans="1:63" hidden="1" x14ac:dyDescent="0.25">
      <c r="A263" t="s">
        <v>1221</v>
      </c>
      <c r="B263" t="s">
        <v>1707</v>
      </c>
      <c r="C263" t="s">
        <v>1732</v>
      </c>
      <c r="D263" t="s">
        <v>1733</v>
      </c>
      <c r="BF263">
        <v>24.2</v>
      </c>
    </row>
    <row r="264" spans="1:63" hidden="1" x14ac:dyDescent="0.25">
      <c r="A264" t="s">
        <v>1017</v>
      </c>
      <c r="B264" t="s">
        <v>1708</v>
      </c>
      <c r="C264" t="s">
        <v>1732</v>
      </c>
      <c r="D264" t="s">
        <v>1733</v>
      </c>
    </row>
    <row r="265" spans="1:63" hidden="1" x14ac:dyDescent="0.25">
      <c r="A265" t="s">
        <v>1228</v>
      </c>
      <c r="B265" t="s">
        <v>1709</v>
      </c>
      <c r="C265" t="s">
        <v>1732</v>
      </c>
      <c r="D265" t="s">
        <v>1733</v>
      </c>
      <c r="BB265">
        <v>47.7</v>
      </c>
      <c r="BG265">
        <v>34.799999999999997</v>
      </c>
    </row>
    <row r="266" spans="1:63" hidden="1" x14ac:dyDescent="0.25">
      <c r="A266" t="s">
        <v>1710</v>
      </c>
      <c r="B266" t="s">
        <v>1711</v>
      </c>
      <c r="C266" t="s">
        <v>1732</v>
      </c>
      <c r="D266" t="s">
        <v>1733</v>
      </c>
    </row>
    <row r="267" spans="1:63" hidden="1" x14ac:dyDescent="0.25">
      <c r="A267" t="s">
        <v>1712</v>
      </c>
      <c r="B267" t="s">
        <v>1713</v>
      </c>
      <c r="C267" t="s">
        <v>1732</v>
      </c>
      <c r="D267" t="s">
        <v>1733</v>
      </c>
      <c r="AK267">
        <v>38.1</v>
      </c>
      <c r="AP267">
        <v>40</v>
      </c>
      <c r="AY267">
        <v>23.6</v>
      </c>
      <c r="BF267">
        <v>28.7</v>
      </c>
    </row>
    <row r="268" spans="1:63" hidden="1" x14ac:dyDescent="0.25">
      <c r="A268" t="s">
        <v>602</v>
      </c>
      <c r="B268" t="s">
        <v>1714</v>
      </c>
      <c r="C268" t="s">
        <v>1732</v>
      </c>
      <c r="D268" t="s">
        <v>1733</v>
      </c>
      <c r="AQ268">
        <v>16.5</v>
      </c>
      <c r="AV268">
        <v>13.8</v>
      </c>
      <c r="AW268">
        <v>13.8</v>
      </c>
      <c r="BI268">
        <v>14.9</v>
      </c>
    </row>
    <row r="269" spans="1:63" hidden="1" x14ac:dyDescent="0.25">
      <c r="A269" t="s">
        <v>606</v>
      </c>
      <c r="B269" t="s">
        <v>1715</v>
      </c>
      <c r="C269" t="s">
        <v>1732</v>
      </c>
      <c r="D269" t="s">
        <v>1733</v>
      </c>
      <c r="AK269">
        <v>30</v>
      </c>
      <c r="AO269">
        <v>25.2</v>
      </c>
      <c r="AP269">
        <v>25.2</v>
      </c>
      <c r="AU269">
        <v>27.5</v>
      </c>
      <c r="AZ269">
        <v>26.6</v>
      </c>
      <c r="BG269">
        <v>21.1</v>
      </c>
      <c r="BK269">
        <v>19.7</v>
      </c>
    </row>
    <row r="270" spans="1:63" hidden="1" x14ac:dyDescent="0.2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5" x14ac:dyDescent="0.25"/>
  <cols>
    <col min="1" max="1" width="44.140625" bestFit="1" customWidth="1"/>
    <col min="2" max="2" width="25.5703125" bestFit="1" customWidth="1"/>
    <col min="3" max="3" width="43.42578125" bestFit="1" customWidth="1"/>
    <col min="4" max="4" width="13.5703125" bestFit="1" customWidth="1"/>
    <col min="5" max="8" width="5" bestFit="1" customWidth="1"/>
    <col min="9" max="9" width="9.85546875" customWidth="1"/>
    <col min="10" max="34" width="5" bestFit="1" customWidth="1"/>
    <col min="35" max="64" width="11.42578125" bestFit="1" customWidth="1"/>
    <col min="65" max="65" width="9.28515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1734</v>
      </c>
      <c r="D5" t="s">
        <v>1735</v>
      </c>
    </row>
    <row r="6" spans="1:65" x14ac:dyDescent="0.2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5">
      <c r="A11" t="s">
        <v>1361</v>
      </c>
      <c r="B11" t="s">
        <v>1362</v>
      </c>
      <c r="C11" t="s">
        <v>1734</v>
      </c>
      <c r="D11" t="s">
        <v>1735</v>
      </c>
    </row>
    <row r="12" spans="1:65" x14ac:dyDescent="0.2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5">
      <c r="A13" t="s">
        <v>1129</v>
      </c>
      <c r="B13" t="s">
        <v>1365</v>
      </c>
      <c r="C13" t="s">
        <v>1734</v>
      </c>
      <c r="D13" t="s">
        <v>1735</v>
      </c>
    </row>
    <row r="14" spans="1:65" x14ac:dyDescent="0.2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5">
      <c r="A16" t="s">
        <v>1368</v>
      </c>
      <c r="B16" t="s">
        <v>1369</v>
      </c>
      <c r="C16" t="s">
        <v>1734</v>
      </c>
      <c r="D16" t="s">
        <v>1735</v>
      </c>
    </row>
    <row r="17" spans="1:64" x14ac:dyDescent="0.25">
      <c r="A17" t="s">
        <v>1172</v>
      </c>
      <c r="B17" t="s">
        <v>1370</v>
      </c>
      <c r="C17" t="s">
        <v>1734</v>
      </c>
      <c r="D17" t="s">
        <v>1735</v>
      </c>
    </row>
    <row r="18" spans="1:64" x14ac:dyDescent="0.2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5">
      <c r="A19" t="s">
        <v>1270</v>
      </c>
      <c r="B19" t="s">
        <v>1372</v>
      </c>
      <c r="C19" t="s">
        <v>1734</v>
      </c>
      <c r="D19" t="s">
        <v>1735</v>
      </c>
    </row>
    <row r="20" spans="1:64" x14ac:dyDescent="0.2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5">
      <c r="A22" t="s">
        <v>1271</v>
      </c>
      <c r="B22" t="s">
        <v>1375</v>
      </c>
      <c r="C22" t="s">
        <v>1734</v>
      </c>
      <c r="D22" t="s">
        <v>1735</v>
      </c>
    </row>
    <row r="23" spans="1:64" x14ac:dyDescent="0.2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5">
      <c r="A25" t="s">
        <v>1140</v>
      </c>
      <c r="B25" t="s">
        <v>1378</v>
      </c>
      <c r="C25" t="s">
        <v>1734</v>
      </c>
      <c r="D25" t="s">
        <v>1735</v>
      </c>
    </row>
    <row r="26" spans="1:64" x14ac:dyDescent="0.2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5">
      <c r="A27" t="s">
        <v>1115</v>
      </c>
      <c r="B27" t="s">
        <v>1380</v>
      </c>
      <c r="C27" t="s">
        <v>1734</v>
      </c>
      <c r="D27" t="s">
        <v>1735</v>
      </c>
    </row>
    <row r="28" spans="1:64" x14ac:dyDescent="0.25">
      <c r="A28" t="s">
        <v>1381</v>
      </c>
      <c r="B28" t="s">
        <v>1382</v>
      </c>
      <c r="C28" t="s">
        <v>1734</v>
      </c>
      <c r="D28" t="s">
        <v>1735</v>
      </c>
    </row>
    <row r="29" spans="1:64" x14ac:dyDescent="0.25">
      <c r="A29" t="s">
        <v>1258</v>
      </c>
      <c r="B29" t="s">
        <v>1383</v>
      </c>
      <c r="C29" t="s">
        <v>1734</v>
      </c>
      <c r="D29" t="s">
        <v>1735</v>
      </c>
    </row>
    <row r="30" spans="1:64" x14ac:dyDescent="0.2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5">
      <c r="A31" t="s">
        <v>1190</v>
      </c>
      <c r="B31" t="s">
        <v>1385</v>
      </c>
      <c r="C31" t="s">
        <v>1734</v>
      </c>
      <c r="D31" t="s">
        <v>1735</v>
      </c>
    </row>
    <row r="32" spans="1:64" x14ac:dyDescent="0.25">
      <c r="A32" t="s">
        <v>1386</v>
      </c>
      <c r="B32" t="s">
        <v>1387</v>
      </c>
      <c r="C32" t="s">
        <v>1734</v>
      </c>
      <c r="D32" t="s">
        <v>1735</v>
      </c>
    </row>
    <row r="33" spans="1:64" x14ac:dyDescent="0.2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5">
      <c r="A36" t="s">
        <v>1159</v>
      </c>
      <c r="B36" t="s">
        <v>1392</v>
      </c>
      <c r="C36" t="s">
        <v>1734</v>
      </c>
      <c r="D36" t="s">
        <v>1735</v>
      </c>
    </row>
    <row r="37" spans="1:64" x14ac:dyDescent="0.25">
      <c r="A37" t="s">
        <v>1141</v>
      </c>
      <c r="B37" t="s">
        <v>1393</v>
      </c>
      <c r="C37" t="s">
        <v>1734</v>
      </c>
      <c r="D37" t="s">
        <v>1735</v>
      </c>
    </row>
    <row r="38" spans="1:64" x14ac:dyDescent="0.2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5">
      <c r="A40" t="s">
        <v>1278</v>
      </c>
      <c r="B40" t="s">
        <v>1396</v>
      </c>
      <c r="C40" t="s">
        <v>1734</v>
      </c>
      <c r="D40" t="s">
        <v>1735</v>
      </c>
    </row>
    <row r="41" spans="1:64" x14ac:dyDescent="0.25">
      <c r="A41" t="s">
        <v>1397</v>
      </c>
      <c r="B41" t="s">
        <v>1398</v>
      </c>
      <c r="C41" t="s">
        <v>1734</v>
      </c>
      <c r="D41" t="s">
        <v>1735</v>
      </c>
    </row>
    <row r="42" spans="1:64" x14ac:dyDescent="0.2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5">
      <c r="A43" t="s">
        <v>1245</v>
      </c>
      <c r="B43" t="s">
        <v>1400</v>
      </c>
      <c r="C43" t="s">
        <v>1734</v>
      </c>
      <c r="D43" t="s">
        <v>1735</v>
      </c>
    </row>
    <row r="44" spans="1:64" x14ac:dyDescent="0.2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5">
      <c r="A45" t="s">
        <v>1150</v>
      </c>
      <c r="B45" t="s">
        <v>1402</v>
      </c>
      <c r="C45" t="s">
        <v>1734</v>
      </c>
      <c r="D45" t="s">
        <v>1735</v>
      </c>
    </row>
    <row r="46" spans="1:64" x14ac:dyDescent="0.2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5">
      <c r="A56" t="s">
        <v>1417</v>
      </c>
      <c r="B56" t="s">
        <v>1418</v>
      </c>
      <c r="C56" t="s">
        <v>1734</v>
      </c>
      <c r="D56" t="s">
        <v>1735</v>
      </c>
    </row>
    <row r="57" spans="1:64" x14ac:dyDescent="0.25">
      <c r="A57" t="s">
        <v>1419</v>
      </c>
      <c r="B57" t="s">
        <v>1420</v>
      </c>
      <c r="C57" t="s">
        <v>1734</v>
      </c>
      <c r="D57" t="s">
        <v>1735</v>
      </c>
    </row>
    <row r="58" spans="1:64" x14ac:dyDescent="0.25">
      <c r="A58" t="s">
        <v>1116</v>
      </c>
      <c r="B58" t="s">
        <v>1421</v>
      </c>
      <c r="C58" t="s">
        <v>1734</v>
      </c>
      <c r="D58" t="s">
        <v>1735</v>
      </c>
    </row>
    <row r="59" spans="1:64" x14ac:dyDescent="0.25">
      <c r="A59" t="s">
        <v>1422</v>
      </c>
      <c r="B59" t="s">
        <v>1423</v>
      </c>
      <c r="C59" t="s">
        <v>1734</v>
      </c>
      <c r="D59" t="s">
        <v>1735</v>
      </c>
    </row>
    <row r="60" spans="1:64" x14ac:dyDescent="0.25">
      <c r="A60" t="s">
        <v>1273</v>
      </c>
      <c r="B60" t="s">
        <v>1424</v>
      </c>
      <c r="C60" t="s">
        <v>1734</v>
      </c>
      <c r="D60" t="s">
        <v>1735</v>
      </c>
    </row>
    <row r="61" spans="1:64" x14ac:dyDescent="0.2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5">
      <c r="A62" t="s">
        <v>1426</v>
      </c>
      <c r="B62" t="s">
        <v>1427</v>
      </c>
      <c r="C62" t="s">
        <v>1734</v>
      </c>
      <c r="D62" t="s">
        <v>1735</v>
      </c>
    </row>
    <row r="63" spans="1:64" x14ac:dyDescent="0.25">
      <c r="A63" t="s">
        <v>1246</v>
      </c>
      <c r="B63" t="s">
        <v>1428</v>
      </c>
      <c r="C63" t="s">
        <v>1734</v>
      </c>
      <c r="D63" t="s">
        <v>1735</v>
      </c>
    </row>
    <row r="64" spans="1:64" x14ac:dyDescent="0.2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5">
      <c r="A66" t="s">
        <v>1431</v>
      </c>
      <c r="B66" t="s">
        <v>1432</v>
      </c>
      <c r="C66" t="s">
        <v>1734</v>
      </c>
      <c r="D66" t="s">
        <v>1735</v>
      </c>
    </row>
    <row r="67" spans="1:64" x14ac:dyDescent="0.25">
      <c r="A67" t="s">
        <v>1433</v>
      </c>
      <c r="B67" t="s">
        <v>1434</v>
      </c>
      <c r="C67" t="s">
        <v>1734</v>
      </c>
      <c r="D67" t="s">
        <v>1735</v>
      </c>
    </row>
    <row r="68" spans="1:64" x14ac:dyDescent="0.25">
      <c r="A68" t="s">
        <v>1435</v>
      </c>
      <c r="B68" t="s">
        <v>1436</v>
      </c>
      <c r="C68" t="s">
        <v>1734</v>
      </c>
      <c r="D68" t="s">
        <v>1735</v>
      </c>
    </row>
    <row r="69" spans="1:64" x14ac:dyDescent="0.25">
      <c r="A69" t="s">
        <v>1437</v>
      </c>
      <c r="B69" t="s">
        <v>1438</v>
      </c>
      <c r="C69" t="s">
        <v>1734</v>
      </c>
      <c r="D69" t="s">
        <v>1735</v>
      </c>
    </row>
    <row r="70" spans="1:64" x14ac:dyDescent="0.25">
      <c r="A70" t="s">
        <v>1439</v>
      </c>
      <c r="B70" t="s">
        <v>1440</v>
      </c>
      <c r="C70" t="s">
        <v>1734</v>
      </c>
      <c r="D70" t="s">
        <v>1735</v>
      </c>
    </row>
    <row r="71" spans="1:64" x14ac:dyDescent="0.2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5">
      <c r="A73" t="s">
        <v>1444</v>
      </c>
      <c r="B73" t="s">
        <v>1445</v>
      </c>
      <c r="C73" t="s">
        <v>1734</v>
      </c>
      <c r="D73" t="s">
        <v>1735</v>
      </c>
    </row>
    <row r="74" spans="1:64" x14ac:dyDescent="0.2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5">
      <c r="A76" t="s">
        <v>1247</v>
      </c>
      <c r="B76" t="s">
        <v>1448</v>
      </c>
      <c r="C76" t="s">
        <v>1734</v>
      </c>
      <c r="D76" t="s">
        <v>1735</v>
      </c>
    </row>
    <row r="77" spans="1:64" x14ac:dyDescent="0.2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5">
      <c r="A78" t="s">
        <v>1449</v>
      </c>
      <c r="B78" t="s">
        <v>1450</v>
      </c>
      <c r="C78" t="s">
        <v>1734</v>
      </c>
      <c r="D78" t="s">
        <v>1735</v>
      </c>
    </row>
    <row r="79" spans="1:64" x14ac:dyDescent="0.2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5">
      <c r="A80" t="s">
        <v>1248</v>
      </c>
      <c r="B80" t="s">
        <v>1453</v>
      </c>
      <c r="C80" t="s">
        <v>1734</v>
      </c>
      <c r="D80" t="s">
        <v>1735</v>
      </c>
    </row>
    <row r="81" spans="1:64" x14ac:dyDescent="0.2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5">
      <c r="A83" t="s">
        <v>1456</v>
      </c>
      <c r="B83" t="s">
        <v>1457</v>
      </c>
      <c r="C83" t="s">
        <v>1734</v>
      </c>
      <c r="D83" t="s">
        <v>1735</v>
      </c>
    </row>
    <row r="84" spans="1:64" x14ac:dyDescent="0.25">
      <c r="A84" t="s">
        <v>1458</v>
      </c>
      <c r="B84" t="s">
        <v>1459</v>
      </c>
      <c r="C84" t="s">
        <v>1734</v>
      </c>
      <c r="D84" t="s">
        <v>1735</v>
      </c>
    </row>
    <row r="85" spans="1:64" x14ac:dyDescent="0.2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5">
      <c r="A86" t="s">
        <v>1255</v>
      </c>
      <c r="B86" t="s">
        <v>1461</v>
      </c>
      <c r="C86" t="s">
        <v>1734</v>
      </c>
      <c r="D86" t="s">
        <v>1735</v>
      </c>
    </row>
    <row r="87" spans="1:64" x14ac:dyDescent="0.2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5">
      <c r="A89" t="s">
        <v>1464</v>
      </c>
      <c r="B89" t="s">
        <v>1465</v>
      </c>
      <c r="C89" t="s">
        <v>1734</v>
      </c>
      <c r="D89" t="s">
        <v>1735</v>
      </c>
    </row>
    <row r="90" spans="1:64" x14ac:dyDescent="0.2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5">
      <c r="A94" t="s">
        <v>1260</v>
      </c>
      <c r="B94" t="s">
        <v>1471</v>
      </c>
      <c r="C94" t="s">
        <v>1734</v>
      </c>
      <c r="D94" t="s">
        <v>1735</v>
      </c>
    </row>
    <row r="95" spans="1:64" x14ac:dyDescent="0.25">
      <c r="A95" t="s">
        <v>1179</v>
      </c>
      <c r="B95" t="s">
        <v>1472</v>
      </c>
      <c r="C95" t="s">
        <v>1734</v>
      </c>
      <c r="D95" t="s">
        <v>1735</v>
      </c>
    </row>
    <row r="96" spans="1:64" x14ac:dyDescent="0.25">
      <c r="A96" t="s">
        <v>1473</v>
      </c>
      <c r="B96" t="s">
        <v>1474</v>
      </c>
      <c r="C96" t="s">
        <v>1734</v>
      </c>
      <c r="D96" t="s">
        <v>1735</v>
      </c>
    </row>
    <row r="97" spans="1:64" x14ac:dyDescent="0.2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5">
      <c r="A98" t="s">
        <v>1223</v>
      </c>
      <c r="B98" t="s">
        <v>1476</v>
      </c>
      <c r="C98" t="s">
        <v>1734</v>
      </c>
      <c r="D98" t="s">
        <v>1735</v>
      </c>
    </row>
    <row r="99" spans="1:64" x14ac:dyDescent="0.2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5">
      <c r="A100" t="s">
        <v>1478</v>
      </c>
      <c r="B100" t="s">
        <v>1479</v>
      </c>
      <c r="C100" t="s">
        <v>1734</v>
      </c>
      <c r="D100" t="s">
        <v>1735</v>
      </c>
    </row>
    <row r="101" spans="1:64" x14ac:dyDescent="0.25">
      <c r="A101" t="s">
        <v>1480</v>
      </c>
      <c r="B101" t="s">
        <v>1481</v>
      </c>
      <c r="C101" t="s">
        <v>1734</v>
      </c>
      <c r="D101" t="s">
        <v>1735</v>
      </c>
    </row>
    <row r="102" spans="1:64" x14ac:dyDescent="0.2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5">
      <c r="A106" t="s">
        <v>1237</v>
      </c>
      <c r="B106" t="s">
        <v>1487</v>
      </c>
      <c r="C106" t="s">
        <v>1734</v>
      </c>
      <c r="D106" t="s">
        <v>1735</v>
      </c>
    </row>
    <row r="107" spans="1:64" x14ac:dyDescent="0.25">
      <c r="A107" t="s">
        <v>1488</v>
      </c>
      <c r="B107" t="s">
        <v>1489</v>
      </c>
      <c r="C107" t="s">
        <v>1734</v>
      </c>
      <c r="D107" t="s">
        <v>1735</v>
      </c>
    </row>
    <row r="108" spans="1:64" x14ac:dyDescent="0.25">
      <c r="A108" t="s">
        <v>1490</v>
      </c>
      <c r="B108" t="s">
        <v>1491</v>
      </c>
      <c r="C108" t="s">
        <v>1734</v>
      </c>
      <c r="D108" t="s">
        <v>1735</v>
      </c>
    </row>
    <row r="109" spans="1:64" x14ac:dyDescent="0.2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5">
      <c r="A111" t="s">
        <v>1161</v>
      </c>
      <c r="B111" t="s">
        <v>1496</v>
      </c>
      <c r="C111" t="s">
        <v>1734</v>
      </c>
      <c r="D111" t="s">
        <v>1735</v>
      </c>
    </row>
    <row r="112" spans="1:64" x14ac:dyDescent="0.2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5">
      <c r="A113" t="s">
        <v>1499</v>
      </c>
      <c r="B113" t="s">
        <v>1500</v>
      </c>
      <c r="C113" t="s">
        <v>1734</v>
      </c>
      <c r="D113" t="s">
        <v>1735</v>
      </c>
    </row>
    <row r="114" spans="1:64" x14ac:dyDescent="0.25">
      <c r="A114" t="s">
        <v>1142</v>
      </c>
      <c r="B114" t="s">
        <v>1501</v>
      </c>
      <c r="C114" t="s">
        <v>1734</v>
      </c>
      <c r="D114" t="s">
        <v>1735</v>
      </c>
    </row>
    <row r="115" spans="1:64" x14ac:dyDescent="0.25">
      <c r="A115" t="s">
        <v>1502</v>
      </c>
      <c r="B115" t="s">
        <v>1503</v>
      </c>
      <c r="C115" t="s">
        <v>1734</v>
      </c>
      <c r="D115" t="s">
        <v>1735</v>
      </c>
    </row>
    <row r="116" spans="1:64" x14ac:dyDescent="0.2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5">
      <c r="A118" t="s">
        <v>1118</v>
      </c>
      <c r="B118" t="s">
        <v>1507</v>
      </c>
      <c r="C118" t="s">
        <v>1734</v>
      </c>
      <c r="D118" t="s">
        <v>1735</v>
      </c>
    </row>
    <row r="119" spans="1:64" x14ac:dyDescent="0.25">
      <c r="A119" t="s">
        <v>1249</v>
      </c>
      <c r="B119" t="s">
        <v>1508</v>
      </c>
      <c r="C119" t="s">
        <v>1734</v>
      </c>
      <c r="D119" t="s">
        <v>1735</v>
      </c>
    </row>
    <row r="120" spans="1:64" x14ac:dyDescent="0.25">
      <c r="A120" t="s">
        <v>1119</v>
      </c>
      <c r="B120" t="s">
        <v>1509</v>
      </c>
      <c r="C120" t="s">
        <v>1734</v>
      </c>
      <c r="D120" t="s">
        <v>1735</v>
      </c>
    </row>
    <row r="121" spans="1:64" x14ac:dyDescent="0.2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5">
      <c r="A123" t="s">
        <v>1120</v>
      </c>
      <c r="B123" t="s">
        <v>1512</v>
      </c>
      <c r="C123" t="s">
        <v>1734</v>
      </c>
      <c r="D123" t="s">
        <v>1735</v>
      </c>
    </row>
    <row r="124" spans="1:64" x14ac:dyDescent="0.25">
      <c r="A124" t="s">
        <v>1155</v>
      </c>
      <c r="B124" t="s">
        <v>1513</v>
      </c>
      <c r="C124" t="s">
        <v>1734</v>
      </c>
      <c r="D124" t="s">
        <v>1735</v>
      </c>
    </row>
    <row r="125" spans="1:64" x14ac:dyDescent="0.2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5">
      <c r="A129" t="s">
        <v>1224</v>
      </c>
      <c r="B129" t="s">
        <v>1519</v>
      </c>
      <c r="C129" t="s">
        <v>1734</v>
      </c>
      <c r="D129" t="s">
        <v>1735</v>
      </c>
    </row>
    <row r="130" spans="1:64" x14ac:dyDescent="0.25">
      <c r="A130" t="s">
        <v>1520</v>
      </c>
      <c r="B130" t="s">
        <v>1521</v>
      </c>
      <c r="C130" t="s">
        <v>1734</v>
      </c>
      <c r="D130" t="s">
        <v>1735</v>
      </c>
    </row>
    <row r="131" spans="1:64" x14ac:dyDescent="0.25">
      <c r="A131" t="s">
        <v>1522</v>
      </c>
      <c r="B131" t="s">
        <v>1523</v>
      </c>
      <c r="C131" t="s">
        <v>1734</v>
      </c>
      <c r="D131" t="s">
        <v>1735</v>
      </c>
    </row>
    <row r="132" spans="1:64" x14ac:dyDescent="0.25">
      <c r="A132" t="s">
        <v>1121</v>
      </c>
      <c r="B132" t="s">
        <v>1524</v>
      </c>
      <c r="C132" t="s">
        <v>1734</v>
      </c>
      <c r="D132" t="s">
        <v>1735</v>
      </c>
    </row>
    <row r="133" spans="1:64" x14ac:dyDescent="0.2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5">
      <c r="A138" t="s">
        <v>1532</v>
      </c>
      <c r="B138" t="s">
        <v>1533</v>
      </c>
      <c r="C138" t="s">
        <v>1734</v>
      </c>
      <c r="D138" t="s">
        <v>1735</v>
      </c>
    </row>
    <row r="139" spans="1:64" x14ac:dyDescent="0.2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5">
      <c r="A142" t="s">
        <v>1540</v>
      </c>
      <c r="B142" t="s">
        <v>1541</v>
      </c>
      <c r="C142" t="s">
        <v>1734</v>
      </c>
      <c r="D142" t="s">
        <v>1735</v>
      </c>
    </row>
    <row r="143" spans="1:64" x14ac:dyDescent="0.2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5">
      <c r="A144" t="s">
        <v>1543</v>
      </c>
      <c r="B144" t="s">
        <v>1544</v>
      </c>
      <c r="C144" t="s">
        <v>1734</v>
      </c>
      <c r="D144" t="s">
        <v>1735</v>
      </c>
    </row>
    <row r="145" spans="1:64" x14ac:dyDescent="0.25">
      <c r="A145" t="s">
        <v>1545</v>
      </c>
      <c r="B145" t="s">
        <v>1546</v>
      </c>
      <c r="C145" t="s">
        <v>1734</v>
      </c>
      <c r="D145" t="s">
        <v>1735</v>
      </c>
    </row>
    <row r="146" spans="1:64" x14ac:dyDescent="0.2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5">
      <c r="A147" t="s">
        <v>1548</v>
      </c>
      <c r="B147" t="s">
        <v>1549</v>
      </c>
      <c r="C147" t="s">
        <v>1734</v>
      </c>
      <c r="D147" t="s">
        <v>1735</v>
      </c>
    </row>
    <row r="148" spans="1:64" x14ac:dyDescent="0.2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5">
      <c r="A149" t="s">
        <v>1274</v>
      </c>
      <c r="B149" t="s">
        <v>1551</v>
      </c>
      <c r="C149" t="s">
        <v>1734</v>
      </c>
      <c r="D149" t="s">
        <v>1735</v>
      </c>
    </row>
    <row r="150" spans="1:64" x14ac:dyDescent="0.2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5">
      <c r="A151" t="s">
        <v>1553</v>
      </c>
      <c r="B151" t="s">
        <v>1554</v>
      </c>
      <c r="C151" t="s">
        <v>1734</v>
      </c>
      <c r="D151" t="s">
        <v>1735</v>
      </c>
    </row>
    <row r="152" spans="1:64" x14ac:dyDescent="0.25">
      <c r="A152" t="s">
        <v>1555</v>
      </c>
      <c r="B152" t="s">
        <v>1556</v>
      </c>
      <c r="C152" t="s">
        <v>1734</v>
      </c>
      <c r="D152" t="s">
        <v>1735</v>
      </c>
    </row>
    <row r="153" spans="1:64" x14ac:dyDescent="0.2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5">
      <c r="A154" t="s">
        <v>1558</v>
      </c>
      <c r="B154" t="s">
        <v>1559</v>
      </c>
      <c r="C154" t="s">
        <v>1734</v>
      </c>
      <c r="D154" t="s">
        <v>1735</v>
      </c>
    </row>
    <row r="155" spans="1:64" x14ac:dyDescent="0.2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5">
      <c r="A157" t="s">
        <v>1144</v>
      </c>
      <c r="B157" t="s">
        <v>1563</v>
      </c>
      <c r="C157" t="s">
        <v>1734</v>
      </c>
      <c r="D157" t="s">
        <v>1735</v>
      </c>
    </row>
    <row r="158" spans="1:64" x14ac:dyDescent="0.2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5">
      <c r="A159" t="s">
        <v>1195</v>
      </c>
      <c r="B159" t="s">
        <v>1566</v>
      </c>
      <c r="C159" t="s">
        <v>1734</v>
      </c>
      <c r="D159" t="s">
        <v>1735</v>
      </c>
    </row>
    <row r="160" spans="1:64" x14ac:dyDescent="0.25">
      <c r="A160" t="s">
        <v>1567</v>
      </c>
      <c r="B160" t="s">
        <v>1568</v>
      </c>
      <c r="C160" t="s">
        <v>1734</v>
      </c>
      <c r="D160" t="s">
        <v>1735</v>
      </c>
    </row>
    <row r="161" spans="1:64" x14ac:dyDescent="0.25">
      <c r="A161" t="s">
        <v>1569</v>
      </c>
      <c r="B161" t="s">
        <v>1570</v>
      </c>
      <c r="C161" t="s">
        <v>1734</v>
      </c>
      <c r="D161" t="s">
        <v>1735</v>
      </c>
    </row>
    <row r="162" spans="1:64" x14ac:dyDescent="0.25">
      <c r="A162" t="s">
        <v>1264</v>
      </c>
      <c r="B162" t="s">
        <v>1571</v>
      </c>
      <c r="C162" t="s">
        <v>1734</v>
      </c>
      <c r="D162" t="s">
        <v>1735</v>
      </c>
    </row>
    <row r="163" spans="1:64" x14ac:dyDescent="0.2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5">
      <c r="A164" t="s">
        <v>1262</v>
      </c>
      <c r="B164" t="s">
        <v>1573</v>
      </c>
      <c r="C164" t="s">
        <v>1734</v>
      </c>
      <c r="D164" t="s">
        <v>1735</v>
      </c>
    </row>
    <row r="165" spans="1:64" x14ac:dyDescent="0.2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5">
      <c r="A169" t="s">
        <v>1579</v>
      </c>
      <c r="B169" t="s">
        <v>1580</v>
      </c>
      <c r="C169" t="s">
        <v>1734</v>
      </c>
      <c r="D169" t="s">
        <v>1735</v>
      </c>
    </row>
    <row r="170" spans="1:64" x14ac:dyDescent="0.2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5">
      <c r="A177" t="s">
        <v>1218</v>
      </c>
      <c r="B177" t="s">
        <v>1589</v>
      </c>
      <c r="C177" t="s">
        <v>1734</v>
      </c>
      <c r="D177" t="s">
        <v>1735</v>
      </c>
    </row>
    <row r="178" spans="1:64" x14ac:dyDescent="0.2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5">
      <c r="A182" t="s">
        <v>1253</v>
      </c>
      <c r="B182" t="s">
        <v>1594</v>
      </c>
      <c r="C182" t="s">
        <v>1734</v>
      </c>
      <c r="D182" t="s">
        <v>1735</v>
      </c>
    </row>
    <row r="183" spans="1:64" x14ac:dyDescent="0.2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5">
      <c r="A184" t="s">
        <v>1596</v>
      </c>
      <c r="B184" t="s">
        <v>1597</v>
      </c>
      <c r="C184" t="s">
        <v>1734</v>
      </c>
      <c r="D184" t="s">
        <v>1735</v>
      </c>
    </row>
    <row r="185" spans="1:64" x14ac:dyDescent="0.2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5">
      <c r="A186" t="s">
        <v>1599</v>
      </c>
      <c r="B186" t="s">
        <v>1600</v>
      </c>
      <c r="C186" t="s">
        <v>1734</v>
      </c>
      <c r="D186" t="s">
        <v>1735</v>
      </c>
    </row>
    <row r="187" spans="1:64" x14ac:dyDescent="0.2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5">
      <c r="A190" t="s">
        <v>1197</v>
      </c>
      <c r="B190" t="s">
        <v>1605</v>
      </c>
      <c r="C190" t="s">
        <v>1734</v>
      </c>
      <c r="D190" t="s">
        <v>1735</v>
      </c>
    </row>
    <row r="191" spans="1:64" x14ac:dyDescent="0.2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5">
      <c r="A193" t="s">
        <v>1608</v>
      </c>
      <c r="B193" t="s">
        <v>1609</v>
      </c>
      <c r="C193" t="s">
        <v>1734</v>
      </c>
      <c r="D193" t="s">
        <v>1735</v>
      </c>
    </row>
    <row r="194" spans="1:64" x14ac:dyDescent="0.2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5">
      <c r="A195" t="s">
        <v>1238</v>
      </c>
      <c r="B195" t="s">
        <v>1611</v>
      </c>
      <c r="C195" t="s">
        <v>1734</v>
      </c>
      <c r="D195" t="s">
        <v>1735</v>
      </c>
    </row>
    <row r="196" spans="1:64" x14ac:dyDescent="0.2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5">
      <c r="A197" t="s">
        <v>1184</v>
      </c>
      <c r="B197" t="s">
        <v>1614</v>
      </c>
      <c r="C197" t="s">
        <v>1734</v>
      </c>
      <c r="D197" t="s">
        <v>1735</v>
      </c>
    </row>
    <row r="198" spans="1:64" x14ac:dyDescent="0.25">
      <c r="A198" t="s">
        <v>1615</v>
      </c>
      <c r="B198" t="s">
        <v>1616</v>
      </c>
      <c r="C198" t="s">
        <v>1734</v>
      </c>
      <c r="D198" t="s">
        <v>1735</v>
      </c>
    </row>
    <row r="199" spans="1:64" x14ac:dyDescent="0.25">
      <c r="A199" t="s">
        <v>1265</v>
      </c>
      <c r="B199" t="s">
        <v>1617</v>
      </c>
      <c r="C199" t="s">
        <v>1734</v>
      </c>
      <c r="D199" t="s">
        <v>1735</v>
      </c>
    </row>
    <row r="200" spans="1:64" x14ac:dyDescent="0.2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5">
      <c r="A201" t="s">
        <v>1619</v>
      </c>
      <c r="B201" t="s">
        <v>1620</v>
      </c>
      <c r="C201" t="s">
        <v>1734</v>
      </c>
      <c r="D201" t="s">
        <v>1735</v>
      </c>
    </row>
    <row r="202" spans="1:64" x14ac:dyDescent="0.25">
      <c r="A202" t="s">
        <v>1621</v>
      </c>
      <c r="B202" t="s">
        <v>1622</v>
      </c>
      <c r="C202" t="s">
        <v>1734</v>
      </c>
      <c r="D202" t="s">
        <v>1735</v>
      </c>
    </row>
    <row r="203" spans="1:64" x14ac:dyDescent="0.25">
      <c r="A203" t="s">
        <v>1623</v>
      </c>
      <c r="B203" t="s">
        <v>1624</v>
      </c>
      <c r="C203" t="s">
        <v>1734</v>
      </c>
      <c r="D203" t="s">
        <v>1735</v>
      </c>
    </row>
    <row r="204" spans="1:64" x14ac:dyDescent="0.25">
      <c r="A204" t="s">
        <v>1227</v>
      </c>
      <c r="B204" t="s">
        <v>1625</v>
      </c>
      <c r="C204" t="s">
        <v>1734</v>
      </c>
      <c r="D204" t="s">
        <v>1735</v>
      </c>
    </row>
    <row r="205" spans="1:64" x14ac:dyDescent="0.25">
      <c r="A205" t="s">
        <v>1124</v>
      </c>
      <c r="B205" t="s">
        <v>1626</v>
      </c>
      <c r="C205" t="s">
        <v>1734</v>
      </c>
      <c r="D205" t="s">
        <v>1735</v>
      </c>
    </row>
    <row r="206" spans="1:64" x14ac:dyDescent="0.2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5">
      <c r="A207" t="s">
        <v>1241</v>
      </c>
      <c r="B207" t="s">
        <v>1628</v>
      </c>
      <c r="C207" t="s">
        <v>1734</v>
      </c>
      <c r="D207" t="s">
        <v>1735</v>
      </c>
    </row>
    <row r="208" spans="1:64" x14ac:dyDescent="0.2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5">
      <c r="A209" t="s">
        <v>1630</v>
      </c>
      <c r="B209" t="s">
        <v>1631</v>
      </c>
      <c r="C209" t="s">
        <v>1734</v>
      </c>
      <c r="D209" t="s">
        <v>1735</v>
      </c>
    </row>
    <row r="210" spans="1:64" x14ac:dyDescent="0.25">
      <c r="A210" t="s">
        <v>1125</v>
      </c>
      <c r="B210" t="s">
        <v>1632</v>
      </c>
      <c r="C210" t="s">
        <v>1734</v>
      </c>
      <c r="D210" t="s">
        <v>1735</v>
      </c>
    </row>
    <row r="211" spans="1:64" x14ac:dyDescent="0.2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5">
      <c r="A214" t="s">
        <v>1220</v>
      </c>
      <c r="B214" t="s">
        <v>1636</v>
      </c>
      <c r="C214" t="s">
        <v>1734</v>
      </c>
      <c r="D214" t="s">
        <v>1735</v>
      </c>
    </row>
    <row r="215" spans="1:64" x14ac:dyDescent="0.2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5">
      <c r="A217" t="s">
        <v>1639</v>
      </c>
      <c r="B217" t="s">
        <v>1640</v>
      </c>
      <c r="C217" t="s">
        <v>1734</v>
      </c>
      <c r="D217" t="s">
        <v>1735</v>
      </c>
    </row>
    <row r="218" spans="1:64" x14ac:dyDescent="0.2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5">
      <c r="A224" t="s">
        <v>1084</v>
      </c>
      <c r="B224" t="s">
        <v>1650</v>
      </c>
      <c r="C224" t="s">
        <v>1734</v>
      </c>
      <c r="D224" t="s">
        <v>1735</v>
      </c>
    </row>
    <row r="225" spans="1:64" x14ac:dyDescent="0.2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5">
      <c r="A226" t="s">
        <v>1652</v>
      </c>
      <c r="B226" t="s">
        <v>1653</v>
      </c>
      <c r="C226" t="s">
        <v>1734</v>
      </c>
      <c r="D226" t="s">
        <v>1735</v>
      </c>
    </row>
    <row r="227" spans="1:64" x14ac:dyDescent="0.25">
      <c r="A227" t="s">
        <v>1267</v>
      </c>
      <c r="B227" t="s">
        <v>1654</v>
      </c>
      <c r="C227" t="s">
        <v>1734</v>
      </c>
      <c r="D227" t="s">
        <v>1735</v>
      </c>
    </row>
    <row r="228" spans="1:64" x14ac:dyDescent="0.25">
      <c r="A228" t="s">
        <v>1254</v>
      </c>
      <c r="B228" t="s">
        <v>1655</v>
      </c>
      <c r="C228" t="s">
        <v>1734</v>
      </c>
      <c r="D228" t="s">
        <v>1735</v>
      </c>
    </row>
    <row r="229" spans="1:64" x14ac:dyDescent="0.2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5">
      <c r="A230" t="s">
        <v>1657</v>
      </c>
      <c r="B230" t="s">
        <v>1658</v>
      </c>
      <c r="C230" t="s">
        <v>1734</v>
      </c>
      <c r="D230" t="s">
        <v>1735</v>
      </c>
    </row>
    <row r="231" spans="1:64" x14ac:dyDescent="0.25">
      <c r="A231" t="s">
        <v>1074</v>
      </c>
      <c r="B231" t="s">
        <v>1659</v>
      </c>
      <c r="C231" t="s">
        <v>1734</v>
      </c>
      <c r="D231" t="s">
        <v>1735</v>
      </c>
    </row>
    <row r="232" spans="1:64" x14ac:dyDescent="0.2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5">
      <c r="A233" t="s">
        <v>1661</v>
      </c>
      <c r="B233" t="s">
        <v>1662</v>
      </c>
      <c r="C233" t="s">
        <v>1734</v>
      </c>
      <c r="D233" t="s">
        <v>1735</v>
      </c>
    </row>
    <row r="234" spans="1:64" x14ac:dyDescent="0.2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5">
      <c r="A235" t="s">
        <v>1664</v>
      </c>
      <c r="B235" t="s">
        <v>1665</v>
      </c>
      <c r="C235" t="s">
        <v>1734</v>
      </c>
      <c r="D235" t="s">
        <v>1735</v>
      </c>
    </row>
    <row r="236" spans="1:64" x14ac:dyDescent="0.25">
      <c r="A236" t="s">
        <v>1666</v>
      </c>
      <c r="B236" t="s">
        <v>1667</v>
      </c>
      <c r="C236" t="s">
        <v>1734</v>
      </c>
      <c r="D236" t="s">
        <v>1735</v>
      </c>
    </row>
    <row r="237" spans="1:64" x14ac:dyDescent="0.2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5">
      <c r="A240" t="s">
        <v>1136</v>
      </c>
      <c r="B240" t="s">
        <v>1671</v>
      </c>
      <c r="C240" t="s">
        <v>1734</v>
      </c>
      <c r="D240" t="s">
        <v>1735</v>
      </c>
    </row>
    <row r="241" spans="1:64" x14ac:dyDescent="0.2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5">
      <c r="A244" t="s">
        <v>1229</v>
      </c>
      <c r="B244" t="s">
        <v>1677</v>
      </c>
      <c r="C244" t="s">
        <v>1734</v>
      </c>
      <c r="D244" t="s">
        <v>1735</v>
      </c>
    </row>
    <row r="245" spans="1:64" x14ac:dyDescent="0.25">
      <c r="A245" t="s">
        <v>1678</v>
      </c>
      <c r="B245" t="s">
        <v>1679</v>
      </c>
      <c r="C245" t="s">
        <v>1734</v>
      </c>
      <c r="D245" t="s">
        <v>1735</v>
      </c>
    </row>
    <row r="246" spans="1:64" x14ac:dyDescent="0.2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5">
      <c r="A249" t="s">
        <v>1128</v>
      </c>
      <c r="B249" t="s">
        <v>1684</v>
      </c>
      <c r="C249" t="s">
        <v>1734</v>
      </c>
      <c r="D249" t="s">
        <v>1735</v>
      </c>
    </row>
    <row r="250" spans="1:64" x14ac:dyDescent="0.25">
      <c r="A250" t="s">
        <v>1685</v>
      </c>
      <c r="B250" t="s">
        <v>1686</v>
      </c>
      <c r="C250" t="s">
        <v>1734</v>
      </c>
      <c r="D250" t="s">
        <v>1735</v>
      </c>
    </row>
    <row r="251" spans="1:64" x14ac:dyDescent="0.2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5">
      <c r="A254" t="s">
        <v>1691</v>
      </c>
      <c r="B254" t="s">
        <v>1692</v>
      </c>
      <c r="C254" t="s">
        <v>1734</v>
      </c>
      <c r="D254" t="s">
        <v>1735</v>
      </c>
    </row>
    <row r="255" spans="1:64" x14ac:dyDescent="0.25">
      <c r="A255" t="s">
        <v>1210</v>
      </c>
      <c r="B255" t="s">
        <v>1693</v>
      </c>
      <c r="C255" t="s">
        <v>1734</v>
      </c>
      <c r="D255" t="s">
        <v>1735</v>
      </c>
    </row>
    <row r="256" spans="1:64" x14ac:dyDescent="0.2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5">
      <c r="A258" t="s">
        <v>1697</v>
      </c>
      <c r="B258" t="s">
        <v>1698</v>
      </c>
      <c r="C258" t="s">
        <v>1734</v>
      </c>
      <c r="D258" t="s">
        <v>1735</v>
      </c>
    </row>
    <row r="259" spans="1:65" x14ac:dyDescent="0.2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5">
      <c r="A260" t="s">
        <v>1701</v>
      </c>
      <c r="B260" t="s">
        <v>1702</v>
      </c>
      <c r="C260" t="s">
        <v>1734</v>
      </c>
      <c r="D260" t="s">
        <v>1735</v>
      </c>
    </row>
    <row r="261" spans="1:65" x14ac:dyDescent="0.25">
      <c r="A261" t="s">
        <v>1703</v>
      </c>
      <c r="B261" t="s">
        <v>1704</v>
      </c>
      <c r="C261" t="s">
        <v>1734</v>
      </c>
      <c r="D261" t="s">
        <v>1735</v>
      </c>
    </row>
    <row r="262" spans="1:65" x14ac:dyDescent="0.2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5">
      <c r="A263" t="s">
        <v>1221</v>
      </c>
      <c r="B263" t="s">
        <v>1707</v>
      </c>
      <c r="C263" t="s">
        <v>1734</v>
      </c>
      <c r="D263" t="s">
        <v>1735</v>
      </c>
    </row>
    <row r="264" spans="1:65" x14ac:dyDescent="0.2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5">
      <c r="A265" t="s">
        <v>1228</v>
      </c>
      <c r="B265" t="s">
        <v>1709</v>
      </c>
      <c r="C265" t="s">
        <v>1734</v>
      </c>
      <c r="D265" t="s">
        <v>1735</v>
      </c>
    </row>
    <row r="266" spans="1:65" x14ac:dyDescent="0.25">
      <c r="A266" t="s">
        <v>1710</v>
      </c>
      <c r="B266" t="s">
        <v>1711</v>
      </c>
      <c r="C266" t="s">
        <v>1734</v>
      </c>
      <c r="D266" t="s">
        <v>1735</v>
      </c>
    </row>
    <row r="267" spans="1:65" x14ac:dyDescent="0.2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25"/>
    <row r="272" spans="1:65" s="1" customFormat="1" x14ac:dyDescent="0.2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25">
      <c r="BM273" s="51" t="s">
        <v>1736</v>
      </c>
    </row>
    <row r="274" spans="8:65" s="1" customFormat="1" x14ac:dyDescent="0.25">
      <c r="I274" s="1" t="s">
        <v>1719</v>
      </c>
    </row>
    <row r="275" spans="8:65" s="1" customFormat="1" x14ac:dyDescent="0.25">
      <c r="H275">
        <v>2020</v>
      </c>
      <c r="I275" s="156">
        <f>BL77*$BM$272</f>
        <v>0.86196653346653362</v>
      </c>
    </row>
    <row r="276" spans="8:65" s="1" customFormat="1" x14ac:dyDescent="0.25">
      <c r="H276">
        <v>2021</v>
      </c>
      <c r="I276" s="156">
        <f>I275*$BM$272</f>
        <v>0.82554033868479204</v>
      </c>
    </row>
    <row r="277" spans="8:65" s="1" customFormat="1" x14ac:dyDescent="0.25">
      <c r="H277">
        <v>2022</v>
      </c>
      <c r="I277" s="156">
        <f t="shared" ref="I277:I295" si="1">I276*$BM$272</f>
        <v>0.79065349330324253</v>
      </c>
    </row>
    <row r="278" spans="8:65" s="1" customFormat="1" x14ac:dyDescent="0.25">
      <c r="H278">
        <v>2023</v>
      </c>
      <c r="I278" s="156">
        <f t="shared" si="1"/>
        <v>0.75724094532866792</v>
      </c>
    </row>
    <row r="279" spans="8:65" s="1" customFormat="1" x14ac:dyDescent="0.25">
      <c r="H279">
        <v>2024</v>
      </c>
      <c r="I279" s="156">
        <f t="shared" si="1"/>
        <v>0.72524039182652533</v>
      </c>
    </row>
    <row r="280" spans="8:65" s="1" customFormat="1" x14ac:dyDescent="0.25">
      <c r="H280">
        <v>2025</v>
      </c>
      <c r="I280" s="156">
        <f t="shared" si="1"/>
        <v>0.69459216274735625</v>
      </c>
    </row>
    <row r="281" spans="8:65" s="1" customFormat="1" x14ac:dyDescent="0.25">
      <c r="H281">
        <v>2026</v>
      </c>
      <c r="I281" s="156">
        <f t="shared" si="1"/>
        <v>0.66523910966262334</v>
      </c>
    </row>
    <row r="282" spans="8:65" s="1" customFormat="1" x14ac:dyDescent="0.25">
      <c r="H282">
        <v>2027</v>
      </c>
      <c r="I282" s="156">
        <f t="shared" si="1"/>
        <v>0.63712649920250519</v>
      </c>
    </row>
    <row r="283" spans="8:65" s="1" customFormat="1" x14ac:dyDescent="0.25">
      <c r="H283">
        <v>2028</v>
      </c>
      <c r="I283" s="156">
        <f t="shared" si="1"/>
        <v>0.61020191099694621</v>
      </c>
    </row>
    <row r="284" spans="8:65" s="1" customFormat="1" x14ac:dyDescent="0.25">
      <c r="H284">
        <v>2029</v>
      </c>
      <c r="I284" s="156">
        <f t="shared" si="1"/>
        <v>0.58441513992965777</v>
      </c>
    </row>
    <row r="285" spans="8:65" s="1" customFormat="1" x14ac:dyDescent="0.25">
      <c r="H285">
        <v>2030</v>
      </c>
      <c r="I285" s="156">
        <f t="shared" si="1"/>
        <v>0.55971810252280696</v>
      </c>
    </row>
    <row r="286" spans="8:65" s="1" customFormat="1" x14ac:dyDescent="0.25">
      <c r="H286">
        <v>2031</v>
      </c>
      <c r="I286" s="156">
        <f t="shared" si="1"/>
        <v>0.53606474727783304</v>
      </c>
    </row>
    <row r="287" spans="8:65" s="1" customFormat="1" x14ac:dyDescent="0.25">
      <c r="H287">
        <v>2032</v>
      </c>
      <c r="I287" s="156">
        <f t="shared" si="1"/>
        <v>0.51341096880520798</v>
      </c>
    </row>
    <row r="288" spans="8:65" s="1" customFormat="1" x14ac:dyDescent="0.25">
      <c r="H288">
        <v>2033</v>
      </c>
      <c r="I288" s="156">
        <f t="shared" si="1"/>
        <v>0.49171452558302192</v>
      </c>
    </row>
    <row r="289" spans="3:9" s="1" customFormat="1" x14ac:dyDescent="0.25">
      <c r="C289" s="49"/>
      <c r="D289" s="49"/>
      <c r="E289" s="49"/>
      <c r="H289">
        <v>2034</v>
      </c>
      <c r="I289" s="156">
        <f t="shared" si="1"/>
        <v>0.47093496119104283</v>
      </c>
    </row>
    <row r="290" spans="3:9" s="1" customFormat="1" x14ac:dyDescent="0.25">
      <c r="C290" s="49"/>
      <c r="D290" s="49"/>
      <c r="E290" s="49"/>
      <c r="H290">
        <v>2035</v>
      </c>
      <c r="I290" s="156">
        <f t="shared" si="1"/>
        <v>0.45103352887337744</v>
      </c>
    </row>
    <row r="291" spans="3:9" s="1" customFormat="1" x14ac:dyDescent="0.25">
      <c r="C291" s="49"/>
      <c r="D291" s="49"/>
      <c r="E291" s="49"/>
      <c r="H291">
        <v>2036</v>
      </c>
      <c r="I291" s="156">
        <f t="shared" si="1"/>
        <v>0.43197311928906984</v>
      </c>
    </row>
    <row r="292" spans="3:9" s="1" customFormat="1" x14ac:dyDescent="0.25">
      <c r="H292">
        <v>2037</v>
      </c>
      <c r="I292" s="156">
        <f t="shared" si="1"/>
        <v>0.41371819131591658</v>
      </c>
    </row>
    <row r="293" spans="3:9" s="1" customFormat="1" x14ac:dyDescent="0.25">
      <c r="H293">
        <v>2038</v>
      </c>
      <c r="I293" s="156">
        <f t="shared" si="1"/>
        <v>0.39623470577847197</v>
      </c>
    </row>
    <row r="294" spans="3:9" s="1" customFormat="1" x14ac:dyDescent="0.25">
      <c r="H294">
        <v>2039</v>
      </c>
      <c r="I294" s="156">
        <f t="shared" si="1"/>
        <v>0.37949006197666818</v>
      </c>
    </row>
    <row r="295" spans="3:9" s="1" customFormat="1" x14ac:dyDescent="0.25">
      <c r="H295">
        <v>2040</v>
      </c>
      <c r="I295" s="156">
        <f t="shared" si="1"/>
        <v>0.3634530368966985</v>
      </c>
    </row>
    <row r="296" spans="3:9" s="1" customFormat="1" x14ac:dyDescent="0.2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5" x14ac:dyDescent="0.25"/>
  <cols>
    <col min="1" max="1" width="44.140625" bestFit="1" customWidth="1"/>
    <col min="2" max="2" width="25.5703125" bestFit="1" customWidth="1"/>
    <col min="3" max="3" width="60.42578125" bestFit="1" customWidth="1"/>
    <col min="4" max="4" width="13.42578125" bestFit="1" customWidth="1"/>
    <col min="5" max="8" width="5" bestFit="1" customWidth="1"/>
    <col min="9" max="9" width="25.85546875" bestFit="1" customWidth="1"/>
    <col min="10" max="12" width="5" bestFit="1" customWidth="1"/>
    <col min="13" max="13" width="16.5703125" customWidth="1"/>
    <col min="14" max="34" width="5" bestFit="1" customWidth="1"/>
    <col min="35" max="55" width="11.42578125" bestFit="1" customWidth="1"/>
    <col min="56" max="56" width="11.42578125" customWidth="1"/>
    <col min="57" max="64" width="11.4257812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1737</v>
      </c>
      <c r="D5" t="s">
        <v>1738</v>
      </c>
    </row>
    <row r="6" spans="1:65" x14ac:dyDescent="0.2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5">
      <c r="A11" t="s">
        <v>1361</v>
      </c>
      <c r="B11" t="s">
        <v>1362</v>
      </c>
      <c r="C11" t="s">
        <v>1737</v>
      </c>
      <c r="D11" t="s">
        <v>1738</v>
      </c>
    </row>
    <row r="12" spans="1:65" x14ac:dyDescent="0.2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5">
      <c r="A13" t="s">
        <v>1129</v>
      </c>
      <c r="B13" t="s">
        <v>1365</v>
      </c>
      <c r="C13" t="s">
        <v>1737</v>
      </c>
      <c r="D13" t="s">
        <v>1738</v>
      </c>
    </row>
    <row r="14" spans="1:65" x14ac:dyDescent="0.2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5">
      <c r="A16" t="s">
        <v>1368</v>
      </c>
      <c r="B16" t="s">
        <v>1369</v>
      </c>
      <c r="C16" t="s">
        <v>1737</v>
      </c>
      <c r="D16" t="s">
        <v>1738</v>
      </c>
    </row>
    <row r="17" spans="1:64" x14ac:dyDescent="0.25">
      <c r="A17" t="s">
        <v>1172</v>
      </c>
      <c r="B17" t="s">
        <v>1370</v>
      </c>
      <c r="C17" t="s">
        <v>1737</v>
      </c>
      <c r="D17" t="s">
        <v>1738</v>
      </c>
    </row>
    <row r="18" spans="1:64" x14ac:dyDescent="0.2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5">
      <c r="A19" t="s">
        <v>1270</v>
      </c>
      <c r="B19" t="s">
        <v>1372</v>
      </c>
      <c r="C19" t="s">
        <v>1737</v>
      </c>
      <c r="D19" t="s">
        <v>1738</v>
      </c>
    </row>
    <row r="20" spans="1:64" x14ac:dyDescent="0.2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5">
      <c r="A22" t="s">
        <v>1271</v>
      </c>
      <c r="B22" t="s">
        <v>1375</v>
      </c>
      <c r="C22" t="s">
        <v>1737</v>
      </c>
      <c r="D22" t="s">
        <v>1738</v>
      </c>
    </row>
    <row r="23" spans="1:64" x14ac:dyDescent="0.2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5">
      <c r="A25" t="s">
        <v>1140</v>
      </c>
      <c r="B25" t="s">
        <v>1378</v>
      </c>
      <c r="C25" t="s">
        <v>1737</v>
      </c>
      <c r="D25" t="s">
        <v>1738</v>
      </c>
    </row>
    <row r="26" spans="1:64" x14ac:dyDescent="0.2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5">
      <c r="A27" t="s">
        <v>1115</v>
      </c>
      <c r="B27" t="s">
        <v>1380</v>
      </c>
      <c r="C27" t="s">
        <v>1737</v>
      </c>
      <c r="D27" t="s">
        <v>1738</v>
      </c>
    </row>
    <row r="28" spans="1:64" x14ac:dyDescent="0.25">
      <c r="A28" t="s">
        <v>1381</v>
      </c>
      <c r="B28" t="s">
        <v>1382</v>
      </c>
      <c r="C28" t="s">
        <v>1737</v>
      </c>
      <c r="D28" t="s">
        <v>1738</v>
      </c>
    </row>
    <row r="29" spans="1:64" x14ac:dyDescent="0.25">
      <c r="A29" t="s">
        <v>1258</v>
      </c>
      <c r="B29" t="s">
        <v>1383</v>
      </c>
      <c r="C29" t="s">
        <v>1737</v>
      </c>
      <c r="D29" t="s">
        <v>1738</v>
      </c>
    </row>
    <row r="30" spans="1:64" x14ac:dyDescent="0.2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5">
      <c r="A31" t="s">
        <v>1190</v>
      </c>
      <c r="B31" t="s">
        <v>1385</v>
      </c>
      <c r="C31" t="s">
        <v>1737</v>
      </c>
      <c r="D31" t="s">
        <v>1738</v>
      </c>
    </row>
    <row r="32" spans="1:64" x14ac:dyDescent="0.25">
      <c r="A32" t="s">
        <v>1386</v>
      </c>
      <c r="B32" t="s">
        <v>1387</v>
      </c>
      <c r="C32" t="s">
        <v>1737</v>
      </c>
      <c r="D32" t="s">
        <v>1738</v>
      </c>
    </row>
    <row r="33" spans="1:64" x14ac:dyDescent="0.2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5">
      <c r="A34" t="s">
        <v>1201</v>
      </c>
      <c r="B34" t="s">
        <v>1390</v>
      </c>
      <c r="C34" t="s">
        <v>1737</v>
      </c>
      <c r="D34" t="s">
        <v>1738</v>
      </c>
    </row>
    <row r="35" spans="1:64" x14ac:dyDescent="0.2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5">
      <c r="A36" t="s">
        <v>1159</v>
      </c>
      <c r="B36" t="s">
        <v>1392</v>
      </c>
      <c r="C36" t="s">
        <v>1737</v>
      </c>
      <c r="D36" t="s">
        <v>1738</v>
      </c>
    </row>
    <row r="37" spans="1:64" x14ac:dyDescent="0.25">
      <c r="A37" t="s">
        <v>1141</v>
      </c>
      <c r="B37" t="s">
        <v>1393</v>
      </c>
      <c r="C37" t="s">
        <v>1737</v>
      </c>
      <c r="D37" t="s">
        <v>1738</v>
      </c>
    </row>
    <row r="38" spans="1:64" x14ac:dyDescent="0.2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5">
      <c r="A40" t="s">
        <v>1278</v>
      </c>
      <c r="B40" t="s">
        <v>1396</v>
      </c>
      <c r="C40" t="s">
        <v>1737</v>
      </c>
      <c r="D40" t="s">
        <v>1738</v>
      </c>
    </row>
    <row r="41" spans="1:64" x14ac:dyDescent="0.25">
      <c r="A41" t="s">
        <v>1397</v>
      </c>
      <c r="B41" t="s">
        <v>1398</v>
      </c>
      <c r="C41" t="s">
        <v>1737</v>
      </c>
      <c r="D41" t="s">
        <v>1738</v>
      </c>
    </row>
    <row r="42" spans="1:64" x14ac:dyDescent="0.2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5">
      <c r="A43" t="s">
        <v>1245</v>
      </c>
      <c r="B43" t="s">
        <v>1400</v>
      </c>
      <c r="C43" t="s">
        <v>1737</v>
      </c>
      <c r="D43" t="s">
        <v>1738</v>
      </c>
    </row>
    <row r="44" spans="1:64" x14ac:dyDescent="0.2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5">
      <c r="A45" t="s">
        <v>1150</v>
      </c>
      <c r="B45" t="s">
        <v>1402</v>
      </c>
      <c r="C45" t="s">
        <v>1737</v>
      </c>
      <c r="D45" t="s">
        <v>1738</v>
      </c>
    </row>
    <row r="46" spans="1:64" x14ac:dyDescent="0.2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5">
      <c r="A56" t="s">
        <v>1417</v>
      </c>
      <c r="B56" t="s">
        <v>1418</v>
      </c>
      <c r="C56" t="s">
        <v>1737</v>
      </c>
      <c r="D56" t="s">
        <v>1738</v>
      </c>
    </row>
    <row r="57" spans="1:64" x14ac:dyDescent="0.25">
      <c r="A57" t="s">
        <v>1419</v>
      </c>
      <c r="B57" t="s">
        <v>1420</v>
      </c>
      <c r="C57" t="s">
        <v>1737</v>
      </c>
      <c r="D57" t="s">
        <v>1738</v>
      </c>
    </row>
    <row r="58" spans="1:64" x14ac:dyDescent="0.25">
      <c r="A58" t="s">
        <v>1116</v>
      </c>
      <c r="B58" t="s">
        <v>1421</v>
      </c>
      <c r="C58" t="s">
        <v>1737</v>
      </c>
      <c r="D58" t="s">
        <v>1738</v>
      </c>
    </row>
    <row r="59" spans="1:64" x14ac:dyDescent="0.25">
      <c r="A59" t="s">
        <v>1422</v>
      </c>
      <c r="B59" t="s">
        <v>1423</v>
      </c>
      <c r="C59" t="s">
        <v>1737</v>
      </c>
      <c r="D59" t="s">
        <v>1738</v>
      </c>
    </row>
    <row r="60" spans="1:64" x14ac:dyDescent="0.25">
      <c r="A60" t="s">
        <v>1273</v>
      </c>
      <c r="B60" t="s">
        <v>1424</v>
      </c>
      <c r="C60" t="s">
        <v>1737</v>
      </c>
      <c r="D60" t="s">
        <v>1738</v>
      </c>
    </row>
    <row r="61" spans="1:64" x14ac:dyDescent="0.2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5">
      <c r="A62" t="s">
        <v>1426</v>
      </c>
      <c r="B62" t="s">
        <v>1427</v>
      </c>
      <c r="C62" t="s">
        <v>1737</v>
      </c>
      <c r="D62" t="s">
        <v>1738</v>
      </c>
    </row>
    <row r="63" spans="1:64" x14ac:dyDescent="0.25">
      <c r="A63" t="s">
        <v>1246</v>
      </c>
      <c r="B63" t="s">
        <v>1428</v>
      </c>
      <c r="C63" t="s">
        <v>1737</v>
      </c>
      <c r="D63" t="s">
        <v>1738</v>
      </c>
    </row>
    <row r="64" spans="1:64" x14ac:dyDescent="0.2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5">
      <c r="A66" t="s">
        <v>1431</v>
      </c>
      <c r="B66" t="s">
        <v>1432</v>
      </c>
      <c r="C66" t="s">
        <v>1737</v>
      </c>
      <c r="D66" t="s">
        <v>1738</v>
      </c>
    </row>
    <row r="67" spans="1:64" x14ac:dyDescent="0.25">
      <c r="A67" t="s">
        <v>1433</v>
      </c>
      <c r="B67" t="s">
        <v>1434</v>
      </c>
      <c r="C67" t="s">
        <v>1737</v>
      </c>
      <c r="D67" t="s">
        <v>1738</v>
      </c>
    </row>
    <row r="68" spans="1:64" x14ac:dyDescent="0.25">
      <c r="A68" t="s">
        <v>1435</v>
      </c>
      <c r="B68" t="s">
        <v>1436</v>
      </c>
      <c r="C68" t="s">
        <v>1737</v>
      </c>
      <c r="D68" t="s">
        <v>1738</v>
      </c>
    </row>
    <row r="69" spans="1:64" x14ac:dyDescent="0.25">
      <c r="A69" t="s">
        <v>1437</v>
      </c>
      <c r="B69" t="s">
        <v>1438</v>
      </c>
      <c r="C69" t="s">
        <v>1737</v>
      </c>
      <c r="D69" t="s">
        <v>1738</v>
      </c>
    </row>
    <row r="70" spans="1:64" x14ac:dyDescent="0.25">
      <c r="A70" t="s">
        <v>1439</v>
      </c>
      <c r="B70" t="s">
        <v>1440</v>
      </c>
      <c r="C70" t="s">
        <v>1737</v>
      </c>
      <c r="D70" t="s">
        <v>1738</v>
      </c>
    </row>
    <row r="71" spans="1:64" x14ac:dyDescent="0.2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5">
      <c r="A73" t="s">
        <v>1444</v>
      </c>
      <c r="B73" t="s">
        <v>1445</v>
      </c>
      <c r="C73" t="s">
        <v>1737</v>
      </c>
      <c r="D73" t="s">
        <v>1738</v>
      </c>
    </row>
    <row r="74" spans="1:64" x14ac:dyDescent="0.2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5">
      <c r="A76" t="s">
        <v>1247</v>
      </c>
      <c r="B76" t="s">
        <v>1448</v>
      </c>
      <c r="C76" t="s">
        <v>1737</v>
      </c>
      <c r="D76" t="s">
        <v>1738</v>
      </c>
    </row>
    <row r="77" spans="1:64" x14ac:dyDescent="0.2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5">
      <c r="A78" t="s">
        <v>1449</v>
      </c>
      <c r="B78" t="s">
        <v>1450</v>
      </c>
      <c r="C78" t="s">
        <v>1737</v>
      </c>
      <c r="D78" t="s">
        <v>1738</v>
      </c>
    </row>
    <row r="79" spans="1:64" x14ac:dyDescent="0.2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5">
      <c r="A80" t="s">
        <v>1248</v>
      </c>
      <c r="B80" t="s">
        <v>1453</v>
      </c>
      <c r="C80" t="s">
        <v>1737</v>
      </c>
      <c r="D80" t="s">
        <v>1738</v>
      </c>
    </row>
    <row r="81" spans="1:64" x14ac:dyDescent="0.2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5">
      <c r="A83" t="s">
        <v>1456</v>
      </c>
      <c r="B83" t="s">
        <v>1457</v>
      </c>
      <c r="C83" t="s">
        <v>1737</v>
      </c>
      <c r="D83" t="s">
        <v>1738</v>
      </c>
    </row>
    <row r="84" spans="1:64" x14ac:dyDescent="0.25">
      <c r="A84" t="s">
        <v>1458</v>
      </c>
      <c r="B84" t="s">
        <v>1459</v>
      </c>
      <c r="C84" t="s">
        <v>1737</v>
      </c>
      <c r="D84" t="s">
        <v>1738</v>
      </c>
    </row>
    <row r="85" spans="1:64" x14ac:dyDescent="0.2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5">
      <c r="A86" t="s">
        <v>1255</v>
      </c>
      <c r="B86" t="s">
        <v>1461</v>
      </c>
      <c r="C86" t="s">
        <v>1737</v>
      </c>
      <c r="D86" t="s">
        <v>1738</v>
      </c>
    </row>
    <row r="87" spans="1:64" x14ac:dyDescent="0.25">
      <c r="A87" t="s">
        <v>1117</v>
      </c>
      <c r="B87" t="s">
        <v>1462</v>
      </c>
      <c r="C87" t="s">
        <v>1737</v>
      </c>
      <c r="D87" t="s">
        <v>1738</v>
      </c>
    </row>
    <row r="88" spans="1:64" x14ac:dyDescent="0.2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5">
      <c r="A89" t="s">
        <v>1464</v>
      </c>
      <c r="B89" t="s">
        <v>1465</v>
      </c>
      <c r="C89" t="s">
        <v>1737</v>
      </c>
      <c r="D89" t="s">
        <v>1738</v>
      </c>
    </row>
    <row r="90" spans="1:64" x14ac:dyDescent="0.2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5">
      <c r="A94" t="s">
        <v>1260</v>
      </c>
      <c r="B94" t="s">
        <v>1471</v>
      </c>
      <c r="C94" t="s">
        <v>1737</v>
      </c>
      <c r="D94" t="s">
        <v>1738</v>
      </c>
    </row>
    <row r="95" spans="1:64" x14ac:dyDescent="0.25">
      <c r="A95" t="s">
        <v>1179</v>
      </c>
      <c r="B95" t="s">
        <v>1472</v>
      </c>
      <c r="C95" t="s">
        <v>1737</v>
      </c>
      <c r="D95" t="s">
        <v>1738</v>
      </c>
    </row>
    <row r="96" spans="1:64" x14ac:dyDescent="0.25">
      <c r="A96" t="s">
        <v>1473</v>
      </c>
      <c r="B96" t="s">
        <v>1474</v>
      </c>
      <c r="C96" t="s">
        <v>1737</v>
      </c>
      <c r="D96" t="s">
        <v>1738</v>
      </c>
    </row>
    <row r="97" spans="1:64" x14ac:dyDescent="0.2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5">
      <c r="A98" t="s">
        <v>1223</v>
      </c>
      <c r="B98" t="s">
        <v>1476</v>
      </c>
      <c r="C98" t="s">
        <v>1737</v>
      </c>
      <c r="D98" t="s">
        <v>1738</v>
      </c>
    </row>
    <row r="99" spans="1:64" x14ac:dyDescent="0.2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5">
      <c r="A100" t="s">
        <v>1478</v>
      </c>
      <c r="B100" t="s">
        <v>1479</v>
      </c>
      <c r="C100" t="s">
        <v>1737</v>
      </c>
      <c r="D100" t="s">
        <v>1738</v>
      </c>
    </row>
    <row r="101" spans="1:64" x14ac:dyDescent="0.25">
      <c r="A101" t="s">
        <v>1480</v>
      </c>
      <c r="B101" t="s">
        <v>1481</v>
      </c>
      <c r="C101" t="s">
        <v>1737</v>
      </c>
      <c r="D101" t="s">
        <v>1738</v>
      </c>
    </row>
    <row r="102" spans="1:64" x14ac:dyDescent="0.2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5">
      <c r="A106" t="s">
        <v>1237</v>
      </c>
      <c r="B106" t="s">
        <v>1487</v>
      </c>
      <c r="C106" t="s">
        <v>1737</v>
      </c>
      <c r="D106" t="s">
        <v>1738</v>
      </c>
    </row>
    <row r="107" spans="1:64" x14ac:dyDescent="0.25">
      <c r="A107" t="s">
        <v>1488</v>
      </c>
      <c r="B107" t="s">
        <v>1489</v>
      </c>
      <c r="C107" t="s">
        <v>1737</v>
      </c>
      <c r="D107" t="s">
        <v>1738</v>
      </c>
    </row>
    <row r="108" spans="1:64" x14ac:dyDescent="0.25">
      <c r="A108" t="s">
        <v>1490</v>
      </c>
      <c r="B108" t="s">
        <v>1491</v>
      </c>
      <c r="C108" t="s">
        <v>1737</v>
      </c>
      <c r="D108" t="s">
        <v>1738</v>
      </c>
    </row>
    <row r="109" spans="1:64" x14ac:dyDescent="0.2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5">
      <c r="A111" t="s">
        <v>1161</v>
      </c>
      <c r="B111" t="s">
        <v>1496</v>
      </c>
      <c r="C111" t="s">
        <v>1737</v>
      </c>
      <c r="D111" t="s">
        <v>1738</v>
      </c>
    </row>
    <row r="112" spans="1:64" x14ac:dyDescent="0.2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5">
      <c r="A113" t="s">
        <v>1499</v>
      </c>
      <c r="B113" t="s">
        <v>1500</v>
      </c>
      <c r="C113" t="s">
        <v>1737</v>
      </c>
      <c r="D113" t="s">
        <v>1738</v>
      </c>
    </row>
    <row r="114" spans="1:64" x14ac:dyDescent="0.25">
      <c r="A114" t="s">
        <v>1142</v>
      </c>
      <c r="B114" t="s">
        <v>1501</v>
      </c>
      <c r="C114" t="s">
        <v>1737</v>
      </c>
      <c r="D114" t="s">
        <v>1738</v>
      </c>
    </row>
    <row r="115" spans="1:64" x14ac:dyDescent="0.25">
      <c r="A115" t="s">
        <v>1502</v>
      </c>
      <c r="B115" t="s">
        <v>1503</v>
      </c>
      <c r="C115" t="s">
        <v>1737</v>
      </c>
      <c r="D115" t="s">
        <v>1738</v>
      </c>
    </row>
    <row r="116" spans="1:64" x14ac:dyDescent="0.25">
      <c r="A116" t="s">
        <v>1250</v>
      </c>
      <c r="B116" t="s">
        <v>1504</v>
      </c>
      <c r="C116" t="s">
        <v>1737</v>
      </c>
      <c r="D116" t="s">
        <v>1738</v>
      </c>
    </row>
    <row r="117" spans="1:64" x14ac:dyDescent="0.2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5">
      <c r="A118" t="s">
        <v>1118</v>
      </c>
      <c r="B118" t="s">
        <v>1507</v>
      </c>
      <c r="C118" t="s">
        <v>1737</v>
      </c>
      <c r="D118" t="s">
        <v>1738</v>
      </c>
    </row>
    <row r="119" spans="1:64" x14ac:dyDescent="0.25">
      <c r="A119" t="s">
        <v>1249</v>
      </c>
      <c r="B119" t="s">
        <v>1508</v>
      </c>
      <c r="C119" t="s">
        <v>1737</v>
      </c>
      <c r="D119" t="s">
        <v>1738</v>
      </c>
    </row>
    <row r="120" spans="1:64" x14ac:dyDescent="0.25">
      <c r="A120" t="s">
        <v>1119</v>
      </c>
      <c r="B120" t="s">
        <v>1509</v>
      </c>
      <c r="C120" t="s">
        <v>1737</v>
      </c>
      <c r="D120" t="s">
        <v>1738</v>
      </c>
    </row>
    <row r="121" spans="1:64" x14ac:dyDescent="0.2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5">
      <c r="A123" t="s">
        <v>1120</v>
      </c>
      <c r="B123" t="s">
        <v>1512</v>
      </c>
      <c r="C123" t="s">
        <v>1737</v>
      </c>
      <c r="D123" t="s">
        <v>1738</v>
      </c>
    </row>
    <row r="124" spans="1:64" x14ac:dyDescent="0.25">
      <c r="A124" t="s">
        <v>1155</v>
      </c>
      <c r="B124" t="s">
        <v>1513</v>
      </c>
      <c r="C124" t="s">
        <v>1737</v>
      </c>
      <c r="D124" t="s">
        <v>1738</v>
      </c>
    </row>
    <row r="125" spans="1:64" x14ac:dyDescent="0.2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5">
      <c r="A129" t="s">
        <v>1224</v>
      </c>
      <c r="B129" t="s">
        <v>1519</v>
      </c>
      <c r="C129" t="s">
        <v>1737</v>
      </c>
      <c r="D129" t="s">
        <v>1738</v>
      </c>
    </row>
    <row r="130" spans="1:64" x14ac:dyDescent="0.25">
      <c r="A130" t="s">
        <v>1520</v>
      </c>
      <c r="B130" t="s">
        <v>1521</v>
      </c>
      <c r="C130" t="s">
        <v>1737</v>
      </c>
      <c r="D130" t="s">
        <v>1738</v>
      </c>
    </row>
    <row r="131" spans="1:64" x14ac:dyDescent="0.25">
      <c r="A131" t="s">
        <v>1522</v>
      </c>
      <c r="B131" t="s">
        <v>1523</v>
      </c>
      <c r="C131" t="s">
        <v>1737</v>
      </c>
      <c r="D131" t="s">
        <v>1738</v>
      </c>
    </row>
    <row r="132" spans="1:64" x14ac:dyDescent="0.25">
      <c r="A132" t="s">
        <v>1121</v>
      </c>
      <c r="B132" t="s">
        <v>1524</v>
      </c>
      <c r="C132" t="s">
        <v>1737</v>
      </c>
      <c r="D132" t="s">
        <v>1738</v>
      </c>
    </row>
    <row r="133" spans="1:64" x14ac:dyDescent="0.25">
      <c r="A133" t="s">
        <v>1525</v>
      </c>
      <c r="B133" t="s">
        <v>1526</v>
      </c>
      <c r="C133" t="s">
        <v>1737</v>
      </c>
      <c r="D133" t="s">
        <v>1738</v>
      </c>
    </row>
    <row r="134" spans="1:64" x14ac:dyDescent="0.2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5">
      <c r="A138" t="s">
        <v>1532</v>
      </c>
      <c r="B138" t="s">
        <v>1533</v>
      </c>
      <c r="C138" t="s">
        <v>1737</v>
      </c>
      <c r="D138" t="s">
        <v>1738</v>
      </c>
    </row>
    <row r="139" spans="1:64" x14ac:dyDescent="0.25">
      <c r="A139" t="s">
        <v>1534</v>
      </c>
      <c r="B139" t="s">
        <v>1535</v>
      </c>
      <c r="C139" t="s">
        <v>1737</v>
      </c>
      <c r="D139" t="s">
        <v>1738</v>
      </c>
    </row>
    <row r="140" spans="1:64" x14ac:dyDescent="0.2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5">
      <c r="A142" t="s">
        <v>1540</v>
      </c>
      <c r="B142" t="s">
        <v>1541</v>
      </c>
      <c r="C142" t="s">
        <v>1737</v>
      </c>
      <c r="D142" t="s">
        <v>1738</v>
      </c>
    </row>
    <row r="143" spans="1:64" x14ac:dyDescent="0.2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5">
      <c r="A144" t="s">
        <v>1543</v>
      </c>
      <c r="B144" t="s">
        <v>1544</v>
      </c>
      <c r="C144" t="s">
        <v>1737</v>
      </c>
      <c r="D144" t="s">
        <v>1738</v>
      </c>
    </row>
    <row r="145" spans="1:64" x14ac:dyDescent="0.25">
      <c r="A145" t="s">
        <v>1545</v>
      </c>
      <c r="B145" t="s">
        <v>1546</v>
      </c>
      <c r="C145" t="s">
        <v>1737</v>
      </c>
      <c r="D145" t="s">
        <v>1738</v>
      </c>
    </row>
    <row r="146" spans="1:64" x14ac:dyDescent="0.2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5">
      <c r="A147" t="s">
        <v>1548</v>
      </c>
      <c r="B147" t="s">
        <v>1549</v>
      </c>
      <c r="C147" t="s">
        <v>1737</v>
      </c>
      <c r="D147" t="s">
        <v>1738</v>
      </c>
    </row>
    <row r="148" spans="1:64" x14ac:dyDescent="0.2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5">
      <c r="A149" t="s">
        <v>1274</v>
      </c>
      <c r="B149" t="s">
        <v>1551</v>
      </c>
      <c r="C149" t="s">
        <v>1737</v>
      </c>
      <c r="D149" t="s">
        <v>1738</v>
      </c>
    </row>
    <row r="150" spans="1:64" x14ac:dyDescent="0.2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5">
      <c r="A151" t="s">
        <v>1553</v>
      </c>
      <c r="B151" t="s">
        <v>1554</v>
      </c>
      <c r="C151" t="s">
        <v>1737</v>
      </c>
      <c r="D151" t="s">
        <v>1738</v>
      </c>
    </row>
    <row r="152" spans="1:64" x14ac:dyDescent="0.25">
      <c r="A152" t="s">
        <v>1555</v>
      </c>
      <c r="B152" t="s">
        <v>1556</v>
      </c>
      <c r="C152" t="s">
        <v>1737</v>
      </c>
      <c r="D152" t="s">
        <v>1738</v>
      </c>
    </row>
    <row r="153" spans="1:64" x14ac:dyDescent="0.2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5">
      <c r="A154" t="s">
        <v>1558</v>
      </c>
      <c r="B154" t="s">
        <v>1559</v>
      </c>
      <c r="C154" t="s">
        <v>1737</v>
      </c>
      <c r="D154" t="s">
        <v>1738</v>
      </c>
    </row>
    <row r="155" spans="1:64" x14ac:dyDescent="0.2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5">
      <c r="A157" t="s">
        <v>1144</v>
      </c>
      <c r="B157" t="s">
        <v>1563</v>
      </c>
      <c r="C157" t="s">
        <v>1737</v>
      </c>
      <c r="D157" t="s">
        <v>1738</v>
      </c>
    </row>
    <row r="158" spans="1:64" x14ac:dyDescent="0.2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5">
      <c r="A159" t="s">
        <v>1195</v>
      </c>
      <c r="B159" t="s">
        <v>1566</v>
      </c>
      <c r="C159" t="s">
        <v>1737</v>
      </c>
      <c r="D159" t="s">
        <v>1738</v>
      </c>
    </row>
    <row r="160" spans="1:64" x14ac:dyDescent="0.25">
      <c r="A160" t="s">
        <v>1567</v>
      </c>
      <c r="B160" t="s">
        <v>1568</v>
      </c>
      <c r="C160" t="s">
        <v>1737</v>
      </c>
      <c r="D160" t="s">
        <v>1738</v>
      </c>
    </row>
    <row r="161" spans="1:64" x14ac:dyDescent="0.25">
      <c r="A161" t="s">
        <v>1569</v>
      </c>
      <c r="B161" t="s">
        <v>1570</v>
      </c>
      <c r="C161" t="s">
        <v>1737</v>
      </c>
      <c r="D161" t="s">
        <v>1738</v>
      </c>
    </row>
    <row r="162" spans="1:64" x14ac:dyDescent="0.25">
      <c r="A162" t="s">
        <v>1264</v>
      </c>
      <c r="B162" t="s">
        <v>1571</v>
      </c>
      <c r="C162" t="s">
        <v>1737</v>
      </c>
      <c r="D162" t="s">
        <v>1738</v>
      </c>
    </row>
    <row r="163" spans="1:64" x14ac:dyDescent="0.25">
      <c r="A163" t="s">
        <v>1096</v>
      </c>
      <c r="B163" t="s">
        <v>1572</v>
      </c>
      <c r="C163" t="s">
        <v>1737</v>
      </c>
      <c r="D163" t="s">
        <v>1738</v>
      </c>
    </row>
    <row r="164" spans="1:64" x14ac:dyDescent="0.25">
      <c r="A164" t="s">
        <v>1262</v>
      </c>
      <c r="B164" t="s">
        <v>1573</v>
      </c>
      <c r="C164" t="s">
        <v>1737</v>
      </c>
      <c r="D164" t="s">
        <v>1738</v>
      </c>
    </row>
    <row r="165" spans="1:64" x14ac:dyDescent="0.2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5">
      <c r="A169" t="s">
        <v>1579</v>
      </c>
      <c r="B169" t="s">
        <v>1580</v>
      </c>
      <c r="C169" t="s">
        <v>1737</v>
      </c>
      <c r="D169" t="s">
        <v>1738</v>
      </c>
    </row>
    <row r="170" spans="1:64" x14ac:dyDescent="0.2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5">
      <c r="A171" t="s">
        <v>1097</v>
      </c>
      <c r="B171" t="s">
        <v>1582</v>
      </c>
      <c r="C171" t="s">
        <v>1737</v>
      </c>
      <c r="D171" t="s">
        <v>1738</v>
      </c>
    </row>
    <row r="172" spans="1:64" x14ac:dyDescent="0.2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5">
      <c r="A177" t="s">
        <v>1218</v>
      </c>
      <c r="B177" t="s">
        <v>1589</v>
      </c>
      <c r="C177" t="s">
        <v>1737</v>
      </c>
      <c r="D177" t="s">
        <v>1738</v>
      </c>
    </row>
    <row r="178" spans="1:64" x14ac:dyDescent="0.2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5">
      <c r="A182" t="s">
        <v>1253</v>
      </c>
      <c r="B182" t="s">
        <v>1594</v>
      </c>
      <c r="C182" t="s">
        <v>1737</v>
      </c>
      <c r="D182" t="s">
        <v>1738</v>
      </c>
    </row>
    <row r="183" spans="1:64" x14ac:dyDescent="0.2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5">
      <c r="A184" t="s">
        <v>1596</v>
      </c>
      <c r="B184" t="s">
        <v>1597</v>
      </c>
      <c r="C184" t="s">
        <v>1737</v>
      </c>
      <c r="D184" t="s">
        <v>1738</v>
      </c>
    </row>
    <row r="185" spans="1:64" x14ac:dyDescent="0.2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5">
      <c r="A186" t="s">
        <v>1599</v>
      </c>
      <c r="B186" t="s">
        <v>1600</v>
      </c>
      <c r="C186" t="s">
        <v>1737</v>
      </c>
      <c r="D186" t="s">
        <v>1738</v>
      </c>
    </row>
    <row r="187" spans="1:64" x14ac:dyDescent="0.2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5">
      <c r="A190" t="s">
        <v>1197</v>
      </c>
      <c r="B190" t="s">
        <v>1605</v>
      </c>
      <c r="C190" t="s">
        <v>1737</v>
      </c>
      <c r="D190" t="s">
        <v>1738</v>
      </c>
    </row>
    <row r="191" spans="1:64" x14ac:dyDescent="0.2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5">
      <c r="A193" t="s">
        <v>1608</v>
      </c>
      <c r="B193" t="s">
        <v>1609</v>
      </c>
      <c r="C193" t="s">
        <v>1737</v>
      </c>
      <c r="D193" t="s">
        <v>1738</v>
      </c>
    </row>
    <row r="194" spans="1:64" x14ac:dyDescent="0.2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5">
      <c r="A195" t="s">
        <v>1238</v>
      </c>
      <c r="B195" t="s">
        <v>1611</v>
      </c>
      <c r="C195" t="s">
        <v>1737</v>
      </c>
      <c r="D195" t="s">
        <v>1738</v>
      </c>
    </row>
    <row r="196" spans="1:64" x14ac:dyDescent="0.2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5">
      <c r="A197" t="s">
        <v>1184</v>
      </c>
      <c r="B197" t="s">
        <v>1614</v>
      </c>
      <c r="C197" t="s">
        <v>1737</v>
      </c>
      <c r="D197" t="s">
        <v>1738</v>
      </c>
    </row>
    <row r="198" spans="1:64" x14ac:dyDescent="0.25">
      <c r="A198" t="s">
        <v>1615</v>
      </c>
      <c r="B198" t="s">
        <v>1616</v>
      </c>
      <c r="C198" t="s">
        <v>1737</v>
      </c>
      <c r="D198" t="s">
        <v>1738</v>
      </c>
    </row>
    <row r="199" spans="1:64" x14ac:dyDescent="0.25">
      <c r="A199" t="s">
        <v>1265</v>
      </c>
      <c r="B199" t="s">
        <v>1617</v>
      </c>
      <c r="C199" t="s">
        <v>1737</v>
      </c>
      <c r="D199" t="s">
        <v>1738</v>
      </c>
    </row>
    <row r="200" spans="1:64" x14ac:dyDescent="0.2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5">
      <c r="A201" t="s">
        <v>1619</v>
      </c>
      <c r="B201" t="s">
        <v>1620</v>
      </c>
      <c r="C201" t="s">
        <v>1737</v>
      </c>
      <c r="D201" t="s">
        <v>1738</v>
      </c>
    </row>
    <row r="202" spans="1:64" x14ac:dyDescent="0.25">
      <c r="A202" t="s">
        <v>1621</v>
      </c>
      <c r="B202" t="s">
        <v>1622</v>
      </c>
      <c r="C202" t="s">
        <v>1737</v>
      </c>
      <c r="D202" t="s">
        <v>1738</v>
      </c>
    </row>
    <row r="203" spans="1:64" x14ac:dyDescent="0.25">
      <c r="A203" t="s">
        <v>1623</v>
      </c>
      <c r="B203" t="s">
        <v>1624</v>
      </c>
      <c r="C203" t="s">
        <v>1737</v>
      </c>
      <c r="D203" t="s">
        <v>1738</v>
      </c>
    </row>
    <row r="204" spans="1:64" x14ac:dyDescent="0.25">
      <c r="A204" t="s">
        <v>1227</v>
      </c>
      <c r="B204" t="s">
        <v>1625</v>
      </c>
      <c r="C204" t="s">
        <v>1737</v>
      </c>
      <c r="D204" t="s">
        <v>1738</v>
      </c>
    </row>
    <row r="205" spans="1:64" x14ac:dyDescent="0.25">
      <c r="A205" t="s">
        <v>1124</v>
      </c>
      <c r="B205" t="s">
        <v>1626</v>
      </c>
      <c r="C205" t="s">
        <v>1737</v>
      </c>
      <c r="D205" t="s">
        <v>1738</v>
      </c>
    </row>
    <row r="206" spans="1:64" x14ac:dyDescent="0.2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5">
      <c r="A207" t="s">
        <v>1241</v>
      </c>
      <c r="B207" t="s">
        <v>1628</v>
      </c>
      <c r="C207" t="s">
        <v>1737</v>
      </c>
      <c r="D207" t="s">
        <v>1738</v>
      </c>
    </row>
    <row r="208" spans="1:64" x14ac:dyDescent="0.2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5">
      <c r="A209" t="s">
        <v>1630</v>
      </c>
      <c r="B209" t="s">
        <v>1631</v>
      </c>
      <c r="C209" t="s">
        <v>1737</v>
      </c>
      <c r="D209" t="s">
        <v>1738</v>
      </c>
    </row>
    <row r="210" spans="1:64" x14ac:dyDescent="0.25">
      <c r="A210" t="s">
        <v>1125</v>
      </c>
      <c r="B210" t="s">
        <v>1632</v>
      </c>
      <c r="C210" t="s">
        <v>1737</v>
      </c>
      <c r="D210" t="s">
        <v>1738</v>
      </c>
    </row>
    <row r="211" spans="1:64" x14ac:dyDescent="0.2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5">
      <c r="A214" t="s">
        <v>1220</v>
      </c>
      <c r="B214" t="s">
        <v>1636</v>
      </c>
      <c r="C214" t="s">
        <v>1737</v>
      </c>
      <c r="D214" t="s">
        <v>1738</v>
      </c>
    </row>
    <row r="215" spans="1:64" x14ac:dyDescent="0.2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5">
      <c r="A217" t="s">
        <v>1639</v>
      </c>
      <c r="B217" t="s">
        <v>1640</v>
      </c>
      <c r="C217" t="s">
        <v>1737</v>
      </c>
      <c r="D217" t="s">
        <v>1738</v>
      </c>
    </row>
    <row r="218" spans="1:64" x14ac:dyDescent="0.2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5">
      <c r="A224" t="s">
        <v>1084</v>
      </c>
      <c r="B224" t="s">
        <v>1650</v>
      </c>
      <c r="C224" t="s">
        <v>1737</v>
      </c>
      <c r="D224" t="s">
        <v>1738</v>
      </c>
    </row>
    <row r="225" spans="1:64" x14ac:dyDescent="0.2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5">
      <c r="A226" t="s">
        <v>1652</v>
      </c>
      <c r="B226" t="s">
        <v>1653</v>
      </c>
      <c r="C226" t="s">
        <v>1737</v>
      </c>
      <c r="D226" t="s">
        <v>1738</v>
      </c>
    </row>
    <row r="227" spans="1:64" x14ac:dyDescent="0.25">
      <c r="A227" t="s">
        <v>1267</v>
      </c>
      <c r="B227" t="s">
        <v>1654</v>
      </c>
      <c r="C227" t="s">
        <v>1737</v>
      </c>
      <c r="D227" t="s">
        <v>1738</v>
      </c>
    </row>
    <row r="228" spans="1:64" x14ac:dyDescent="0.25">
      <c r="A228" t="s">
        <v>1254</v>
      </c>
      <c r="B228" t="s">
        <v>1655</v>
      </c>
      <c r="C228" t="s">
        <v>1737</v>
      </c>
      <c r="D228" t="s">
        <v>1738</v>
      </c>
    </row>
    <row r="229" spans="1:64" x14ac:dyDescent="0.2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5">
      <c r="A230" t="s">
        <v>1657</v>
      </c>
      <c r="B230" t="s">
        <v>1658</v>
      </c>
      <c r="C230" t="s">
        <v>1737</v>
      </c>
      <c r="D230" t="s">
        <v>1738</v>
      </c>
    </row>
    <row r="231" spans="1:64" x14ac:dyDescent="0.25">
      <c r="A231" t="s">
        <v>1074</v>
      </c>
      <c r="B231" t="s">
        <v>1659</v>
      </c>
      <c r="C231" t="s">
        <v>1737</v>
      </c>
      <c r="D231" t="s">
        <v>1738</v>
      </c>
    </row>
    <row r="232" spans="1:64" x14ac:dyDescent="0.2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5">
      <c r="A233" t="s">
        <v>1661</v>
      </c>
      <c r="B233" t="s">
        <v>1662</v>
      </c>
      <c r="C233" t="s">
        <v>1737</v>
      </c>
      <c r="D233" t="s">
        <v>1738</v>
      </c>
    </row>
    <row r="234" spans="1:64" x14ac:dyDescent="0.2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5">
      <c r="A235" t="s">
        <v>1664</v>
      </c>
      <c r="B235" t="s">
        <v>1665</v>
      </c>
      <c r="C235" t="s">
        <v>1737</v>
      </c>
      <c r="D235" t="s">
        <v>1738</v>
      </c>
    </row>
    <row r="236" spans="1:64" x14ac:dyDescent="0.25">
      <c r="A236" t="s">
        <v>1666</v>
      </c>
      <c r="B236" t="s">
        <v>1667</v>
      </c>
      <c r="C236" t="s">
        <v>1737</v>
      </c>
      <c r="D236" t="s">
        <v>1738</v>
      </c>
    </row>
    <row r="237" spans="1:64" x14ac:dyDescent="0.2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5">
      <c r="A240" t="s">
        <v>1136</v>
      </c>
      <c r="B240" t="s">
        <v>1671</v>
      </c>
      <c r="C240" t="s">
        <v>1737</v>
      </c>
      <c r="D240" t="s">
        <v>1738</v>
      </c>
    </row>
    <row r="241" spans="1:64" x14ac:dyDescent="0.25">
      <c r="A241" t="s">
        <v>1672</v>
      </c>
      <c r="B241" t="s">
        <v>1673</v>
      </c>
      <c r="C241" t="s">
        <v>1737</v>
      </c>
      <c r="D241" t="s">
        <v>1738</v>
      </c>
    </row>
    <row r="242" spans="1:64" x14ac:dyDescent="0.2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5">
      <c r="A244" t="s">
        <v>1229</v>
      </c>
      <c r="B244" t="s">
        <v>1677</v>
      </c>
      <c r="C244" t="s">
        <v>1737</v>
      </c>
      <c r="D244" t="s">
        <v>1738</v>
      </c>
    </row>
    <row r="245" spans="1:64" x14ac:dyDescent="0.25">
      <c r="A245" t="s">
        <v>1678</v>
      </c>
      <c r="B245" t="s">
        <v>1679</v>
      </c>
      <c r="C245" t="s">
        <v>1737</v>
      </c>
      <c r="D245" t="s">
        <v>1738</v>
      </c>
    </row>
    <row r="246" spans="1:64" x14ac:dyDescent="0.2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5">
      <c r="A249" t="s">
        <v>1128</v>
      </c>
      <c r="B249" t="s">
        <v>1684</v>
      </c>
      <c r="C249" t="s">
        <v>1737</v>
      </c>
      <c r="D249" t="s">
        <v>1738</v>
      </c>
    </row>
    <row r="250" spans="1:64" x14ac:dyDescent="0.25">
      <c r="A250" t="s">
        <v>1685</v>
      </c>
      <c r="B250" t="s">
        <v>1686</v>
      </c>
      <c r="C250" t="s">
        <v>1737</v>
      </c>
      <c r="D250" t="s">
        <v>1738</v>
      </c>
    </row>
    <row r="251" spans="1:64" x14ac:dyDescent="0.2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5">
      <c r="A254" t="s">
        <v>1691</v>
      </c>
      <c r="B254" t="s">
        <v>1692</v>
      </c>
      <c r="C254" t="s">
        <v>1737</v>
      </c>
      <c r="D254" t="s">
        <v>1738</v>
      </c>
    </row>
    <row r="255" spans="1:64" x14ac:dyDescent="0.25">
      <c r="A255" t="s">
        <v>1210</v>
      </c>
      <c r="B255" t="s">
        <v>1693</v>
      </c>
      <c r="C255" t="s">
        <v>1737</v>
      </c>
      <c r="D255" t="s">
        <v>1738</v>
      </c>
    </row>
    <row r="256" spans="1:64" x14ac:dyDescent="0.2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5">
      <c r="A258" t="s">
        <v>1697</v>
      </c>
      <c r="B258" t="s">
        <v>1698</v>
      </c>
      <c r="C258" t="s">
        <v>1737</v>
      </c>
      <c r="D258" t="s">
        <v>1738</v>
      </c>
    </row>
    <row r="259" spans="1:65" x14ac:dyDescent="0.2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5">
      <c r="A260" t="s">
        <v>1701</v>
      </c>
      <c r="B260" t="s">
        <v>1702</v>
      </c>
      <c r="C260" t="s">
        <v>1737</v>
      </c>
      <c r="D260" t="s">
        <v>1738</v>
      </c>
    </row>
    <row r="261" spans="1:65" x14ac:dyDescent="0.25">
      <c r="A261" t="s">
        <v>1703</v>
      </c>
      <c r="B261" t="s">
        <v>1704</v>
      </c>
      <c r="C261" t="s">
        <v>1737</v>
      </c>
      <c r="D261" t="s">
        <v>1738</v>
      </c>
    </row>
    <row r="262" spans="1:65" x14ac:dyDescent="0.2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5">
      <c r="A263" t="s">
        <v>1221</v>
      </c>
      <c r="B263" t="s">
        <v>1707</v>
      </c>
      <c r="C263" t="s">
        <v>1737</v>
      </c>
      <c r="D263" t="s">
        <v>1738</v>
      </c>
    </row>
    <row r="264" spans="1:65" x14ac:dyDescent="0.2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5">
      <c r="A265" t="s">
        <v>1228</v>
      </c>
      <c r="B265" t="s">
        <v>1709</v>
      </c>
      <c r="C265" t="s">
        <v>1737</v>
      </c>
      <c r="D265" t="s">
        <v>1738</v>
      </c>
    </row>
    <row r="266" spans="1:65" x14ac:dyDescent="0.25">
      <c r="A266" t="s">
        <v>1710</v>
      </c>
      <c r="B266" t="s">
        <v>1711</v>
      </c>
      <c r="C266" t="s">
        <v>1737</v>
      </c>
      <c r="D266" t="s">
        <v>1738</v>
      </c>
    </row>
    <row r="267" spans="1:65" x14ac:dyDescent="0.2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25"/>
    <row r="272" spans="1:65" s="1" customFormat="1" x14ac:dyDescent="0.25">
      <c r="BB272" s="50" t="s">
        <v>1938</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25">
      <c r="BB273" s="50" t="s">
        <v>1940</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25">
      <c r="I274" s="50" t="s">
        <v>1740</v>
      </c>
      <c r="M274" s="50" t="s">
        <v>1939</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25">
      <c r="H275">
        <v>2020</v>
      </c>
      <c r="I275" s="158">
        <f>'[1]HIV Prev'!$BL$77*$BM$274*$BM$275</f>
        <v>0.2289737351429329</v>
      </c>
      <c r="L275">
        <v>2020</v>
      </c>
      <c r="M275" s="158">
        <f>BL272*$BM$273</f>
        <v>0.20926851436312915</v>
      </c>
      <c r="BB275" s="50" t="s">
        <v>1941</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25">
      <c r="H276">
        <v>2021</v>
      </c>
      <c r="I276" s="158">
        <f t="shared" ref="I276:I295" si="3">I275*$BM$275</f>
        <v>0.21898491997204048</v>
      </c>
      <c r="L276">
        <v>2021</v>
      </c>
      <c r="M276" s="158">
        <f>M275*$BM$273</f>
        <v>0.19040570045109212</v>
      </c>
    </row>
    <row r="277" spans="8:65" s="1" customFormat="1" x14ac:dyDescent="0.25">
      <c r="H277">
        <v>2022</v>
      </c>
      <c r="I277" s="158">
        <f t="shared" si="3"/>
        <v>0.20943185970751743</v>
      </c>
      <c r="L277">
        <v>2022</v>
      </c>
      <c r="M277" s="158">
        <f t="shared" ref="M277:M295" si="4">M276*$BM$273</f>
        <v>0.17324312199856973</v>
      </c>
      <c r="BM277" s="51" t="s">
        <v>1741</v>
      </c>
    </row>
    <row r="278" spans="8:65" s="1" customFormat="1" x14ac:dyDescent="0.25">
      <c r="H278">
        <v>2023</v>
      </c>
      <c r="I278" s="158">
        <f t="shared" si="3"/>
        <v>0.20029554485372522</v>
      </c>
      <c r="L278">
        <v>2023</v>
      </c>
      <c r="M278" s="158">
        <f t="shared" si="4"/>
        <v>0.15762752506204791</v>
      </c>
    </row>
    <row r="279" spans="8:65" s="1" customFormat="1" x14ac:dyDescent="0.25">
      <c r="H279">
        <v>2024</v>
      </c>
      <c r="I279" s="158">
        <f t="shared" si="3"/>
        <v>0.19155779519065516</v>
      </c>
      <c r="L279">
        <v>2024</v>
      </c>
      <c r="M279" s="158">
        <f t="shared" si="4"/>
        <v>0.14341946953248552</v>
      </c>
    </row>
    <row r="280" spans="8:65" s="1" customFormat="1" x14ac:dyDescent="0.25">
      <c r="H280">
        <v>2025</v>
      </c>
      <c r="I280" s="158">
        <f t="shared" si="3"/>
        <v>0.18320122359737312</v>
      </c>
      <c r="L280">
        <v>2025</v>
      </c>
      <c r="M280" s="158">
        <f t="shared" si="4"/>
        <v>0.13049208399917961</v>
      </c>
    </row>
    <row r="281" spans="8:65" s="1" customFormat="1" x14ac:dyDescent="0.25">
      <c r="H281">
        <v>2026</v>
      </c>
      <c r="I281" s="158">
        <f t="shared" si="3"/>
        <v>0.17520920145364047</v>
      </c>
      <c r="L281">
        <v>2026</v>
      </c>
      <c r="M281" s="158">
        <f t="shared" si="4"/>
        <v>0.11872993284633467</v>
      </c>
    </row>
    <row r="282" spans="8:65" s="1" customFormat="1" x14ac:dyDescent="0.25">
      <c r="H282">
        <v>2027</v>
      </c>
      <c r="I282" s="158">
        <f t="shared" si="3"/>
        <v>0.16756582555086463</v>
      </c>
      <c r="L282">
        <v>2027</v>
      </c>
      <c r="M282" s="158">
        <f t="shared" si="4"/>
        <v>0.10802798546602846</v>
      </c>
    </row>
    <row r="283" spans="8:65" s="1" customFormat="1" x14ac:dyDescent="0.25">
      <c r="H283">
        <v>2028</v>
      </c>
      <c r="I283" s="158">
        <f t="shared" si="3"/>
        <v>0.16025588644653568</v>
      </c>
      <c r="L283">
        <v>2028</v>
      </c>
      <c r="M283" s="158">
        <f t="shared" si="4"/>
        <v>9.8290678383119487E-2</v>
      </c>
    </row>
    <row r="284" spans="8:65" s="1" customFormat="1" x14ac:dyDescent="0.25">
      <c r="H284">
        <v>2029</v>
      </c>
      <c r="I284" s="158">
        <f t="shared" si="3"/>
        <v>0.15326483819917788</v>
      </c>
      <c r="L284">
        <v>2029</v>
      </c>
      <c r="M284" s="158">
        <f t="shared" si="4"/>
        <v>8.9431061917302379E-2</v>
      </c>
    </row>
    <row r="285" spans="8:65" s="1" customFormat="1" x14ac:dyDescent="0.25">
      <c r="H285">
        <v>2030</v>
      </c>
      <c r="I285" s="158">
        <f t="shared" si="3"/>
        <v>0.14657876942359252</v>
      </c>
      <c r="L285">
        <v>2030</v>
      </c>
      <c r="M285" s="158">
        <f t="shared" si="4"/>
        <v>8.1370023762395147E-2</v>
      </c>
    </row>
    <row r="286" spans="8:65" s="1" customFormat="1" x14ac:dyDescent="0.25">
      <c r="H286">
        <v>2031</v>
      </c>
      <c r="I286" s="158">
        <f t="shared" si="3"/>
        <v>0.14018437560879471</v>
      </c>
      <c r="L286">
        <v>2031</v>
      </c>
      <c r="M286" s="158">
        <f t="shared" si="4"/>
        <v>7.4035582549778031E-2</v>
      </c>
    </row>
    <row r="287" spans="8:65" s="1" customFormat="1" x14ac:dyDescent="0.25">
      <c r="H287">
        <v>2032</v>
      </c>
      <c r="I287" s="158">
        <f t="shared" si="3"/>
        <v>0.13406893264356068</v>
      </c>
      <c r="L287">
        <v>2032</v>
      </c>
      <c r="M287" s="158">
        <f t="shared" si="4"/>
        <v>6.7362245087829814E-2</v>
      </c>
    </row>
    <row r="288" spans="8:65" s="1" customFormat="1" x14ac:dyDescent="0.25">
      <c r="H288">
        <v>2033</v>
      </c>
      <c r="I288" s="158">
        <f t="shared" si="3"/>
        <v>0.1282202714969039</v>
      </c>
      <c r="L288">
        <v>2033</v>
      </c>
      <c r="M288" s="158">
        <f t="shared" si="4"/>
        <v>6.1290421537804951E-2</v>
      </c>
    </row>
    <row r="289" spans="3:13" s="1" customFormat="1" x14ac:dyDescent="0.25">
      <c r="C289" s="49"/>
      <c r="D289" s="49"/>
      <c r="E289" s="49"/>
      <c r="H289">
        <v>2034</v>
      </c>
      <c r="I289" s="158">
        <f t="shared" si="3"/>
        <v>0.12262675400309737</v>
      </c>
      <c r="L289">
        <v>2034</v>
      </c>
      <c r="M289" s="158">
        <f t="shared" si="4"/>
        <v>5.5765893303940758E-2</v>
      </c>
    </row>
    <row r="290" spans="3:13" s="1" customFormat="1" x14ac:dyDescent="0.25">
      <c r="C290" s="49"/>
      <c r="D290" s="49"/>
      <c r="E290" s="49"/>
      <c r="H290">
        <v>2035</v>
      </c>
      <c r="I290" s="158">
        <f t="shared" si="3"/>
        <v>0.11727724970305697</v>
      </c>
      <c r="L290">
        <v>2035</v>
      </c>
      <c r="M290" s="158">
        <f t="shared" si="4"/>
        <v>5.0739328886297626E-2</v>
      </c>
    </row>
    <row r="291" spans="3:13" s="1" customFormat="1" x14ac:dyDescent="0.25">
      <c r="C291" s="49"/>
      <c r="D291" s="49"/>
      <c r="E291" s="49"/>
      <c r="H291">
        <v>2036</v>
      </c>
      <c r="I291" s="158">
        <f t="shared" si="3"/>
        <v>0.11216111369600285</v>
      </c>
      <c r="L291">
        <v>2036</v>
      </c>
      <c r="M291" s="158">
        <f t="shared" si="4"/>
        <v>4.616584337312047E-2</v>
      </c>
    </row>
    <row r="292" spans="3:13" s="1" customFormat="1" x14ac:dyDescent="0.25">
      <c r="H292">
        <v>2037</v>
      </c>
      <c r="I292" s="158">
        <f t="shared" si="3"/>
        <v>0.10726816545732622</v>
      </c>
      <c r="L292">
        <v>2037</v>
      </c>
      <c r="M292" s="158">
        <f t="shared" si="4"/>
        <v>4.2004597639190573E-2</v>
      </c>
    </row>
    <row r="293" spans="3:13" s="1" customFormat="1" x14ac:dyDescent="0.25">
      <c r="H293">
        <v>2038</v>
      </c>
      <c r="I293" s="158">
        <f t="shared" si="3"/>
        <v>0.10258866858051158</v>
      </c>
      <c r="L293">
        <v>2038</v>
      </c>
      <c r="M293" s="158">
        <f t="shared" si="4"/>
        <v>3.8218433671193097E-2</v>
      </c>
    </row>
    <row r="294" spans="3:13" s="1" customFormat="1" x14ac:dyDescent="0.25">
      <c r="H294">
        <v>2039</v>
      </c>
      <c r="I294" s="158">
        <f t="shared" si="3"/>
        <v>9.8113311402802994E-2</v>
      </c>
      <c r="L294">
        <v>2039</v>
      </c>
      <c r="M294" s="158">
        <f t="shared" si="4"/>
        <v>3.4773542763723353E-2</v>
      </c>
    </row>
    <row r="295" spans="3:13" s="1" customFormat="1" x14ac:dyDescent="0.25">
      <c r="H295">
        <v>2040</v>
      </c>
      <c r="I295" s="158">
        <f t="shared" si="3"/>
        <v>9.3833188476061896E-2</v>
      </c>
      <c r="L295">
        <v>2040</v>
      </c>
      <c r="M295" s="158">
        <f t="shared" si="4"/>
        <v>3.1639163623074458E-2</v>
      </c>
    </row>
    <row r="296" spans="3:13" s="1" customFormat="1" x14ac:dyDescent="0.2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5" x14ac:dyDescent="0.25"/>
  <cols>
    <col min="1" max="1" width="44.140625" bestFit="1" customWidth="1"/>
    <col min="2" max="2" width="25.5703125" bestFit="1" customWidth="1"/>
    <col min="3" max="3" width="35.42578125" bestFit="1" customWidth="1"/>
    <col min="4" max="4" width="13.85546875" bestFit="1" customWidth="1"/>
    <col min="5" max="8" width="5.42578125" bestFit="1" customWidth="1"/>
    <col min="9" max="9" width="10.42578125" bestFit="1" customWidth="1"/>
    <col min="10" max="64" width="11.4257812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1742</v>
      </c>
      <c r="D5" t="s">
        <v>1743</v>
      </c>
    </row>
    <row r="6" spans="1:65" hidden="1" x14ac:dyDescent="0.2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2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2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2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2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2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2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2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2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2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25">
      <c r="A16" t="s">
        <v>1368</v>
      </c>
      <c r="B16" t="s">
        <v>1369</v>
      </c>
      <c r="C16" t="s">
        <v>1742</v>
      </c>
      <c r="D16" t="s">
        <v>1743</v>
      </c>
    </row>
    <row r="17" spans="1:64" hidden="1" x14ac:dyDescent="0.2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2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2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2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2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2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2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2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2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2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2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2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2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2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2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25">
      <c r="A32" t="s">
        <v>1386</v>
      </c>
      <c r="B32" t="s">
        <v>1387</v>
      </c>
      <c r="C32" t="s">
        <v>1742</v>
      </c>
      <c r="D32" t="s">
        <v>1743</v>
      </c>
    </row>
    <row r="33" spans="1:64" hidden="1" x14ac:dyDescent="0.2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2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2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2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2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2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2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2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2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2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25">
      <c r="A43" t="s">
        <v>1245</v>
      </c>
      <c r="B43" t="s">
        <v>1400</v>
      </c>
      <c r="C43" t="s">
        <v>1742</v>
      </c>
      <c r="D43" t="s">
        <v>1743</v>
      </c>
    </row>
    <row r="44" spans="1:64" hidden="1" x14ac:dyDescent="0.2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2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2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2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2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2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2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2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2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2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2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2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25">
      <c r="A56" t="s">
        <v>1417</v>
      </c>
      <c r="B56" t="s">
        <v>1418</v>
      </c>
      <c r="C56" t="s">
        <v>1742</v>
      </c>
      <c r="D56" t="s">
        <v>1743</v>
      </c>
    </row>
    <row r="57" spans="1:64" hidden="1" x14ac:dyDescent="0.25">
      <c r="A57" t="s">
        <v>1419</v>
      </c>
      <c r="B57" t="s">
        <v>1420</v>
      </c>
      <c r="C57" t="s">
        <v>1742</v>
      </c>
      <c r="D57" t="s">
        <v>1743</v>
      </c>
    </row>
    <row r="58" spans="1:64" hidden="1" x14ac:dyDescent="0.2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2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2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2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2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2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2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2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2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2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2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2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2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2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2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2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2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2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2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2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2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2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2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2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25">
      <c r="A83" t="s">
        <v>1456</v>
      </c>
      <c r="B83" t="s">
        <v>1457</v>
      </c>
      <c r="C83" t="s">
        <v>1742</v>
      </c>
      <c r="D83" t="s">
        <v>1743</v>
      </c>
    </row>
    <row r="84" spans="1:64" hidden="1" x14ac:dyDescent="0.2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2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2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2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2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25">
      <c r="A89" t="s">
        <v>1464</v>
      </c>
      <c r="B89" t="s">
        <v>1465</v>
      </c>
      <c r="C89" t="s">
        <v>1742</v>
      </c>
      <c r="D89" t="s">
        <v>1743</v>
      </c>
    </row>
    <row r="90" spans="1:64" hidden="1" x14ac:dyDescent="0.2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2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2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2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2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2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25">
      <c r="A96" t="s">
        <v>1473</v>
      </c>
      <c r="B96" t="s">
        <v>1474</v>
      </c>
      <c r="C96" t="s">
        <v>1742</v>
      </c>
      <c r="D96" t="s">
        <v>1743</v>
      </c>
    </row>
    <row r="97" spans="1:64" hidden="1" x14ac:dyDescent="0.2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25">
      <c r="A98" t="s">
        <v>1223</v>
      </c>
      <c r="B98" t="s">
        <v>1476</v>
      </c>
      <c r="C98" t="s">
        <v>1742</v>
      </c>
      <c r="D98" t="s">
        <v>1743</v>
      </c>
    </row>
    <row r="99" spans="1:64" hidden="1" x14ac:dyDescent="0.2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2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25">
      <c r="A101" t="s">
        <v>1480</v>
      </c>
      <c r="B101" t="s">
        <v>1481</v>
      </c>
      <c r="C101" t="s">
        <v>1742</v>
      </c>
      <c r="D101" t="s">
        <v>1743</v>
      </c>
    </row>
    <row r="102" spans="1:64" hidden="1" x14ac:dyDescent="0.2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2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2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2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2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2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2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2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2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2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2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25">
      <c r="A113" t="s">
        <v>1499</v>
      </c>
      <c r="B113" t="s">
        <v>1500</v>
      </c>
      <c r="C113" t="s">
        <v>1742</v>
      </c>
      <c r="D113" t="s">
        <v>1743</v>
      </c>
    </row>
    <row r="114" spans="1:64" hidden="1" x14ac:dyDescent="0.2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25">
      <c r="A115" t="s">
        <v>1502</v>
      </c>
      <c r="B115" t="s">
        <v>1503</v>
      </c>
      <c r="C115" t="s">
        <v>1742</v>
      </c>
      <c r="D115" t="s">
        <v>1743</v>
      </c>
    </row>
    <row r="116" spans="1:64" hidden="1" x14ac:dyDescent="0.2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2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2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2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2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2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2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2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2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2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2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2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2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2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2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2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2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2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2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2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2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2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2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2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2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2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25">
      <c r="A142" t="s">
        <v>1540</v>
      </c>
      <c r="B142" t="s">
        <v>1541</v>
      </c>
      <c r="C142" t="s">
        <v>1742</v>
      </c>
      <c r="D142" t="s">
        <v>1743</v>
      </c>
    </row>
    <row r="143" spans="1:64" hidden="1" x14ac:dyDescent="0.2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2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2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2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2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2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2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2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25">
      <c r="A151" t="s">
        <v>1553</v>
      </c>
      <c r="B151" t="s">
        <v>1554</v>
      </c>
      <c r="C151" t="s">
        <v>1742</v>
      </c>
      <c r="D151" t="s">
        <v>1743</v>
      </c>
    </row>
    <row r="152" spans="1:64" hidden="1" x14ac:dyDescent="0.25">
      <c r="A152" t="s">
        <v>1555</v>
      </c>
      <c r="B152" t="s">
        <v>1556</v>
      </c>
      <c r="C152" t="s">
        <v>1742</v>
      </c>
      <c r="D152" t="s">
        <v>1743</v>
      </c>
    </row>
    <row r="153" spans="1:64" hidden="1" x14ac:dyDescent="0.2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2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2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2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2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2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2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2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2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2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2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2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2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2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2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2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25">
      <c r="A169" t="s">
        <v>1579</v>
      </c>
      <c r="B169" t="s">
        <v>1580</v>
      </c>
      <c r="C169" t="s">
        <v>1742</v>
      </c>
      <c r="D169" t="s">
        <v>1743</v>
      </c>
    </row>
    <row r="170" spans="1:64" hidden="1" x14ac:dyDescent="0.2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2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2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2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2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2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2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25">
      <c r="A177" t="s">
        <v>1218</v>
      </c>
      <c r="B177" t="s">
        <v>1589</v>
      </c>
      <c r="C177" t="s">
        <v>1742</v>
      </c>
      <c r="D177" t="s">
        <v>1743</v>
      </c>
    </row>
    <row r="178" spans="1:64" hidden="1" x14ac:dyDescent="0.2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2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2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2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2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2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2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2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2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2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2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2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2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2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2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2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2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2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2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25">
      <c r="A197" t="s">
        <v>1184</v>
      </c>
      <c r="B197" t="s">
        <v>1614</v>
      </c>
      <c r="C197" t="s">
        <v>1742</v>
      </c>
      <c r="D197" t="s">
        <v>1743</v>
      </c>
    </row>
    <row r="198" spans="1:64" hidden="1" x14ac:dyDescent="0.2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2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2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2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2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2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25">
      <c r="A204" t="s">
        <v>1227</v>
      </c>
      <c r="B204" t="s">
        <v>1625</v>
      </c>
      <c r="C204" t="s">
        <v>1742</v>
      </c>
      <c r="D204" t="s">
        <v>1743</v>
      </c>
    </row>
    <row r="205" spans="1:64" hidden="1" x14ac:dyDescent="0.2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2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2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2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2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2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2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2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2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2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2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2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2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2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2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2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2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2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2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2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2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2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2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2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2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25">
      <c r="A230" t="s">
        <v>1657</v>
      </c>
      <c r="B230" t="s">
        <v>1658</v>
      </c>
      <c r="C230" t="s">
        <v>1742</v>
      </c>
      <c r="D230" t="s">
        <v>1743</v>
      </c>
    </row>
    <row r="231" spans="1:64" hidden="1" x14ac:dyDescent="0.2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2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25">
      <c r="A233" t="s">
        <v>1661</v>
      </c>
      <c r="B233" t="s">
        <v>1662</v>
      </c>
      <c r="C233" t="s">
        <v>1742</v>
      </c>
      <c r="D233" t="s">
        <v>1743</v>
      </c>
    </row>
    <row r="234" spans="1:64" hidden="1" x14ac:dyDescent="0.2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2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2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2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2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2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2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2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2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2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2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2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2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2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2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2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2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2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2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2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2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2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2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2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2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2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25">
      <c r="A260" t="s">
        <v>1701</v>
      </c>
      <c r="B260" t="s">
        <v>1702</v>
      </c>
      <c r="C260" t="s">
        <v>1742</v>
      </c>
      <c r="D260" t="s">
        <v>1743</v>
      </c>
    </row>
    <row r="261" spans="1:65" hidden="1" x14ac:dyDescent="0.25">
      <c r="A261" t="s">
        <v>1703</v>
      </c>
      <c r="B261" t="s">
        <v>1704</v>
      </c>
      <c r="C261" t="s">
        <v>1742</v>
      </c>
      <c r="D261" t="s">
        <v>1743</v>
      </c>
    </row>
    <row r="262" spans="1:65" hidden="1" x14ac:dyDescent="0.2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2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2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2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25">
      <c r="A266" t="s">
        <v>1710</v>
      </c>
      <c r="B266" t="s">
        <v>1711</v>
      </c>
      <c r="C266" t="s">
        <v>1742</v>
      </c>
      <c r="D266" t="s">
        <v>1743</v>
      </c>
    </row>
    <row r="267" spans="1:65" hidden="1" x14ac:dyDescent="0.2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2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2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2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25"/>
    <row r="272" spans="1:65" s="1" customFormat="1" x14ac:dyDescent="0.2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25">
      <c r="BM273" s="51" t="s">
        <v>1744</v>
      </c>
    </row>
    <row r="274" spans="8:65" s="1" customFormat="1" x14ac:dyDescent="0.25">
      <c r="I274" s="1" t="s">
        <v>1719</v>
      </c>
    </row>
    <row r="275" spans="8:65" s="1" customFormat="1" x14ac:dyDescent="0.25">
      <c r="H275">
        <v>2020</v>
      </c>
      <c r="I275" s="156">
        <f>BL77*$BM$272</f>
        <v>35.151715039577837</v>
      </c>
      <c r="BB275" s="1" t="s">
        <v>2136</v>
      </c>
    </row>
    <row r="276" spans="8:65" s="1" customFormat="1" x14ac:dyDescent="0.25">
      <c r="H276">
        <v>2021</v>
      </c>
      <c r="I276" s="156">
        <f>I275*$BM$272</f>
        <v>33.853234800648842</v>
      </c>
    </row>
    <row r="277" spans="8:65" s="1" customFormat="1" x14ac:dyDescent="0.25">
      <c r="H277">
        <v>2022</v>
      </c>
      <c r="I277" s="156">
        <f t="shared" ref="I277:I295" si="1">I276*$BM$272</f>
        <v>32.602719530967882</v>
      </c>
    </row>
    <row r="278" spans="8:65" s="1" customFormat="1" x14ac:dyDescent="0.25">
      <c r="H278">
        <v>2023</v>
      </c>
      <c r="I278" s="156">
        <f t="shared" si="1"/>
        <v>31.398397437475666</v>
      </c>
    </row>
    <row r="279" spans="8:65" s="1" customFormat="1" x14ac:dyDescent="0.25">
      <c r="H279">
        <v>2024</v>
      </c>
      <c r="I279" s="156">
        <f t="shared" si="1"/>
        <v>30.23856217593303</v>
      </c>
    </row>
    <row r="280" spans="8:65" s="1" customFormat="1" x14ac:dyDescent="0.25">
      <c r="H280">
        <v>2025</v>
      </c>
      <c r="I280" s="156">
        <f t="shared" si="1"/>
        <v>29.121570433286429</v>
      </c>
    </row>
    <row r="281" spans="8:65" s="1" customFormat="1" x14ac:dyDescent="0.25">
      <c r="H281">
        <v>2026</v>
      </c>
      <c r="I281" s="156">
        <f t="shared" si="1"/>
        <v>28.045839599339175</v>
      </c>
    </row>
    <row r="282" spans="8:65" s="1" customFormat="1" x14ac:dyDescent="0.25">
      <c r="H282">
        <v>2027</v>
      </c>
      <c r="I282" s="156">
        <f t="shared" si="1"/>
        <v>27.009845524429551</v>
      </c>
    </row>
    <row r="283" spans="8:65" s="1" customFormat="1" x14ac:dyDescent="0.25">
      <c r="H283">
        <v>2028</v>
      </c>
      <c r="I283" s="156">
        <f t="shared" si="1"/>
        <v>26.012120359938752</v>
      </c>
      <c r="BB283" s="1">
        <v>9.1999999999999993</v>
      </c>
      <c r="BC283" s="50" t="s">
        <v>2137</v>
      </c>
    </row>
    <row r="284" spans="8:65" s="1" customFormat="1" x14ac:dyDescent="0.25">
      <c r="H284">
        <v>2029</v>
      </c>
      <c r="I284" s="156">
        <f t="shared" si="1"/>
        <v>25.051250478568985</v>
      </c>
      <c r="BC284" s="50" t="s">
        <v>2138</v>
      </c>
    </row>
    <row r="285" spans="8:65" s="1" customFormat="1" x14ac:dyDescent="0.25">
      <c r="H285">
        <v>2030</v>
      </c>
      <c r="I285" s="156">
        <f t="shared" si="1"/>
        <v>24.125874471445066</v>
      </c>
      <c r="BC285" s="50" t="s">
        <v>2139</v>
      </c>
    </row>
    <row r="286" spans="8:65" s="1" customFormat="1" x14ac:dyDescent="0.25">
      <c r="H286">
        <v>2031</v>
      </c>
      <c r="I286" s="156">
        <f t="shared" si="1"/>
        <v>23.234681219201715</v>
      </c>
      <c r="BB286" s="312">
        <f>BB283*0.969*0.969*0.969</f>
        <v>8.3706495227999991</v>
      </c>
      <c r="BC286" s="50" t="s">
        <v>2140</v>
      </c>
    </row>
    <row r="287" spans="8:65" s="1" customFormat="1" x14ac:dyDescent="0.25">
      <c r="H287">
        <v>2032</v>
      </c>
      <c r="I287" s="156">
        <f t="shared" si="1"/>
        <v>22.376408034323553</v>
      </c>
    </row>
    <row r="288" spans="8:65" s="1" customFormat="1" x14ac:dyDescent="0.25">
      <c r="H288">
        <v>2033</v>
      </c>
      <c r="I288" s="156">
        <f t="shared" si="1"/>
        <v>21.549838872105799</v>
      </c>
    </row>
    <row r="289" spans="3:9" s="1" customFormat="1" x14ac:dyDescent="0.25">
      <c r="C289" s="49"/>
      <c r="D289" s="49"/>
      <c r="E289" s="49"/>
      <c r="H289">
        <v>2034</v>
      </c>
      <c r="I289" s="156">
        <f t="shared" si="1"/>
        <v>20.753802607700834</v>
      </c>
    </row>
    <row r="290" spans="3:9" s="1" customFormat="1" x14ac:dyDescent="0.25">
      <c r="C290" s="49"/>
      <c r="D290" s="49"/>
      <c r="E290" s="49"/>
      <c r="H290">
        <v>2035</v>
      </c>
      <c r="I290" s="156">
        <f t="shared" si="1"/>
        <v>19.98717137680951</v>
      </c>
    </row>
    <row r="291" spans="3:9" s="1" customFormat="1" x14ac:dyDescent="0.25">
      <c r="C291" s="49"/>
      <c r="D291" s="49"/>
      <c r="E291" s="49"/>
      <c r="H291">
        <v>2036</v>
      </c>
      <c r="I291" s="156">
        <f t="shared" si="1"/>
        <v>19.248858977666153</v>
      </c>
    </row>
    <row r="292" spans="3:9" s="1" customFormat="1" x14ac:dyDescent="0.25">
      <c r="H292">
        <v>2037</v>
      </c>
      <c r="I292" s="156">
        <f t="shared" si="1"/>
        <v>18.537819332053157</v>
      </c>
    </row>
    <row r="293" spans="3:9" s="1" customFormat="1" x14ac:dyDescent="0.25">
      <c r="H293">
        <v>2038</v>
      </c>
      <c r="I293" s="156">
        <f t="shared" si="1"/>
        <v>17.853045003164652</v>
      </c>
    </row>
    <row r="294" spans="3:9" s="1" customFormat="1" x14ac:dyDescent="0.25">
      <c r="H294">
        <v>2039</v>
      </c>
      <c r="I294" s="156">
        <f t="shared" si="1"/>
        <v>17.193565768219258</v>
      </c>
    </row>
    <row r="295" spans="3:9" s="1" customFormat="1" x14ac:dyDescent="0.25">
      <c r="H295">
        <v>2040</v>
      </c>
      <c r="I295" s="156">
        <f t="shared" si="1"/>
        <v>16.558447243799549</v>
      </c>
    </row>
    <row r="296" spans="3:9" s="1" customFormat="1" x14ac:dyDescent="0.25"/>
    <row r="297" spans="3:9" s="1" customFormat="1" x14ac:dyDescent="0.2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5" x14ac:dyDescent="0.25"/>
  <cols>
    <col min="1" max="1" width="44.140625" bestFit="1" customWidth="1"/>
    <col min="2" max="2" width="25.5703125" bestFit="1" customWidth="1"/>
    <col min="3" max="3" width="37.140625" bestFit="1" customWidth="1"/>
    <col min="4" max="4" width="12.7109375" bestFit="1" customWidth="1"/>
    <col min="5" max="8" width="5.42578125" bestFit="1" customWidth="1"/>
    <col min="9" max="9" width="10.42578125" bestFit="1" customWidth="1"/>
    <col min="10" max="64" width="11.42578125" bestFit="1" customWidth="1"/>
    <col min="65" max="65" width="12.140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1745</v>
      </c>
      <c r="D5" t="s">
        <v>1746</v>
      </c>
    </row>
    <row r="6" spans="1:65" hidden="1" x14ac:dyDescent="0.2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2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2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2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2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2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2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2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2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2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25">
      <c r="A16" t="s">
        <v>1368</v>
      </c>
      <c r="B16" t="s">
        <v>1369</v>
      </c>
      <c r="C16" t="s">
        <v>1745</v>
      </c>
      <c r="D16" t="s">
        <v>1746</v>
      </c>
    </row>
    <row r="17" spans="1:64" hidden="1" x14ac:dyDescent="0.2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2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2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2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2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2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2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2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2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2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2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2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2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2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2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25">
      <c r="A32" t="s">
        <v>1386</v>
      </c>
      <c r="B32" t="s">
        <v>1387</v>
      </c>
      <c r="C32" t="s">
        <v>1745</v>
      </c>
      <c r="D32" t="s">
        <v>1746</v>
      </c>
    </row>
    <row r="33" spans="1:64" hidden="1" x14ac:dyDescent="0.2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2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2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2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2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2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2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2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2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2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25">
      <c r="A43" t="s">
        <v>1245</v>
      </c>
      <c r="B43" t="s">
        <v>1400</v>
      </c>
      <c r="C43" t="s">
        <v>1745</v>
      </c>
      <c r="D43" t="s">
        <v>1746</v>
      </c>
    </row>
    <row r="44" spans="1:64" hidden="1" x14ac:dyDescent="0.2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2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2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2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2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2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2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2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2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2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2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2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25">
      <c r="A56" t="s">
        <v>1417</v>
      </c>
      <c r="B56" t="s">
        <v>1418</v>
      </c>
      <c r="C56" t="s">
        <v>1745</v>
      </c>
      <c r="D56" t="s">
        <v>1746</v>
      </c>
    </row>
    <row r="57" spans="1:64" hidden="1" x14ac:dyDescent="0.25">
      <c r="A57" t="s">
        <v>1419</v>
      </c>
      <c r="B57" t="s">
        <v>1420</v>
      </c>
      <c r="C57" t="s">
        <v>1745</v>
      </c>
      <c r="D57" t="s">
        <v>1746</v>
      </c>
    </row>
    <row r="58" spans="1:64" hidden="1" x14ac:dyDescent="0.2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2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2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2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2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2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2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2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2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2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2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2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2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2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2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2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2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2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2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2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2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2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2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2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25">
      <c r="A83" t="s">
        <v>1456</v>
      </c>
      <c r="B83" t="s">
        <v>1457</v>
      </c>
      <c r="C83" t="s">
        <v>1745</v>
      </c>
      <c r="D83" t="s">
        <v>1746</v>
      </c>
    </row>
    <row r="84" spans="1:64" hidden="1" x14ac:dyDescent="0.2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2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2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2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2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25">
      <c r="A89" t="s">
        <v>1464</v>
      </c>
      <c r="B89" t="s">
        <v>1465</v>
      </c>
      <c r="C89" t="s">
        <v>1745</v>
      </c>
      <c r="D89" t="s">
        <v>1746</v>
      </c>
    </row>
    <row r="90" spans="1:64" hidden="1" x14ac:dyDescent="0.2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2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2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2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2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2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25">
      <c r="A96" t="s">
        <v>1473</v>
      </c>
      <c r="B96" t="s">
        <v>1474</v>
      </c>
      <c r="C96" t="s">
        <v>1745</v>
      </c>
      <c r="D96" t="s">
        <v>1746</v>
      </c>
    </row>
    <row r="97" spans="1:64" hidden="1" x14ac:dyDescent="0.2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25">
      <c r="A98" t="s">
        <v>1223</v>
      </c>
      <c r="B98" t="s">
        <v>1476</v>
      </c>
      <c r="C98" t="s">
        <v>1745</v>
      </c>
      <c r="D98" t="s">
        <v>1746</v>
      </c>
    </row>
    <row r="99" spans="1:64" hidden="1" x14ac:dyDescent="0.2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2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25">
      <c r="A101" t="s">
        <v>1480</v>
      </c>
      <c r="B101" t="s">
        <v>1481</v>
      </c>
      <c r="C101" t="s">
        <v>1745</v>
      </c>
      <c r="D101" t="s">
        <v>1746</v>
      </c>
    </row>
    <row r="102" spans="1:64" hidden="1" x14ac:dyDescent="0.2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2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2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2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2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2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2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2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2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2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2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25">
      <c r="A113" t="s">
        <v>1499</v>
      </c>
      <c r="B113" t="s">
        <v>1500</v>
      </c>
      <c r="C113" t="s">
        <v>1745</v>
      </c>
      <c r="D113" t="s">
        <v>1746</v>
      </c>
    </row>
    <row r="114" spans="1:64" hidden="1" x14ac:dyDescent="0.2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25">
      <c r="A115" t="s">
        <v>1502</v>
      </c>
      <c r="B115" t="s">
        <v>1503</v>
      </c>
      <c r="C115" t="s">
        <v>1745</v>
      </c>
      <c r="D115" t="s">
        <v>1746</v>
      </c>
    </row>
    <row r="116" spans="1:64" hidden="1" x14ac:dyDescent="0.2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2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2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2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2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2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2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2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2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2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2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2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2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2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2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2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2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2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2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2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2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2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2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2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2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2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25">
      <c r="A142" t="s">
        <v>1540</v>
      </c>
      <c r="B142" t="s">
        <v>1541</v>
      </c>
      <c r="C142" t="s">
        <v>1745</v>
      </c>
      <c r="D142" t="s">
        <v>1746</v>
      </c>
    </row>
    <row r="143" spans="1:64" hidden="1" x14ac:dyDescent="0.2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2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2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2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2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2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2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2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25">
      <c r="A151" t="s">
        <v>1553</v>
      </c>
      <c r="B151" t="s">
        <v>1554</v>
      </c>
      <c r="C151" t="s">
        <v>1745</v>
      </c>
      <c r="D151" t="s">
        <v>1746</v>
      </c>
    </row>
    <row r="152" spans="1:64" hidden="1" x14ac:dyDescent="0.25">
      <c r="A152" t="s">
        <v>1555</v>
      </c>
      <c r="B152" t="s">
        <v>1556</v>
      </c>
      <c r="C152" t="s">
        <v>1745</v>
      </c>
      <c r="D152" t="s">
        <v>1746</v>
      </c>
    </row>
    <row r="153" spans="1:64" hidden="1" x14ac:dyDescent="0.2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2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2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2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2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2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2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2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2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2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2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2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2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2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2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2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25">
      <c r="A169" t="s">
        <v>1579</v>
      </c>
      <c r="B169" t="s">
        <v>1580</v>
      </c>
      <c r="C169" t="s">
        <v>1745</v>
      </c>
      <c r="D169" t="s">
        <v>1746</v>
      </c>
    </row>
    <row r="170" spans="1:64" hidden="1" x14ac:dyDescent="0.2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2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2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2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2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2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2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25">
      <c r="A177" t="s">
        <v>1218</v>
      </c>
      <c r="B177" t="s">
        <v>1589</v>
      </c>
      <c r="C177" t="s">
        <v>1745</v>
      </c>
      <c r="D177" t="s">
        <v>1746</v>
      </c>
    </row>
    <row r="178" spans="1:64" hidden="1" x14ac:dyDescent="0.2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2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2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2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2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2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2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2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2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2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2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2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2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2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2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2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2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2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2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25">
      <c r="A197" t="s">
        <v>1184</v>
      </c>
      <c r="B197" t="s">
        <v>1614</v>
      </c>
      <c r="C197" t="s">
        <v>1745</v>
      </c>
      <c r="D197" t="s">
        <v>1746</v>
      </c>
    </row>
    <row r="198" spans="1:64" hidden="1" x14ac:dyDescent="0.2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2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2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2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2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2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25">
      <c r="A204" t="s">
        <v>1227</v>
      </c>
      <c r="B204" t="s">
        <v>1625</v>
      </c>
      <c r="C204" t="s">
        <v>1745</v>
      </c>
      <c r="D204" t="s">
        <v>1746</v>
      </c>
    </row>
    <row r="205" spans="1:64" hidden="1" x14ac:dyDescent="0.2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2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2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2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2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2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2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2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2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2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2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2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2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2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2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2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2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2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2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2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2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2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2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2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2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25">
      <c r="A230" t="s">
        <v>1657</v>
      </c>
      <c r="B230" t="s">
        <v>1658</v>
      </c>
      <c r="C230" t="s">
        <v>1745</v>
      </c>
      <c r="D230" t="s">
        <v>1746</v>
      </c>
    </row>
    <row r="231" spans="1:64" hidden="1" x14ac:dyDescent="0.2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2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25">
      <c r="A233" t="s">
        <v>1661</v>
      </c>
      <c r="B233" t="s">
        <v>1662</v>
      </c>
      <c r="C233" t="s">
        <v>1745</v>
      </c>
      <c r="D233" t="s">
        <v>1746</v>
      </c>
    </row>
    <row r="234" spans="1:64" hidden="1" x14ac:dyDescent="0.2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2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2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2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2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2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2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2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2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2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2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2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2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2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2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2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2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2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2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2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2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2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2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2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2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2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25">
      <c r="A260" t="s">
        <v>1701</v>
      </c>
      <c r="B260" t="s">
        <v>1702</v>
      </c>
      <c r="C260" t="s">
        <v>1745</v>
      </c>
      <c r="D260" t="s">
        <v>1746</v>
      </c>
    </row>
    <row r="261" spans="1:65" hidden="1" x14ac:dyDescent="0.25">
      <c r="A261" t="s">
        <v>1703</v>
      </c>
      <c r="B261" t="s">
        <v>1704</v>
      </c>
      <c r="C261" t="s">
        <v>1745</v>
      </c>
      <c r="D261" t="s">
        <v>1746</v>
      </c>
    </row>
    <row r="262" spans="1:65" hidden="1" x14ac:dyDescent="0.2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2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2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2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25">
      <c r="A266" t="s">
        <v>1710</v>
      </c>
      <c r="B266" t="s">
        <v>1711</v>
      </c>
      <c r="C266" t="s">
        <v>1745</v>
      </c>
      <c r="D266" t="s">
        <v>1746</v>
      </c>
    </row>
    <row r="267" spans="1:65" hidden="1" x14ac:dyDescent="0.2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2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2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2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25"/>
    <row r="272" spans="1:65" s="1" customFormat="1" x14ac:dyDescent="0.2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25">
      <c r="BM273" s="51" t="s">
        <v>1744</v>
      </c>
    </row>
    <row r="274" spans="8:65" s="1" customFormat="1" x14ac:dyDescent="0.25">
      <c r="I274" s="1" t="s">
        <v>1719</v>
      </c>
    </row>
    <row r="275" spans="8:65" s="1" customFormat="1" x14ac:dyDescent="0.25">
      <c r="H275">
        <v>2020</v>
      </c>
      <c r="I275" s="156">
        <f>BL77*$BM$272</f>
        <v>48.408474576271196</v>
      </c>
    </row>
    <row r="276" spans="8:65" s="1" customFormat="1" x14ac:dyDescent="0.25">
      <c r="H276">
        <v>2021</v>
      </c>
      <c r="I276" s="156">
        <f>I275*$BM$272</f>
        <v>46.220520923106399</v>
      </c>
    </row>
    <row r="277" spans="8:65" s="1" customFormat="1" x14ac:dyDescent="0.25">
      <c r="H277">
        <v>2022</v>
      </c>
      <c r="I277" s="156">
        <f t="shared" ref="I277:I295" si="1">I276*$BM$272</f>
        <v>44.131457830536625</v>
      </c>
    </row>
    <row r="278" spans="8:65" s="1" customFormat="1" x14ac:dyDescent="0.25">
      <c r="H278">
        <v>2023</v>
      </c>
      <c r="I278" s="156">
        <f t="shared" si="1"/>
        <v>42.136815668704465</v>
      </c>
    </row>
    <row r="279" spans="8:65" s="1" customFormat="1" x14ac:dyDescent="0.25">
      <c r="H279">
        <v>2024</v>
      </c>
      <c r="I279" s="156">
        <f t="shared" si="1"/>
        <v>40.232326824921216</v>
      </c>
    </row>
    <row r="280" spans="8:65" s="1" customFormat="1" x14ac:dyDescent="0.25">
      <c r="H280">
        <v>2025</v>
      </c>
      <c r="I280" s="156">
        <f t="shared" si="1"/>
        <v>38.413916572947379</v>
      </c>
    </row>
    <row r="281" spans="8:65" s="1" customFormat="1" x14ac:dyDescent="0.25">
      <c r="H281">
        <v>2026</v>
      </c>
      <c r="I281" s="156">
        <f t="shared" si="1"/>
        <v>36.677694354961062</v>
      </c>
    </row>
    <row r="282" spans="8:65" s="1" customFormat="1" x14ac:dyDescent="0.25">
      <c r="H282">
        <v>2027</v>
      </c>
      <c r="I282" s="156">
        <f t="shared" si="1"/>
        <v>35.019945457561697</v>
      </c>
    </row>
    <row r="283" spans="8:65" s="1" customFormat="1" x14ac:dyDescent="0.25">
      <c r="H283">
        <v>2028</v>
      </c>
      <c r="I283" s="156">
        <f t="shared" si="1"/>
        <v>33.437123063999586</v>
      </c>
    </row>
    <row r="284" spans="8:65" s="1" customFormat="1" x14ac:dyDescent="0.25">
      <c r="H284">
        <v>2029</v>
      </c>
      <c r="I284" s="156">
        <f t="shared" si="1"/>
        <v>31.925840665626726</v>
      </c>
    </row>
    <row r="285" spans="8:65" s="1" customFormat="1" x14ac:dyDescent="0.25">
      <c r="H285">
        <v>2030</v>
      </c>
      <c r="I285" s="156">
        <f t="shared" si="1"/>
        <v>30.482864816332867</v>
      </c>
    </row>
    <row r="286" spans="8:65" s="1" customFormat="1" x14ac:dyDescent="0.25">
      <c r="H286">
        <v>2031</v>
      </c>
      <c r="I286" s="156">
        <f t="shared" si="1"/>
        <v>29.105108214464718</v>
      </c>
    </row>
    <row r="287" spans="8:65" s="1" customFormat="1" x14ac:dyDescent="0.25">
      <c r="H287">
        <v>2032</v>
      </c>
      <c r="I287" s="156">
        <f t="shared" si="1"/>
        <v>27.789623097426766</v>
      </c>
    </row>
    <row r="288" spans="8:65" s="1" customFormat="1" x14ac:dyDescent="0.25">
      <c r="H288">
        <v>2033</v>
      </c>
      <c r="I288" s="156">
        <f t="shared" si="1"/>
        <v>26.533594934831207</v>
      </c>
    </row>
    <row r="289" spans="3:9" s="1" customFormat="1" x14ac:dyDescent="0.25">
      <c r="C289" s="49"/>
      <c r="D289" s="49"/>
      <c r="E289" s="49"/>
      <c r="H289">
        <v>2034</v>
      </c>
      <c r="I289" s="156">
        <f t="shared" si="1"/>
        <v>25.334336406703244</v>
      </c>
    </row>
    <row r="290" spans="3:9" s="1" customFormat="1" x14ac:dyDescent="0.25">
      <c r="C290" s="49"/>
      <c r="D290" s="49"/>
      <c r="E290" s="49"/>
      <c r="H290">
        <v>2035</v>
      </c>
      <c r="I290" s="156">
        <f t="shared" si="1"/>
        <v>24.189281653857901</v>
      </c>
    </row>
    <row r="291" spans="3:9" s="1" customFormat="1" x14ac:dyDescent="0.25">
      <c r="C291" s="49"/>
      <c r="D291" s="49"/>
      <c r="E291" s="49"/>
      <c r="H291">
        <v>2036</v>
      </c>
      <c r="I291" s="156">
        <f t="shared" si="1"/>
        <v>23.095980788146811</v>
      </c>
    </row>
    <row r="292" spans="3:9" s="1" customFormat="1" x14ac:dyDescent="0.25">
      <c r="H292">
        <v>2037</v>
      </c>
      <c r="I292" s="156">
        <f t="shared" si="1"/>
        <v>22.052094650829442</v>
      </c>
    </row>
    <row r="293" spans="3:9" s="1" customFormat="1" x14ac:dyDescent="0.25">
      <c r="H293">
        <v>2038</v>
      </c>
      <c r="I293" s="156">
        <f t="shared" si="1"/>
        <v>21.055389807854102</v>
      </c>
    </row>
    <row r="294" spans="3:9" s="1" customFormat="1" x14ac:dyDescent="0.25">
      <c r="H294">
        <v>2039</v>
      </c>
      <c r="I294" s="156">
        <f t="shared" si="1"/>
        <v>20.103733771340924</v>
      </c>
    </row>
    <row r="295" spans="3:9" s="1" customFormat="1" x14ac:dyDescent="0.25">
      <c r="H295">
        <v>2040</v>
      </c>
      <c r="I295" s="156">
        <f t="shared" si="1"/>
        <v>19.195090437043032</v>
      </c>
    </row>
    <row r="296" spans="3:9" s="1" customFormat="1" x14ac:dyDescent="0.25"/>
    <row r="297" spans="3:9" s="1" customFormat="1" x14ac:dyDescent="0.2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5" x14ac:dyDescent="0.25"/>
  <cols>
    <col min="1" max="1" width="44.140625" bestFit="1" customWidth="1"/>
    <col min="2" max="2" width="25.5703125" bestFit="1" customWidth="1"/>
    <col min="3" max="3" width="50.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57031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1747</v>
      </c>
      <c r="D5" t="s">
        <v>1748</v>
      </c>
    </row>
    <row r="6" spans="1:65" hidden="1" x14ac:dyDescent="0.2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2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2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2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2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2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2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2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2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2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25">
      <c r="A16" t="s">
        <v>1368</v>
      </c>
      <c r="B16" t="s">
        <v>1369</v>
      </c>
      <c r="C16" t="s">
        <v>1747</v>
      </c>
      <c r="D16" t="s">
        <v>1748</v>
      </c>
    </row>
    <row r="17" spans="1:64" hidden="1" x14ac:dyDescent="0.2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2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2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2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2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2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2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2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2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2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2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2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2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2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2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25">
      <c r="A32" t="s">
        <v>1386</v>
      </c>
      <c r="B32" t="s">
        <v>1387</v>
      </c>
      <c r="C32" t="s">
        <v>1747</v>
      </c>
      <c r="D32" t="s">
        <v>1748</v>
      </c>
    </row>
    <row r="33" spans="1:64" hidden="1" x14ac:dyDescent="0.2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2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2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2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2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2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2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2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2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2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25">
      <c r="A43" t="s">
        <v>1245</v>
      </c>
      <c r="B43" t="s">
        <v>1400</v>
      </c>
      <c r="C43" t="s">
        <v>1747</v>
      </c>
      <c r="D43" t="s">
        <v>1748</v>
      </c>
    </row>
    <row r="44" spans="1:64" hidden="1" x14ac:dyDescent="0.2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2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2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2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2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2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2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2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2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2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2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2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25">
      <c r="A56" t="s">
        <v>1417</v>
      </c>
      <c r="B56" t="s">
        <v>1418</v>
      </c>
      <c r="C56" t="s">
        <v>1747</v>
      </c>
      <c r="D56" t="s">
        <v>1748</v>
      </c>
    </row>
    <row r="57" spans="1:64" hidden="1" x14ac:dyDescent="0.25">
      <c r="A57" t="s">
        <v>1419</v>
      </c>
      <c r="B57" t="s">
        <v>1420</v>
      </c>
      <c r="C57" t="s">
        <v>1747</v>
      </c>
      <c r="D57" t="s">
        <v>1748</v>
      </c>
    </row>
    <row r="58" spans="1:64" hidden="1" x14ac:dyDescent="0.2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2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2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2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2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2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2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2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2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2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2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2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2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2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2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2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2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2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2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2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2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2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2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2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25">
      <c r="A83" t="s">
        <v>1456</v>
      </c>
      <c r="B83" t="s">
        <v>1457</v>
      </c>
      <c r="C83" t="s">
        <v>1747</v>
      </c>
      <c r="D83" t="s">
        <v>1748</v>
      </c>
    </row>
    <row r="84" spans="1:64" hidden="1" x14ac:dyDescent="0.2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2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2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2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2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25">
      <c r="A89" t="s">
        <v>1464</v>
      </c>
      <c r="B89" t="s">
        <v>1465</v>
      </c>
      <c r="C89" t="s">
        <v>1747</v>
      </c>
      <c r="D89" t="s">
        <v>1748</v>
      </c>
    </row>
    <row r="90" spans="1:64" hidden="1" x14ac:dyDescent="0.2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2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2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2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2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2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25">
      <c r="A96" t="s">
        <v>1473</v>
      </c>
      <c r="B96" t="s">
        <v>1474</v>
      </c>
      <c r="C96" t="s">
        <v>1747</v>
      </c>
      <c r="D96" t="s">
        <v>1748</v>
      </c>
    </row>
    <row r="97" spans="1:64" hidden="1" x14ac:dyDescent="0.2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25">
      <c r="A98" t="s">
        <v>1223</v>
      </c>
      <c r="B98" t="s">
        <v>1476</v>
      </c>
      <c r="C98" t="s">
        <v>1747</v>
      </c>
      <c r="D98" t="s">
        <v>1748</v>
      </c>
    </row>
    <row r="99" spans="1:64" hidden="1" x14ac:dyDescent="0.2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2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25">
      <c r="A101" t="s">
        <v>1480</v>
      </c>
      <c r="B101" t="s">
        <v>1481</v>
      </c>
      <c r="C101" t="s">
        <v>1747</v>
      </c>
      <c r="D101" t="s">
        <v>1748</v>
      </c>
    </row>
    <row r="102" spans="1:64" hidden="1" x14ac:dyDescent="0.2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2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2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2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2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2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2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2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2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2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2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25">
      <c r="A113" t="s">
        <v>1499</v>
      </c>
      <c r="B113" t="s">
        <v>1500</v>
      </c>
      <c r="C113" t="s">
        <v>1747</v>
      </c>
      <c r="D113" t="s">
        <v>1748</v>
      </c>
    </row>
    <row r="114" spans="1:64" hidden="1" x14ac:dyDescent="0.2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25">
      <c r="A115" t="s">
        <v>1502</v>
      </c>
      <c r="B115" t="s">
        <v>1503</v>
      </c>
      <c r="C115" t="s">
        <v>1747</v>
      </c>
      <c r="D115" t="s">
        <v>1748</v>
      </c>
    </row>
    <row r="116" spans="1:64" hidden="1" x14ac:dyDescent="0.2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2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2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2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2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2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2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2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2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2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2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2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2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2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2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2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2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2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2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2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2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2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2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2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2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2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25">
      <c r="A142" t="s">
        <v>1540</v>
      </c>
      <c r="B142" t="s">
        <v>1541</v>
      </c>
      <c r="C142" t="s">
        <v>1747</v>
      </c>
      <c r="D142" t="s">
        <v>1748</v>
      </c>
    </row>
    <row r="143" spans="1:64" hidden="1" x14ac:dyDescent="0.2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2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2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2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2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2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2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2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25">
      <c r="A151" t="s">
        <v>1553</v>
      </c>
      <c r="B151" t="s">
        <v>1554</v>
      </c>
      <c r="C151" t="s">
        <v>1747</v>
      </c>
      <c r="D151" t="s">
        <v>1748</v>
      </c>
    </row>
    <row r="152" spans="1:64" hidden="1" x14ac:dyDescent="0.25">
      <c r="A152" t="s">
        <v>1555</v>
      </c>
      <c r="B152" t="s">
        <v>1556</v>
      </c>
      <c r="C152" t="s">
        <v>1747</v>
      </c>
      <c r="D152" t="s">
        <v>1748</v>
      </c>
    </row>
    <row r="153" spans="1:64" hidden="1" x14ac:dyDescent="0.2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2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2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2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2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2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2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2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2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2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2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2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2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2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2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2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25">
      <c r="A169" t="s">
        <v>1579</v>
      </c>
      <c r="B169" t="s">
        <v>1580</v>
      </c>
      <c r="C169" t="s">
        <v>1747</v>
      </c>
      <c r="D169" t="s">
        <v>1748</v>
      </c>
    </row>
    <row r="170" spans="1:64" hidden="1" x14ac:dyDescent="0.2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2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2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2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2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2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2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25">
      <c r="A177" t="s">
        <v>1218</v>
      </c>
      <c r="B177" t="s">
        <v>1589</v>
      </c>
      <c r="C177" t="s">
        <v>1747</v>
      </c>
      <c r="D177" t="s">
        <v>1748</v>
      </c>
    </row>
    <row r="178" spans="1:64" hidden="1" x14ac:dyDescent="0.2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2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2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2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2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2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2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2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2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2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2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2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2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2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2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2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2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2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2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25">
      <c r="A197" t="s">
        <v>1184</v>
      </c>
      <c r="B197" t="s">
        <v>1614</v>
      </c>
      <c r="C197" t="s">
        <v>1747</v>
      </c>
      <c r="D197" t="s">
        <v>1748</v>
      </c>
    </row>
    <row r="198" spans="1:64" hidden="1" x14ac:dyDescent="0.2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2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2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2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2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2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25">
      <c r="A204" t="s">
        <v>1227</v>
      </c>
      <c r="B204" t="s">
        <v>1625</v>
      </c>
      <c r="C204" t="s">
        <v>1747</v>
      </c>
      <c r="D204" t="s">
        <v>1748</v>
      </c>
    </row>
    <row r="205" spans="1:64" hidden="1" x14ac:dyDescent="0.2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2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2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2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2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2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2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2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2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2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2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2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2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2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2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2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2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2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2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2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2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2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2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2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2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25">
      <c r="A230" t="s">
        <v>1657</v>
      </c>
      <c r="B230" t="s">
        <v>1658</v>
      </c>
      <c r="C230" t="s">
        <v>1747</v>
      </c>
      <c r="D230" t="s">
        <v>1748</v>
      </c>
    </row>
    <row r="231" spans="1:64" hidden="1" x14ac:dyDescent="0.2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2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25">
      <c r="A233" t="s">
        <v>1661</v>
      </c>
      <c r="B233" t="s">
        <v>1662</v>
      </c>
      <c r="C233" t="s">
        <v>1747</v>
      </c>
      <c r="D233" t="s">
        <v>1748</v>
      </c>
    </row>
    <row r="234" spans="1:64" hidden="1" x14ac:dyDescent="0.2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2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2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2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2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2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2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2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2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2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2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2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2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2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2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2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2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2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2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2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2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2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2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2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2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2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25">
      <c r="A260" t="s">
        <v>1701</v>
      </c>
      <c r="B260" t="s">
        <v>1702</v>
      </c>
      <c r="C260" t="s">
        <v>1747</v>
      </c>
      <c r="D260" t="s">
        <v>1748</v>
      </c>
    </row>
    <row r="261" spans="1:65" hidden="1" x14ac:dyDescent="0.25">
      <c r="A261" t="s">
        <v>1703</v>
      </c>
      <c r="B261" t="s">
        <v>1704</v>
      </c>
      <c r="C261" t="s">
        <v>1747</v>
      </c>
      <c r="D261" t="s">
        <v>1748</v>
      </c>
    </row>
    <row r="262" spans="1:65" hidden="1" x14ac:dyDescent="0.2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2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2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2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25">
      <c r="A266" t="s">
        <v>1710</v>
      </c>
      <c r="B266" t="s">
        <v>1711</v>
      </c>
      <c r="C266" t="s">
        <v>1747</v>
      </c>
      <c r="D266" t="s">
        <v>1748</v>
      </c>
    </row>
    <row r="267" spans="1:65" hidden="1" x14ac:dyDescent="0.2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2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2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2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25"/>
    <row r="272" spans="1:65" s="1" customFormat="1" x14ac:dyDescent="0.2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25">
      <c r="BM273" s="51" t="s">
        <v>1744</v>
      </c>
    </row>
    <row r="274" spans="1:65" s="1" customFormat="1" x14ac:dyDescent="0.25">
      <c r="I274" s="1" t="s">
        <v>1719</v>
      </c>
    </row>
    <row r="275" spans="1:65" s="1" customFormat="1" x14ac:dyDescent="0.25">
      <c r="H275">
        <v>2020</v>
      </c>
      <c r="I275" s="156">
        <f>BL77*$BM$272</f>
        <v>5.6145161290322587</v>
      </c>
    </row>
    <row r="276" spans="1:65" s="1" customFormat="1" x14ac:dyDescent="0.25">
      <c r="H276">
        <v>2021</v>
      </c>
      <c r="I276" s="156">
        <f>I275*$BM$272</f>
        <v>5.3428459937565043</v>
      </c>
    </row>
    <row r="277" spans="1:65" s="1" customFormat="1" x14ac:dyDescent="0.25">
      <c r="H277">
        <v>2022</v>
      </c>
      <c r="I277" s="156">
        <f t="shared" ref="I277:I295" si="1">I276*$BM$272</f>
        <v>5.0843211876069958</v>
      </c>
    </row>
    <row r="278" spans="1:65" s="1" customFormat="1" x14ac:dyDescent="0.25">
      <c r="H278">
        <v>2023</v>
      </c>
      <c r="I278" s="156">
        <f t="shared" si="1"/>
        <v>4.8383056462711735</v>
      </c>
    </row>
    <row r="279" spans="1:65" s="1" customFormat="1" x14ac:dyDescent="0.25">
      <c r="H279">
        <v>2024</v>
      </c>
      <c r="I279" s="156">
        <f t="shared" si="1"/>
        <v>4.6041940827419232</v>
      </c>
    </row>
    <row r="280" spans="1:65" s="1" customFormat="1" x14ac:dyDescent="0.25">
      <c r="H280">
        <v>2025</v>
      </c>
      <c r="I280" s="156">
        <f t="shared" si="1"/>
        <v>4.3814104980931203</v>
      </c>
    </row>
    <row r="281" spans="1:65" s="1" customFormat="1" x14ac:dyDescent="0.25">
      <c r="H281">
        <v>2026</v>
      </c>
      <c r="I281" s="156">
        <f t="shared" si="1"/>
        <v>4.169406764314421</v>
      </c>
    </row>
    <row r="282" spans="1:65" s="1" customFormat="1" x14ac:dyDescent="0.25">
      <c r="H282">
        <v>2027</v>
      </c>
      <c r="I282" s="156">
        <f t="shared" si="1"/>
        <v>3.9676612757185623</v>
      </c>
    </row>
    <row r="283" spans="1:65" s="1" customFormat="1" x14ac:dyDescent="0.25">
      <c r="H283">
        <v>2028</v>
      </c>
      <c r="I283" s="156">
        <f t="shared" si="1"/>
        <v>3.7756776656031481</v>
      </c>
    </row>
    <row r="284" spans="1:65" s="1" customFormat="1" x14ac:dyDescent="0.25">
      <c r="H284">
        <v>2029</v>
      </c>
      <c r="I284" s="156">
        <f t="shared" si="1"/>
        <v>3.5929835850094474</v>
      </c>
    </row>
    <row r="285" spans="1:65" s="1" customFormat="1" x14ac:dyDescent="0.25">
      <c r="H285">
        <v>2030</v>
      </c>
      <c r="I285" s="156">
        <f t="shared" si="1"/>
        <v>3.4191295405735067</v>
      </c>
    </row>
    <row r="286" spans="1:65" s="1" customFormat="1" x14ac:dyDescent="0.25">
      <c r="H286">
        <v>2031</v>
      </c>
      <c r="I286" s="156">
        <f t="shared" si="1"/>
        <v>3.2536877886102729</v>
      </c>
    </row>
    <row r="287" spans="1:65" s="1" customFormat="1" x14ac:dyDescent="0.25">
      <c r="H287">
        <v>2032</v>
      </c>
      <c r="I287" s="156">
        <f t="shared" si="1"/>
        <v>3.0962512827097761</v>
      </c>
    </row>
    <row r="288" spans="1:65" s="1" customFormat="1" x14ac:dyDescent="0.25">
      <c r="A288" s="305" t="s">
        <v>2120</v>
      </c>
      <c r="H288">
        <v>2033</v>
      </c>
      <c r="I288" s="156">
        <f t="shared" si="1"/>
        <v>2.9464326722560772</v>
      </c>
    </row>
    <row r="289" spans="3:9" s="1" customFormat="1" x14ac:dyDescent="0.25">
      <c r="C289" s="49"/>
      <c r="D289" s="49"/>
      <c r="E289" s="49"/>
      <c r="H289">
        <v>2034</v>
      </c>
      <c r="I289" s="156">
        <f t="shared" si="1"/>
        <v>2.8038633494049767</v>
      </c>
    </row>
    <row r="290" spans="3:9" s="1" customFormat="1" x14ac:dyDescent="0.25">
      <c r="C290" s="49"/>
      <c r="D290" s="49"/>
      <c r="E290" s="49"/>
      <c r="H290">
        <v>2035</v>
      </c>
      <c r="I290" s="156">
        <f t="shared" si="1"/>
        <v>2.6681925421757038</v>
      </c>
    </row>
    <row r="291" spans="3:9" s="1" customFormat="1" x14ac:dyDescent="0.25">
      <c r="C291" s="49"/>
      <c r="D291" s="49"/>
      <c r="E291" s="49"/>
      <c r="H291">
        <v>2036</v>
      </c>
      <c r="I291" s="156">
        <f t="shared" si="1"/>
        <v>2.5390864514252667</v>
      </c>
    </row>
    <row r="292" spans="3:9" s="1" customFormat="1" x14ac:dyDescent="0.25">
      <c r="H292">
        <v>2037</v>
      </c>
      <c r="I292" s="156">
        <f t="shared" si="1"/>
        <v>2.4162274295821087</v>
      </c>
    </row>
    <row r="293" spans="3:9" s="1" customFormat="1" x14ac:dyDescent="0.25">
      <c r="H293">
        <v>2038</v>
      </c>
      <c r="I293" s="156">
        <f t="shared" si="1"/>
        <v>2.2993131991184583</v>
      </c>
    </row>
    <row r="294" spans="3:9" s="1" customFormat="1" x14ac:dyDescent="0.25">
      <c r="H294">
        <v>2039</v>
      </c>
      <c r="I294" s="156">
        <f t="shared" si="1"/>
        <v>2.1880561088385329</v>
      </c>
    </row>
    <row r="295" spans="3:9" s="1" customFormat="1" x14ac:dyDescent="0.25">
      <c r="H295">
        <v>2040</v>
      </c>
      <c r="I295" s="156">
        <f t="shared" si="1"/>
        <v>2.0821824261527975</v>
      </c>
    </row>
    <row r="296" spans="3:9" s="1" customFormat="1" x14ac:dyDescent="0.25"/>
    <row r="297" spans="3:9" s="1" customFormat="1" x14ac:dyDescent="0.25"/>
  </sheetData>
  <pageMargins left="0.7" right="0.7" top="0.75" bottom="0.75" header="0.3" footer="0.3"/>
  <pageSetup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71093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1749</v>
      </c>
      <c r="D5" t="s">
        <v>1750</v>
      </c>
    </row>
    <row r="6" spans="1:65" hidden="1" x14ac:dyDescent="0.2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2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2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2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2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2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2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2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2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2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25">
      <c r="A16" t="s">
        <v>1368</v>
      </c>
      <c r="B16" t="s">
        <v>1369</v>
      </c>
      <c r="C16" t="s">
        <v>1749</v>
      </c>
      <c r="D16" t="s">
        <v>1750</v>
      </c>
    </row>
    <row r="17" spans="1:64" hidden="1" x14ac:dyDescent="0.2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2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2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2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2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2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2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2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2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2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2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2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2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2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2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25">
      <c r="A32" t="s">
        <v>1386</v>
      </c>
      <c r="B32" t="s">
        <v>1387</v>
      </c>
      <c r="C32" t="s">
        <v>1749</v>
      </c>
      <c r="D32" t="s">
        <v>1750</v>
      </c>
    </row>
    <row r="33" spans="1:64" hidden="1" x14ac:dyDescent="0.2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2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2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2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2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2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2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2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2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2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25">
      <c r="A43" t="s">
        <v>1245</v>
      </c>
      <c r="B43" t="s">
        <v>1400</v>
      </c>
      <c r="C43" t="s">
        <v>1749</v>
      </c>
      <c r="D43" t="s">
        <v>1750</v>
      </c>
    </row>
    <row r="44" spans="1:64" hidden="1" x14ac:dyDescent="0.2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2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2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2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2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2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2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2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2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2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2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2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25">
      <c r="A56" t="s">
        <v>1417</v>
      </c>
      <c r="B56" t="s">
        <v>1418</v>
      </c>
      <c r="C56" t="s">
        <v>1749</v>
      </c>
      <c r="D56" t="s">
        <v>1750</v>
      </c>
    </row>
    <row r="57" spans="1:64" hidden="1" x14ac:dyDescent="0.25">
      <c r="A57" t="s">
        <v>1419</v>
      </c>
      <c r="B57" t="s">
        <v>1420</v>
      </c>
      <c r="C57" t="s">
        <v>1749</v>
      </c>
      <c r="D57" t="s">
        <v>1750</v>
      </c>
    </row>
    <row r="58" spans="1:64" hidden="1" x14ac:dyDescent="0.2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2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2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2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2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2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2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2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2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2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2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2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2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2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2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2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2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2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2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2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2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2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2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2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25">
      <c r="A83" t="s">
        <v>1456</v>
      </c>
      <c r="B83" t="s">
        <v>1457</v>
      </c>
      <c r="C83" t="s">
        <v>1749</v>
      </c>
      <c r="D83" t="s">
        <v>1750</v>
      </c>
    </row>
    <row r="84" spans="1:64" hidden="1" x14ac:dyDescent="0.2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2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2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2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2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25">
      <c r="A89" t="s">
        <v>1464</v>
      </c>
      <c r="B89" t="s">
        <v>1465</v>
      </c>
      <c r="C89" t="s">
        <v>1749</v>
      </c>
      <c r="D89" t="s">
        <v>1750</v>
      </c>
    </row>
    <row r="90" spans="1:64" hidden="1" x14ac:dyDescent="0.2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2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2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2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2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2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25">
      <c r="A96" t="s">
        <v>1473</v>
      </c>
      <c r="B96" t="s">
        <v>1474</v>
      </c>
      <c r="C96" t="s">
        <v>1749</v>
      </c>
      <c r="D96" t="s">
        <v>1750</v>
      </c>
    </row>
    <row r="97" spans="1:64" hidden="1" x14ac:dyDescent="0.2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25">
      <c r="A98" t="s">
        <v>1223</v>
      </c>
      <c r="B98" t="s">
        <v>1476</v>
      </c>
      <c r="C98" t="s">
        <v>1749</v>
      </c>
      <c r="D98" t="s">
        <v>1750</v>
      </c>
    </row>
    <row r="99" spans="1:64" hidden="1" x14ac:dyDescent="0.2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2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25">
      <c r="A101" t="s">
        <v>1480</v>
      </c>
      <c r="B101" t="s">
        <v>1481</v>
      </c>
      <c r="C101" t="s">
        <v>1749</v>
      </c>
      <c r="D101" t="s">
        <v>1750</v>
      </c>
    </row>
    <row r="102" spans="1:64" hidden="1" x14ac:dyDescent="0.2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2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2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2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2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2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2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2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2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2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2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25">
      <c r="A113" t="s">
        <v>1499</v>
      </c>
      <c r="B113" t="s">
        <v>1500</v>
      </c>
      <c r="C113" t="s">
        <v>1749</v>
      </c>
      <c r="D113" t="s">
        <v>1750</v>
      </c>
    </row>
    <row r="114" spans="1:64" hidden="1" x14ac:dyDescent="0.2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25">
      <c r="A115" t="s">
        <v>1502</v>
      </c>
      <c r="B115" t="s">
        <v>1503</v>
      </c>
      <c r="C115" t="s">
        <v>1749</v>
      </c>
      <c r="D115" t="s">
        <v>1750</v>
      </c>
    </row>
    <row r="116" spans="1:64" hidden="1" x14ac:dyDescent="0.2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2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2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2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2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2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2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2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2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2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2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2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2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2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2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2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2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2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2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2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2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2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2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2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2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2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25">
      <c r="A142" t="s">
        <v>1540</v>
      </c>
      <c r="B142" t="s">
        <v>1541</v>
      </c>
      <c r="C142" t="s">
        <v>1749</v>
      </c>
      <c r="D142" t="s">
        <v>1750</v>
      </c>
    </row>
    <row r="143" spans="1:64" hidden="1" x14ac:dyDescent="0.2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2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2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2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2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2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2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2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25">
      <c r="A151" t="s">
        <v>1553</v>
      </c>
      <c r="B151" t="s">
        <v>1554</v>
      </c>
      <c r="C151" t="s">
        <v>1749</v>
      </c>
      <c r="D151" t="s">
        <v>1750</v>
      </c>
    </row>
    <row r="152" spans="1:64" hidden="1" x14ac:dyDescent="0.25">
      <c r="A152" t="s">
        <v>1555</v>
      </c>
      <c r="B152" t="s">
        <v>1556</v>
      </c>
      <c r="C152" t="s">
        <v>1749</v>
      </c>
      <c r="D152" t="s">
        <v>1750</v>
      </c>
    </row>
    <row r="153" spans="1:64" hidden="1" x14ac:dyDescent="0.2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2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2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2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2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2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2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2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2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2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2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2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2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2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2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2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25">
      <c r="A169" t="s">
        <v>1579</v>
      </c>
      <c r="B169" t="s">
        <v>1580</v>
      </c>
      <c r="C169" t="s">
        <v>1749</v>
      </c>
      <c r="D169" t="s">
        <v>1750</v>
      </c>
    </row>
    <row r="170" spans="1:64" hidden="1" x14ac:dyDescent="0.2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2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2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2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2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2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2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25">
      <c r="A177" t="s">
        <v>1218</v>
      </c>
      <c r="B177" t="s">
        <v>1589</v>
      </c>
      <c r="C177" t="s">
        <v>1749</v>
      </c>
      <c r="D177" t="s">
        <v>1750</v>
      </c>
    </row>
    <row r="178" spans="1:64" hidden="1" x14ac:dyDescent="0.2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2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2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2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2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2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2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2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2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2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2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2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2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2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2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2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2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2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2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25">
      <c r="A197" t="s">
        <v>1184</v>
      </c>
      <c r="B197" t="s">
        <v>1614</v>
      </c>
      <c r="C197" t="s">
        <v>1749</v>
      </c>
      <c r="D197" t="s">
        <v>1750</v>
      </c>
    </row>
    <row r="198" spans="1:64" hidden="1" x14ac:dyDescent="0.2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2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2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2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2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2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25">
      <c r="A204" t="s">
        <v>1227</v>
      </c>
      <c r="B204" t="s">
        <v>1625</v>
      </c>
      <c r="C204" t="s">
        <v>1749</v>
      </c>
      <c r="D204" t="s">
        <v>1750</v>
      </c>
    </row>
    <row r="205" spans="1:64" hidden="1" x14ac:dyDescent="0.2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2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2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2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2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2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2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2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2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2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2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2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2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2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2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2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2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2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2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2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2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2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2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2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2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25">
      <c r="A230" t="s">
        <v>1657</v>
      </c>
      <c r="B230" t="s">
        <v>1658</v>
      </c>
      <c r="C230" t="s">
        <v>1749</v>
      </c>
      <c r="D230" t="s">
        <v>1750</v>
      </c>
    </row>
    <row r="231" spans="1:64" hidden="1" x14ac:dyDescent="0.2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2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25">
      <c r="A233" t="s">
        <v>1661</v>
      </c>
      <c r="B233" t="s">
        <v>1662</v>
      </c>
      <c r="C233" t="s">
        <v>1749</v>
      </c>
      <c r="D233" t="s">
        <v>1750</v>
      </c>
    </row>
    <row r="234" spans="1:64" hidden="1" x14ac:dyDescent="0.2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2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2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2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2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2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2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2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2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2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2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2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2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2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2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2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2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2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2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2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2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2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2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2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2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2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25">
      <c r="A260" t="s">
        <v>1701</v>
      </c>
      <c r="B260" t="s">
        <v>1702</v>
      </c>
      <c r="C260" t="s">
        <v>1749</v>
      </c>
      <c r="D260" t="s">
        <v>1750</v>
      </c>
    </row>
    <row r="261" spans="1:65" hidden="1" x14ac:dyDescent="0.25">
      <c r="A261" t="s">
        <v>1703</v>
      </c>
      <c r="B261" t="s">
        <v>1704</v>
      </c>
      <c r="C261" t="s">
        <v>1749</v>
      </c>
      <c r="D261" t="s">
        <v>1750</v>
      </c>
    </row>
    <row r="262" spans="1:65" hidden="1" x14ac:dyDescent="0.2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2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2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2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25">
      <c r="A266" t="s">
        <v>1710</v>
      </c>
      <c r="B266" t="s">
        <v>1711</v>
      </c>
      <c r="C266" t="s">
        <v>1749</v>
      </c>
      <c r="D266" t="s">
        <v>1750</v>
      </c>
    </row>
    <row r="267" spans="1:65" hidden="1" x14ac:dyDescent="0.2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2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2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2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25"/>
    <row r="272" spans="1:65" s="1" customFormat="1" x14ac:dyDescent="0.2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25">
      <c r="BM273" s="51" t="s">
        <v>1751</v>
      </c>
    </row>
    <row r="274" spans="8:65" s="1" customFormat="1" x14ac:dyDescent="0.25">
      <c r="I274" s="1" t="s">
        <v>1719</v>
      </c>
    </row>
    <row r="275" spans="8:65" s="1" customFormat="1" x14ac:dyDescent="0.25">
      <c r="H275">
        <v>2020</v>
      </c>
      <c r="I275" s="156">
        <f>BL77*$BM$272</f>
        <v>4.6152022792022791</v>
      </c>
    </row>
    <row r="276" spans="8:65" s="1" customFormat="1" x14ac:dyDescent="0.25">
      <c r="H276">
        <v>2021</v>
      </c>
      <c r="I276" s="156">
        <f>I275*$BM$272</f>
        <v>4.4375191829070655</v>
      </c>
    </row>
    <row r="277" spans="8:65" s="1" customFormat="1" x14ac:dyDescent="0.25">
      <c r="H277">
        <v>2022</v>
      </c>
      <c r="I277" s="156">
        <f t="shared" ref="I277:I295" si="1">I276*$BM$272</f>
        <v>4.2666768014492762</v>
      </c>
    </row>
    <row r="278" spans="8:65" s="1" customFormat="1" x14ac:dyDescent="0.25">
      <c r="H278">
        <v>2023</v>
      </c>
      <c r="I278" s="156">
        <f t="shared" si="1"/>
        <v>4.1024117705558734</v>
      </c>
    </row>
    <row r="279" spans="8:65" s="1" customFormat="1" x14ac:dyDescent="0.25">
      <c r="H279">
        <v>2024</v>
      </c>
      <c r="I279" s="156">
        <f t="shared" si="1"/>
        <v>3.9444708653532761</v>
      </c>
    </row>
    <row r="280" spans="8:65" s="1" customFormat="1" x14ac:dyDescent="0.25">
      <c r="H280">
        <v>2025</v>
      </c>
      <c r="I280" s="156">
        <f t="shared" si="1"/>
        <v>3.7926106100052972</v>
      </c>
    </row>
    <row r="281" spans="8:65" s="1" customFormat="1" x14ac:dyDescent="0.25">
      <c r="H281">
        <v>2026</v>
      </c>
      <c r="I281" s="156">
        <f t="shared" si="1"/>
        <v>3.6465969023798324</v>
      </c>
    </row>
    <row r="282" spans="8:65" s="1" customFormat="1" x14ac:dyDescent="0.25">
      <c r="H282">
        <v>2027</v>
      </c>
      <c r="I282" s="156">
        <f t="shared" si="1"/>
        <v>3.5062046531657027</v>
      </c>
    </row>
    <row r="283" spans="8:65" s="1" customFormat="1" x14ac:dyDescent="0.25">
      <c r="H283">
        <v>2028</v>
      </c>
      <c r="I283" s="156">
        <f t="shared" si="1"/>
        <v>3.3712174388833307</v>
      </c>
    </row>
    <row r="284" spans="8:65" s="1" customFormat="1" x14ac:dyDescent="0.25">
      <c r="H284">
        <v>2029</v>
      </c>
      <c r="I284" s="156">
        <f t="shared" si="1"/>
        <v>3.241427168254337</v>
      </c>
    </row>
    <row r="285" spans="8:65" s="1" customFormat="1" x14ac:dyDescent="0.25">
      <c r="H285">
        <v>2030</v>
      </c>
      <c r="I285" s="156">
        <f t="shared" si="1"/>
        <v>3.1166337614157511</v>
      </c>
    </row>
    <row r="286" spans="8:65" s="1" customFormat="1" x14ac:dyDescent="0.25">
      <c r="H286">
        <v>2031</v>
      </c>
      <c r="I286" s="156">
        <f t="shared" si="1"/>
        <v>2.9966448414843225</v>
      </c>
    </row>
    <row r="287" spans="8:65" s="1" customFormat="1" x14ac:dyDescent="0.25">
      <c r="H287">
        <v>2032</v>
      </c>
      <c r="I287" s="156">
        <f t="shared" si="1"/>
        <v>2.8812754379954582</v>
      </c>
    </row>
    <row r="288" spans="8:65" s="1" customFormat="1" x14ac:dyDescent="0.25">
      <c r="H288">
        <v>2033</v>
      </c>
      <c r="I288" s="156">
        <f t="shared" si="1"/>
        <v>2.7703477017596216</v>
      </c>
    </row>
    <row r="289" spans="3:9" s="1" customFormat="1" x14ac:dyDescent="0.25">
      <c r="C289" s="49"/>
      <c r="D289" s="49"/>
      <c r="E289" s="49"/>
      <c r="H289">
        <v>2034</v>
      </c>
      <c r="I289" s="156">
        <f t="shared" si="1"/>
        <v>2.6636906306966255</v>
      </c>
    </row>
    <row r="290" spans="3:9" s="1" customFormat="1" x14ac:dyDescent="0.25">
      <c r="C290" s="49"/>
      <c r="D290" s="49"/>
      <c r="E290" s="49"/>
      <c r="H290">
        <v>2035</v>
      </c>
      <c r="I290" s="156">
        <f t="shared" si="1"/>
        <v>2.5611398062251713</v>
      </c>
    </row>
    <row r="291" spans="3:9" s="1" customFormat="1" x14ac:dyDescent="0.25">
      <c r="C291" s="49"/>
      <c r="D291" s="49"/>
      <c r="E291" s="49"/>
      <c r="H291">
        <v>2036</v>
      </c>
      <c r="I291" s="156">
        <f t="shared" si="1"/>
        <v>2.4625371398012699</v>
      </c>
    </row>
    <row r="292" spans="3:9" s="1" customFormat="1" x14ac:dyDescent="0.25">
      <c r="H292">
        <v>2037</v>
      </c>
      <c r="I292" s="156">
        <f t="shared" si="1"/>
        <v>2.367730629214809</v>
      </c>
    </row>
    <row r="293" spans="3:9" s="1" customFormat="1" x14ac:dyDescent="0.25">
      <c r="H293">
        <v>2038</v>
      </c>
      <c r="I293" s="156">
        <f t="shared" si="1"/>
        <v>2.2765741242685902</v>
      </c>
    </row>
    <row r="294" spans="3:9" s="1" customFormat="1" x14ac:dyDescent="0.25">
      <c r="H294">
        <v>2039</v>
      </c>
      <c r="I294" s="156">
        <f t="shared" si="1"/>
        <v>2.1889271014786105</v>
      </c>
    </row>
    <row r="295" spans="3:9" s="1" customFormat="1" x14ac:dyDescent="0.25">
      <c r="H295">
        <v>2040</v>
      </c>
      <c r="I295" s="156">
        <f t="shared" si="1"/>
        <v>2.1046544474482753</v>
      </c>
    </row>
    <row r="296" spans="3:9" s="1" customFormat="1" x14ac:dyDescent="0.2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8.140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1752</v>
      </c>
      <c r="D5" t="s">
        <v>1753</v>
      </c>
    </row>
    <row r="6" spans="1:65" x14ac:dyDescent="0.2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5">
      <c r="A16" t="s">
        <v>1368</v>
      </c>
      <c r="B16" t="s">
        <v>1369</v>
      </c>
      <c r="C16" t="s">
        <v>1752</v>
      </c>
      <c r="D16" t="s">
        <v>1753</v>
      </c>
    </row>
    <row r="17" spans="1:64" x14ac:dyDescent="0.2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5">
      <c r="A32" t="s">
        <v>1386</v>
      </c>
      <c r="B32" t="s">
        <v>1387</v>
      </c>
      <c r="C32" t="s">
        <v>1752</v>
      </c>
      <c r="D32" t="s">
        <v>1753</v>
      </c>
    </row>
    <row r="33" spans="1:64" x14ac:dyDescent="0.2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5">
      <c r="A43" t="s">
        <v>1245</v>
      </c>
      <c r="B43" t="s">
        <v>1400</v>
      </c>
      <c r="C43" t="s">
        <v>1752</v>
      </c>
      <c r="D43" t="s">
        <v>1753</v>
      </c>
    </row>
    <row r="44" spans="1:64" x14ac:dyDescent="0.2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5">
      <c r="A56" t="s">
        <v>1417</v>
      </c>
      <c r="B56" t="s">
        <v>1418</v>
      </c>
      <c r="C56" t="s">
        <v>1752</v>
      </c>
      <c r="D56" t="s">
        <v>1753</v>
      </c>
    </row>
    <row r="57" spans="1:64" x14ac:dyDescent="0.25">
      <c r="A57" t="s">
        <v>1419</v>
      </c>
      <c r="B57" t="s">
        <v>1420</v>
      </c>
      <c r="C57" t="s">
        <v>1752</v>
      </c>
      <c r="D57" t="s">
        <v>1753</v>
      </c>
    </row>
    <row r="58" spans="1:64" x14ac:dyDescent="0.2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5">
      <c r="A83" t="s">
        <v>1456</v>
      </c>
      <c r="B83" t="s">
        <v>1457</v>
      </c>
      <c r="C83" t="s">
        <v>1752</v>
      </c>
      <c r="D83" t="s">
        <v>1753</v>
      </c>
    </row>
    <row r="84" spans="1:64" x14ac:dyDescent="0.2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5">
      <c r="A89" t="s">
        <v>1464</v>
      </c>
      <c r="B89" t="s">
        <v>1465</v>
      </c>
      <c r="C89" t="s">
        <v>1752</v>
      </c>
      <c r="D89" t="s">
        <v>1753</v>
      </c>
    </row>
    <row r="90" spans="1:64" x14ac:dyDescent="0.2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5">
      <c r="A96" t="s">
        <v>1473</v>
      </c>
      <c r="B96" t="s">
        <v>1474</v>
      </c>
      <c r="C96" t="s">
        <v>1752</v>
      </c>
      <c r="D96" t="s">
        <v>1753</v>
      </c>
    </row>
    <row r="97" spans="1:64" x14ac:dyDescent="0.2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5">
      <c r="A98" t="s">
        <v>1223</v>
      </c>
      <c r="B98" t="s">
        <v>1476</v>
      </c>
      <c r="C98" t="s">
        <v>1752</v>
      </c>
      <c r="D98" t="s">
        <v>1753</v>
      </c>
    </row>
    <row r="99" spans="1:64" x14ac:dyDescent="0.2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5">
      <c r="A101" t="s">
        <v>1480</v>
      </c>
      <c r="B101" t="s">
        <v>1481</v>
      </c>
      <c r="C101" t="s">
        <v>1752</v>
      </c>
      <c r="D101" t="s">
        <v>1753</v>
      </c>
    </row>
    <row r="102" spans="1:64" x14ac:dyDescent="0.2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5">
      <c r="A113" t="s">
        <v>1499</v>
      </c>
      <c r="B113" t="s">
        <v>1500</v>
      </c>
      <c r="C113" t="s">
        <v>1752</v>
      </c>
      <c r="D113" t="s">
        <v>1753</v>
      </c>
    </row>
    <row r="114" spans="1:64" x14ac:dyDescent="0.2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5">
      <c r="A115" t="s">
        <v>1502</v>
      </c>
      <c r="B115" t="s">
        <v>1503</v>
      </c>
      <c r="C115" t="s">
        <v>1752</v>
      </c>
      <c r="D115" t="s">
        <v>1753</v>
      </c>
    </row>
    <row r="116" spans="1:64" x14ac:dyDescent="0.2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5">
      <c r="A142" t="s">
        <v>1540</v>
      </c>
      <c r="B142" t="s">
        <v>1541</v>
      </c>
      <c r="C142" t="s">
        <v>1752</v>
      </c>
      <c r="D142" t="s">
        <v>1753</v>
      </c>
    </row>
    <row r="143" spans="1:64" x14ac:dyDescent="0.2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5">
      <c r="A151" t="s">
        <v>1553</v>
      </c>
      <c r="B151" t="s">
        <v>1554</v>
      </c>
      <c r="C151" t="s">
        <v>1752</v>
      </c>
      <c r="D151" t="s">
        <v>1753</v>
      </c>
    </row>
    <row r="152" spans="1:64" x14ac:dyDescent="0.25">
      <c r="A152" t="s">
        <v>1555</v>
      </c>
      <c r="B152" t="s">
        <v>1556</v>
      </c>
      <c r="C152" t="s">
        <v>1752</v>
      </c>
      <c r="D152" t="s">
        <v>1753</v>
      </c>
    </row>
    <row r="153" spans="1:64" x14ac:dyDescent="0.2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5">
      <c r="A169" t="s">
        <v>1579</v>
      </c>
      <c r="B169" t="s">
        <v>1580</v>
      </c>
      <c r="C169" t="s">
        <v>1752</v>
      </c>
      <c r="D169" t="s">
        <v>1753</v>
      </c>
    </row>
    <row r="170" spans="1:64" x14ac:dyDescent="0.2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5">
      <c r="A177" t="s">
        <v>1218</v>
      </c>
      <c r="B177" t="s">
        <v>1589</v>
      </c>
      <c r="C177" t="s">
        <v>1752</v>
      </c>
      <c r="D177" t="s">
        <v>1753</v>
      </c>
    </row>
    <row r="178" spans="1:64" x14ac:dyDescent="0.2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5">
      <c r="A197" t="s">
        <v>1184</v>
      </c>
      <c r="B197" t="s">
        <v>1614</v>
      </c>
      <c r="C197" t="s">
        <v>1752</v>
      </c>
      <c r="D197" t="s">
        <v>1753</v>
      </c>
    </row>
    <row r="198" spans="1:64" x14ac:dyDescent="0.2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5">
      <c r="A204" t="s">
        <v>1227</v>
      </c>
      <c r="B204" t="s">
        <v>1625</v>
      </c>
      <c r="C204" t="s">
        <v>1752</v>
      </c>
      <c r="D204" t="s">
        <v>1753</v>
      </c>
    </row>
    <row r="205" spans="1:64" x14ac:dyDescent="0.2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5">
      <c r="A230" t="s">
        <v>1657</v>
      </c>
      <c r="B230" t="s">
        <v>1658</v>
      </c>
      <c r="C230" t="s">
        <v>1752</v>
      </c>
      <c r="D230" t="s">
        <v>1753</v>
      </c>
    </row>
    <row r="231" spans="1:64" x14ac:dyDescent="0.2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5">
      <c r="A233" t="s">
        <v>1661</v>
      </c>
      <c r="B233" t="s">
        <v>1662</v>
      </c>
      <c r="C233" t="s">
        <v>1752</v>
      </c>
      <c r="D233" t="s">
        <v>1753</v>
      </c>
    </row>
    <row r="234" spans="1:64" x14ac:dyDescent="0.2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5">
      <c r="A260" t="s">
        <v>1701</v>
      </c>
      <c r="B260" t="s">
        <v>1702</v>
      </c>
      <c r="C260" t="s">
        <v>1752</v>
      </c>
      <c r="D260" t="s">
        <v>1753</v>
      </c>
    </row>
    <row r="261" spans="1:65" x14ac:dyDescent="0.25">
      <c r="A261" t="s">
        <v>1703</v>
      </c>
      <c r="B261" t="s">
        <v>1704</v>
      </c>
      <c r="C261" t="s">
        <v>1752</v>
      </c>
      <c r="D261" t="s">
        <v>1753</v>
      </c>
    </row>
    <row r="262" spans="1:65" x14ac:dyDescent="0.2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5">
      <c r="A266" t="s">
        <v>1710</v>
      </c>
      <c r="B266" t="s">
        <v>1711</v>
      </c>
      <c r="C266" t="s">
        <v>1752</v>
      </c>
      <c r="D266" t="s">
        <v>1753</v>
      </c>
    </row>
    <row r="267" spans="1:65" x14ac:dyDescent="0.2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25"/>
    <row r="272" spans="1:65" s="1" customFormat="1" x14ac:dyDescent="0.2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25">
      <c r="BM273" s="51" t="s">
        <v>1751</v>
      </c>
    </row>
    <row r="274" spans="8:65" s="1" customFormat="1" x14ac:dyDescent="0.25">
      <c r="I274" s="1" t="s">
        <v>1719</v>
      </c>
    </row>
    <row r="275" spans="8:65" s="1" customFormat="1" x14ac:dyDescent="0.25">
      <c r="H275">
        <v>2020</v>
      </c>
      <c r="I275" s="156">
        <f>BL77*$BM$272</f>
        <v>7.7207035615679338</v>
      </c>
    </row>
    <row r="276" spans="8:65" s="1" customFormat="1" x14ac:dyDescent="0.25">
      <c r="H276">
        <v>2021</v>
      </c>
      <c r="I276" s="156">
        <f>I275*$BM$272</f>
        <v>7.4511579357009721</v>
      </c>
    </row>
    <row r="277" spans="8:65" s="1" customFormat="1" x14ac:dyDescent="0.25">
      <c r="H277">
        <v>2022</v>
      </c>
      <c r="I277" s="156">
        <f t="shared" ref="I277:I295" si="1">I276*$BM$272</f>
        <v>7.1910227014964585</v>
      </c>
    </row>
    <row r="278" spans="8:65" s="1" customFormat="1" x14ac:dyDescent="0.25">
      <c r="H278">
        <v>2023</v>
      </c>
      <c r="I278" s="156">
        <f t="shared" si="1"/>
        <v>6.9399693228449468</v>
      </c>
    </row>
    <row r="279" spans="8:65" s="1" customFormat="1" x14ac:dyDescent="0.25">
      <c r="H279">
        <v>2024</v>
      </c>
      <c r="I279" s="156">
        <f t="shared" si="1"/>
        <v>6.6976807335076476</v>
      </c>
    </row>
    <row r="280" spans="8:65" s="1" customFormat="1" x14ac:dyDescent="0.25">
      <c r="H280">
        <v>2025</v>
      </c>
      <c r="I280" s="156">
        <f t="shared" si="1"/>
        <v>6.4638509366796786</v>
      </c>
    </row>
    <row r="281" spans="8:65" s="1" customFormat="1" x14ac:dyDescent="0.25">
      <c r="H281">
        <v>2026</v>
      </c>
      <c r="I281" s="156">
        <f t="shared" si="1"/>
        <v>6.2381846185333778</v>
      </c>
    </row>
    <row r="282" spans="8:65" s="1" customFormat="1" x14ac:dyDescent="0.25">
      <c r="H282">
        <v>2027</v>
      </c>
      <c r="I282" s="156">
        <f t="shared" si="1"/>
        <v>6.0203967752536194</v>
      </c>
    </row>
    <row r="283" spans="8:65" s="1" customFormat="1" x14ac:dyDescent="0.25">
      <c r="H283">
        <v>2028</v>
      </c>
      <c r="I283" s="156">
        <f t="shared" si="1"/>
        <v>5.8102123530940899</v>
      </c>
    </row>
    <row r="284" spans="8:65" s="1" customFormat="1" x14ac:dyDescent="0.25">
      <c r="H284">
        <v>2029</v>
      </c>
      <c r="I284" s="156">
        <f t="shared" si="1"/>
        <v>5.6073659009999428</v>
      </c>
    </row>
    <row r="285" spans="8:65" s="1" customFormat="1" x14ac:dyDescent="0.25">
      <c r="H285">
        <v>2030</v>
      </c>
      <c r="I285" s="156">
        <f t="shared" si="1"/>
        <v>5.4116012353581056</v>
      </c>
    </row>
    <row r="286" spans="8:65" s="1" customFormat="1" x14ac:dyDescent="0.25">
      <c r="H286">
        <v>2031</v>
      </c>
      <c r="I286" s="156">
        <f t="shared" si="1"/>
        <v>5.2226711164518447</v>
      </c>
    </row>
    <row r="287" spans="8:65" s="1" customFormat="1" x14ac:dyDescent="0.25">
      <c r="H287">
        <v>2032</v>
      </c>
      <c r="I287" s="156">
        <f t="shared" si="1"/>
        <v>5.0403369362109665</v>
      </c>
    </row>
    <row r="288" spans="8:65" s="1" customFormat="1" x14ac:dyDescent="0.25">
      <c r="H288">
        <v>2033</v>
      </c>
      <c r="I288" s="156">
        <f t="shared" si="1"/>
        <v>4.8643684168633019</v>
      </c>
    </row>
    <row r="289" spans="3:9" s="1" customFormat="1" x14ac:dyDescent="0.25">
      <c r="C289" s="49"/>
      <c r="D289" s="49"/>
      <c r="E289" s="49"/>
      <c r="H289">
        <v>2034</v>
      </c>
      <c r="I289" s="156">
        <f t="shared" si="1"/>
        <v>4.6945433201068836</v>
      </c>
    </row>
    <row r="290" spans="3:9" s="1" customFormat="1" x14ac:dyDescent="0.25">
      <c r="C290" s="49"/>
      <c r="D290" s="49"/>
      <c r="E290" s="49"/>
      <c r="H290">
        <v>2035</v>
      </c>
      <c r="I290" s="156">
        <f t="shared" si="1"/>
        <v>4.5306471664355215</v>
      </c>
    </row>
    <row r="291" spans="3:9" s="1" customFormat="1" x14ac:dyDescent="0.25">
      <c r="C291" s="49"/>
      <c r="D291" s="49"/>
      <c r="E291" s="49"/>
      <c r="H291">
        <v>2036</v>
      </c>
      <c r="I291" s="156">
        <f t="shared" si="1"/>
        <v>4.3724729642632996</v>
      </c>
    </row>
    <row r="292" spans="3:9" s="1" customFormat="1" x14ac:dyDescent="0.25">
      <c r="H292">
        <v>2037</v>
      </c>
      <c r="I292" s="156">
        <f t="shared" si="1"/>
        <v>4.2198209485058946</v>
      </c>
    </row>
    <row r="293" spans="3:9" s="1" customFormat="1" x14ac:dyDescent="0.25">
      <c r="H293">
        <v>2038</v>
      </c>
      <c r="I293" s="156">
        <f t="shared" si="1"/>
        <v>4.072498328288555</v>
      </c>
    </row>
    <row r="294" spans="3:9" s="1" customFormat="1" x14ac:dyDescent="0.25">
      <c r="H294">
        <v>2039</v>
      </c>
      <c r="I294" s="156">
        <f t="shared" si="1"/>
        <v>3.9303190434621129</v>
      </c>
    </row>
    <row r="295" spans="3:9" s="1" customFormat="1" x14ac:dyDescent="0.25">
      <c r="H295">
        <v>2040</v>
      </c>
      <c r="I295" s="156">
        <f t="shared" si="1"/>
        <v>3.7931035296195263</v>
      </c>
    </row>
    <row r="296" spans="3:9" s="1" customFormat="1" x14ac:dyDescent="0.2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5" x14ac:dyDescent="0.25"/>
  <cols>
    <col min="1" max="1" width="44.140625" bestFit="1" customWidth="1"/>
    <col min="2" max="2" width="25.5703125" bestFit="1" customWidth="1"/>
    <col min="3" max="3" width="50.710937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13.855468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1754</v>
      </c>
      <c r="D5" t="s">
        <v>1755</v>
      </c>
    </row>
    <row r="6" spans="1:65" x14ac:dyDescent="0.2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5">
      <c r="A16" t="s">
        <v>1368</v>
      </c>
      <c r="B16" t="s">
        <v>1369</v>
      </c>
      <c r="C16" t="s">
        <v>1754</v>
      </c>
      <c r="D16" t="s">
        <v>1755</v>
      </c>
    </row>
    <row r="17" spans="1:64" x14ac:dyDescent="0.2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5">
      <c r="A32" t="s">
        <v>1386</v>
      </c>
      <c r="B32" t="s">
        <v>1387</v>
      </c>
      <c r="C32" t="s">
        <v>1754</v>
      </c>
      <c r="D32" t="s">
        <v>1755</v>
      </c>
    </row>
    <row r="33" spans="1:64" x14ac:dyDescent="0.2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5">
      <c r="A43" t="s">
        <v>1245</v>
      </c>
      <c r="B43" t="s">
        <v>1400</v>
      </c>
      <c r="C43" t="s">
        <v>1754</v>
      </c>
      <c r="D43" t="s">
        <v>1755</v>
      </c>
    </row>
    <row r="44" spans="1:64" x14ac:dyDescent="0.2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5">
      <c r="A56" t="s">
        <v>1417</v>
      </c>
      <c r="B56" t="s">
        <v>1418</v>
      </c>
      <c r="C56" t="s">
        <v>1754</v>
      </c>
      <c r="D56" t="s">
        <v>1755</v>
      </c>
    </row>
    <row r="57" spans="1:64" x14ac:dyDescent="0.25">
      <c r="A57" t="s">
        <v>1419</v>
      </c>
      <c r="B57" t="s">
        <v>1420</v>
      </c>
      <c r="C57" t="s">
        <v>1754</v>
      </c>
      <c r="D57" t="s">
        <v>1755</v>
      </c>
    </row>
    <row r="58" spans="1:64" x14ac:dyDescent="0.2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5">
      <c r="A83" t="s">
        <v>1456</v>
      </c>
      <c r="B83" t="s">
        <v>1457</v>
      </c>
      <c r="C83" t="s">
        <v>1754</v>
      </c>
      <c r="D83" t="s">
        <v>1755</v>
      </c>
    </row>
    <row r="84" spans="1:64" x14ac:dyDescent="0.2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5">
      <c r="A89" t="s">
        <v>1464</v>
      </c>
      <c r="B89" t="s">
        <v>1465</v>
      </c>
      <c r="C89" t="s">
        <v>1754</v>
      </c>
      <c r="D89" t="s">
        <v>1755</v>
      </c>
    </row>
    <row r="90" spans="1:64" x14ac:dyDescent="0.2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5">
      <c r="A96" t="s">
        <v>1473</v>
      </c>
      <c r="B96" t="s">
        <v>1474</v>
      </c>
      <c r="C96" t="s">
        <v>1754</v>
      </c>
      <c r="D96" t="s">
        <v>1755</v>
      </c>
    </row>
    <row r="97" spans="1:64" x14ac:dyDescent="0.2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5">
      <c r="A98" t="s">
        <v>1223</v>
      </c>
      <c r="B98" t="s">
        <v>1476</v>
      </c>
      <c r="C98" t="s">
        <v>1754</v>
      </c>
      <c r="D98" t="s">
        <v>1755</v>
      </c>
    </row>
    <row r="99" spans="1:64" x14ac:dyDescent="0.2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5">
      <c r="A101" t="s">
        <v>1480</v>
      </c>
      <c r="B101" t="s">
        <v>1481</v>
      </c>
      <c r="C101" t="s">
        <v>1754</v>
      </c>
      <c r="D101" t="s">
        <v>1755</v>
      </c>
    </row>
    <row r="102" spans="1:64" x14ac:dyDescent="0.2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5">
      <c r="A113" t="s">
        <v>1499</v>
      </c>
      <c r="B113" t="s">
        <v>1500</v>
      </c>
      <c r="C113" t="s">
        <v>1754</v>
      </c>
      <c r="D113" t="s">
        <v>1755</v>
      </c>
    </row>
    <row r="114" spans="1:64" x14ac:dyDescent="0.2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5">
      <c r="A115" t="s">
        <v>1502</v>
      </c>
      <c r="B115" t="s">
        <v>1503</v>
      </c>
      <c r="C115" t="s">
        <v>1754</v>
      </c>
      <c r="D115" t="s">
        <v>1755</v>
      </c>
    </row>
    <row r="116" spans="1:64" x14ac:dyDescent="0.2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5">
      <c r="A142" t="s">
        <v>1540</v>
      </c>
      <c r="B142" t="s">
        <v>1541</v>
      </c>
      <c r="C142" t="s">
        <v>1754</v>
      </c>
      <c r="D142" t="s">
        <v>1755</v>
      </c>
    </row>
    <row r="143" spans="1:64" x14ac:dyDescent="0.2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5">
      <c r="A151" t="s">
        <v>1553</v>
      </c>
      <c r="B151" t="s">
        <v>1554</v>
      </c>
      <c r="C151" t="s">
        <v>1754</v>
      </c>
      <c r="D151" t="s">
        <v>1755</v>
      </c>
    </row>
    <row r="152" spans="1:64" x14ac:dyDescent="0.25">
      <c r="A152" t="s">
        <v>1555</v>
      </c>
      <c r="B152" t="s">
        <v>1556</v>
      </c>
      <c r="C152" t="s">
        <v>1754</v>
      </c>
      <c r="D152" t="s">
        <v>1755</v>
      </c>
    </row>
    <row r="153" spans="1:64" x14ac:dyDescent="0.2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5">
      <c r="A169" t="s">
        <v>1579</v>
      </c>
      <c r="B169" t="s">
        <v>1580</v>
      </c>
      <c r="C169" t="s">
        <v>1754</v>
      </c>
      <c r="D169" t="s">
        <v>1755</v>
      </c>
    </row>
    <row r="170" spans="1:64" x14ac:dyDescent="0.2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5">
      <c r="A177" t="s">
        <v>1218</v>
      </c>
      <c r="B177" t="s">
        <v>1589</v>
      </c>
      <c r="C177" t="s">
        <v>1754</v>
      </c>
      <c r="D177" t="s">
        <v>1755</v>
      </c>
    </row>
    <row r="178" spans="1:64" x14ac:dyDescent="0.2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5">
      <c r="A197" t="s">
        <v>1184</v>
      </c>
      <c r="B197" t="s">
        <v>1614</v>
      </c>
      <c r="C197" t="s">
        <v>1754</v>
      </c>
      <c r="D197" t="s">
        <v>1755</v>
      </c>
    </row>
    <row r="198" spans="1:64" x14ac:dyDescent="0.2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5">
      <c r="A204" t="s">
        <v>1227</v>
      </c>
      <c r="B204" t="s">
        <v>1625</v>
      </c>
      <c r="C204" t="s">
        <v>1754</v>
      </c>
      <c r="D204" t="s">
        <v>1755</v>
      </c>
    </row>
    <row r="205" spans="1:64" x14ac:dyDescent="0.2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5">
      <c r="A230" t="s">
        <v>1657</v>
      </c>
      <c r="B230" t="s">
        <v>1658</v>
      </c>
      <c r="C230" t="s">
        <v>1754</v>
      </c>
      <c r="D230" t="s">
        <v>1755</v>
      </c>
    </row>
    <row r="231" spans="1:64" x14ac:dyDescent="0.2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5">
      <c r="A233" t="s">
        <v>1661</v>
      </c>
      <c r="B233" t="s">
        <v>1662</v>
      </c>
      <c r="C233" t="s">
        <v>1754</v>
      </c>
      <c r="D233" t="s">
        <v>1755</v>
      </c>
    </row>
    <row r="234" spans="1:64" x14ac:dyDescent="0.2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5">
      <c r="A260" t="s">
        <v>1701</v>
      </c>
      <c r="B260" t="s">
        <v>1702</v>
      </c>
      <c r="C260" t="s">
        <v>1754</v>
      </c>
      <c r="D260" t="s">
        <v>1755</v>
      </c>
    </row>
    <row r="261" spans="1:65" x14ac:dyDescent="0.25">
      <c r="A261" t="s">
        <v>1703</v>
      </c>
      <c r="B261" t="s">
        <v>1704</v>
      </c>
      <c r="C261" t="s">
        <v>1754</v>
      </c>
      <c r="D261" t="s">
        <v>1755</v>
      </c>
    </row>
    <row r="262" spans="1:65" x14ac:dyDescent="0.2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5">
      <c r="A266" t="s">
        <v>1710</v>
      </c>
      <c r="B266" t="s">
        <v>1711</v>
      </c>
      <c r="C266" t="s">
        <v>1754</v>
      </c>
      <c r="D266" t="s">
        <v>1755</v>
      </c>
    </row>
    <row r="267" spans="1:65" x14ac:dyDescent="0.2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25"/>
    <row r="272" spans="1:65" s="1" customFormat="1" x14ac:dyDescent="0.2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25">
      <c r="BM273" s="51" t="s">
        <v>1756</v>
      </c>
    </row>
    <row r="274" spans="8:65" s="1" customFormat="1" x14ac:dyDescent="0.25">
      <c r="I274" s="1" t="s">
        <v>1719</v>
      </c>
    </row>
    <row r="275" spans="8:65" s="1" customFormat="1" x14ac:dyDescent="0.25">
      <c r="H275">
        <v>2020</v>
      </c>
      <c r="I275" s="156">
        <f>BL77*$BM$272</f>
        <v>8.5011494252873554</v>
      </c>
    </row>
    <row r="276" spans="8:65" s="1" customFormat="1" x14ac:dyDescent="0.25">
      <c r="H276">
        <v>2021</v>
      </c>
      <c r="I276" s="156">
        <f>I275*$BM$272</f>
        <v>8.403435064077156</v>
      </c>
    </row>
    <row r="277" spans="8:65" s="1" customFormat="1" x14ac:dyDescent="0.25">
      <c r="H277">
        <v>2022</v>
      </c>
      <c r="I277" s="156">
        <f t="shared" ref="I277:I295" si="1">I276*$BM$272</f>
        <v>8.3068438564440861</v>
      </c>
    </row>
    <row r="278" spans="8:65" s="1" customFormat="1" x14ac:dyDescent="0.25">
      <c r="H278">
        <v>2023</v>
      </c>
      <c r="I278" s="156">
        <f t="shared" si="1"/>
        <v>8.2113628925769131</v>
      </c>
    </row>
    <row r="279" spans="8:65" s="1" customFormat="1" x14ac:dyDescent="0.25">
      <c r="H279">
        <v>2024</v>
      </c>
      <c r="I279" s="156">
        <f t="shared" si="1"/>
        <v>8.1169794110530411</v>
      </c>
    </row>
    <row r="280" spans="8:65" s="1" customFormat="1" x14ac:dyDescent="0.25">
      <c r="H280">
        <v>2025</v>
      </c>
      <c r="I280" s="156">
        <f t="shared" si="1"/>
        <v>8.0236807971328918</v>
      </c>
    </row>
    <row r="281" spans="8:65" s="1" customFormat="1" x14ac:dyDescent="0.25">
      <c r="H281">
        <v>2026</v>
      </c>
      <c r="I281" s="156">
        <f t="shared" si="1"/>
        <v>7.9314545810738935</v>
      </c>
    </row>
    <row r="282" spans="8:65" s="1" customFormat="1" x14ac:dyDescent="0.25">
      <c r="H282">
        <v>2027</v>
      </c>
      <c r="I282" s="156">
        <f t="shared" si="1"/>
        <v>7.8402884364638492</v>
      </c>
    </row>
    <row r="283" spans="8:65" s="1" customFormat="1" x14ac:dyDescent="0.25">
      <c r="H283">
        <v>2028</v>
      </c>
      <c r="I283" s="156">
        <f t="shared" si="1"/>
        <v>7.7501701785734607</v>
      </c>
    </row>
    <row r="284" spans="8:65" s="1" customFormat="1" x14ac:dyDescent="0.25">
      <c r="H284">
        <v>2029</v>
      </c>
      <c r="I284" s="156">
        <f t="shared" si="1"/>
        <v>7.6610877627277887</v>
      </c>
    </row>
    <row r="285" spans="8:65" s="1" customFormat="1" x14ac:dyDescent="0.25">
      <c r="H285">
        <v>2030</v>
      </c>
      <c r="I285" s="156">
        <f t="shared" si="1"/>
        <v>7.5730292826964352</v>
      </c>
    </row>
    <row r="286" spans="8:65" s="1" customFormat="1" x14ac:dyDescent="0.25">
      <c r="H286">
        <v>2031</v>
      </c>
      <c r="I286" s="156">
        <f t="shared" si="1"/>
        <v>7.4859829691022233</v>
      </c>
    </row>
    <row r="287" spans="8:65" s="1" customFormat="1" x14ac:dyDescent="0.25">
      <c r="H287">
        <v>2032</v>
      </c>
      <c r="I287" s="156">
        <f t="shared" si="1"/>
        <v>7.3999371878481748</v>
      </c>
    </row>
    <row r="288" spans="8:65" s="1" customFormat="1" x14ac:dyDescent="0.25">
      <c r="H288">
        <v>2033</v>
      </c>
      <c r="I288" s="156">
        <f t="shared" si="1"/>
        <v>7.3148804385625636</v>
      </c>
    </row>
    <row r="289" spans="3:9" s="1" customFormat="1" x14ac:dyDescent="0.25">
      <c r="C289" s="49"/>
      <c r="D289" s="49"/>
      <c r="E289" s="49"/>
      <c r="H289">
        <v>2034</v>
      </c>
      <c r="I289" s="156">
        <f t="shared" si="1"/>
        <v>7.2308013530618442</v>
      </c>
    </row>
    <row r="290" spans="3:9" s="1" customFormat="1" x14ac:dyDescent="0.25">
      <c r="C290" s="49"/>
      <c r="D290" s="49"/>
      <c r="E290" s="49"/>
      <c r="H290">
        <v>2035</v>
      </c>
      <c r="I290" s="156">
        <f t="shared" si="1"/>
        <v>7.1476886938312481</v>
      </c>
    </row>
    <row r="291" spans="3:9" s="1" customFormat="1" x14ac:dyDescent="0.25">
      <c r="C291" s="49"/>
      <c r="D291" s="49"/>
      <c r="E291" s="49"/>
      <c r="H291">
        <v>2036</v>
      </c>
      <c r="I291" s="156">
        <f t="shared" si="1"/>
        <v>7.0655313525228429</v>
      </c>
    </row>
    <row r="292" spans="3:9" s="1" customFormat="1" x14ac:dyDescent="0.25">
      <c r="H292">
        <v>2037</v>
      </c>
      <c r="I292" s="156">
        <f t="shared" si="1"/>
        <v>6.9843183484708566</v>
      </c>
    </row>
    <row r="293" spans="3:9" s="1" customFormat="1" x14ac:dyDescent="0.25">
      <c r="H293">
        <v>2038</v>
      </c>
      <c r="I293" s="156">
        <f t="shared" si="1"/>
        <v>6.9040388272240651</v>
      </c>
    </row>
    <row r="294" spans="3:9" s="1" customFormat="1" x14ac:dyDescent="0.25">
      <c r="H294">
        <v>2039</v>
      </c>
      <c r="I294" s="156">
        <f t="shared" si="1"/>
        <v>6.8246820590950534</v>
      </c>
    </row>
    <row r="295" spans="3:9" s="1" customFormat="1" x14ac:dyDescent="0.25">
      <c r="H295">
        <v>2040</v>
      </c>
      <c r="I295" s="156">
        <f t="shared" si="1"/>
        <v>6.7462374377261449</v>
      </c>
    </row>
    <row r="296" spans="3:9" s="1" customFormat="1" x14ac:dyDescent="0.2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5" x14ac:dyDescent="0.25"/>
  <cols>
    <col min="1" max="1" width="44.140625" bestFit="1" customWidth="1"/>
    <col min="2" max="2" width="25.5703125" bestFit="1" customWidth="1"/>
    <col min="3" max="3" width="44.42578125" bestFit="1" customWidth="1"/>
    <col min="4" max="4" width="14.5703125" bestFit="1" customWidth="1"/>
    <col min="5" max="64" width="11.42578125" bestFit="1" customWidth="1"/>
    <col min="65" max="65" width="7.71093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5">
      <c r="A11" t="s">
        <v>1361</v>
      </c>
      <c r="B11" t="s">
        <v>1362</v>
      </c>
      <c r="C11" t="s">
        <v>1757</v>
      </c>
      <c r="D11" t="s">
        <v>1758</v>
      </c>
    </row>
    <row r="12" spans="1:65" x14ac:dyDescent="0.2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5">
      <c r="A16" t="s">
        <v>1368</v>
      </c>
      <c r="B16" t="s">
        <v>1369</v>
      </c>
      <c r="C16" t="s">
        <v>1757</v>
      </c>
      <c r="D16" t="s">
        <v>1758</v>
      </c>
    </row>
    <row r="17" spans="1:64" x14ac:dyDescent="0.2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5">
      <c r="A32" t="s">
        <v>1386</v>
      </c>
      <c r="B32" t="s">
        <v>1387</v>
      </c>
      <c r="C32" t="s">
        <v>1757</v>
      </c>
      <c r="D32" t="s">
        <v>1758</v>
      </c>
    </row>
    <row r="33" spans="1:64" x14ac:dyDescent="0.2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5">
      <c r="A57" t="s">
        <v>1419</v>
      </c>
      <c r="B57" t="s">
        <v>1420</v>
      </c>
      <c r="C57" t="s">
        <v>1757</v>
      </c>
      <c r="D57" t="s">
        <v>1758</v>
      </c>
    </row>
    <row r="58" spans="1:64" x14ac:dyDescent="0.2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5">
      <c r="A62" t="s">
        <v>1426</v>
      </c>
      <c r="B62" t="s">
        <v>1427</v>
      </c>
      <c r="C62" t="s">
        <v>1757</v>
      </c>
      <c r="D62" t="s">
        <v>1758</v>
      </c>
      <c r="AI62">
        <v>113.320444611404</v>
      </c>
      <c r="AS62">
        <v>105</v>
      </c>
    </row>
    <row r="63" spans="1:64" x14ac:dyDescent="0.2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5">
      <c r="A83" t="s">
        <v>1456</v>
      </c>
      <c r="B83" t="s">
        <v>1457</v>
      </c>
      <c r="C83" t="s">
        <v>1757</v>
      </c>
      <c r="D83" t="s">
        <v>1758</v>
      </c>
    </row>
    <row r="84" spans="1:64" x14ac:dyDescent="0.2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5">
      <c r="A89" t="s">
        <v>1464</v>
      </c>
      <c r="B89" t="s">
        <v>1465</v>
      </c>
      <c r="C89" t="s">
        <v>1757</v>
      </c>
      <c r="D89" t="s">
        <v>1758</v>
      </c>
    </row>
    <row r="90" spans="1:64" x14ac:dyDescent="0.2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5">
      <c r="A96" t="s">
        <v>1473</v>
      </c>
      <c r="B96" t="s">
        <v>1474</v>
      </c>
      <c r="C96" t="s">
        <v>1757</v>
      </c>
      <c r="D96" t="s">
        <v>1758</v>
      </c>
      <c r="AQ96">
        <v>196.58066841752901</v>
      </c>
      <c r="AR96">
        <v>202.680412371134</v>
      </c>
      <c r="AS96">
        <v>185.568065506653</v>
      </c>
      <c r="AT96">
        <v>179.56561639645199</v>
      </c>
    </row>
    <row r="97" spans="1:64" x14ac:dyDescent="0.2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5">
      <c r="A113" t="s">
        <v>1499</v>
      </c>
      <c r="B113" t="s">
        <v>1500</v>
      </c>
      <c r="C113" t="s">
        <v>1757</v>
      </c>
      <c r="D113" t="s">
        <v>1758</v>
      </c>
    </row>
    <row r="114" spans="1:64" x14ac:dyDescent="0.2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5">
      <c r="A115" t="s">
        <v>1502</v>
      </c>
      <c r="B115" t="s">
        <v>1503</v>
      </c>
      <c r="C115" t="s">
        <v>1757</v>
      </c>
      <c r="D115" t="s">
        <v>1758</v>
      </c>
    </row>
    <row r="116" spans="1:64" x14ac:dyDescent="0.2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5">
      <c r="A130" t="s">
        <v>1520</v>
      </c>
      <c r="B130" t="s">
        <v>1521</v>
      </c>
      <c r="C130" t="s">
        <v>1757</v>
      </c>
      <c r="D130" t="s">
        <v>1758</v>
      </c>
      <c r="AI130">
        <v>164.692978104546</v>
      </c>
      <c r="AS130">
        <v>148</v>
      </c>
    </row>
    <row r="131" spans="1:64" x14ac:dyDescent="0.2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5">
      <c r="A142" t="s">
        <v>1540</v>
      </c>
      <c r="B142" t="s">
        <v>1541</v>
      </c>
      <c r="C142" t="s">
        <v>1757</v>
      </c>
      <c r="D142" t="s">
        <v>1758</v>
      </c>
    </row>
    <row r="143" spans="1:64" x14ac:dyDescent="0.2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5">
      <c r="A152" t="s">
        <v>1555</v>
      </c>
      <c r="B152" t="s">
        <v>1556</v>
      </c>
      <c r="C152" t="s">
        <v>1757</v>
      </c>
      <c r="D152" t="s">
        <v>1758</v>
      </c>
    </row>
    <row r="153" spans="1:64" x14ac:dyDescent="0.2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5">
      <c r="A154" t="s">
        <v>1558</v>
      </c>
      <c r="B154" t="s">
        <v>1559</v>
      </c>
      <c r="C154" t="s">
        <v>1757</v>
      </c>
      <c r="D154" t="s">
        <v>1758</v>
      </c>
    </row>
    <row r="155" spans="1:64" x14ac:dyDescent="0.2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5">
      <c r="A160" t="s">
        <v>1567</v>
      </c>
      <c r="B160" t="s">
        <v>1568</v>
      </c>
      <c r="C160" t="s">
        <v>1757</v>
      </c>
      <c r="D160" t="s">
        <v>1758</v>
      </c>
      <c r="AS160">
        <v>230</v>
      </c>
    </row>
    <row r="161" spans="1:64" x14ac:dyDescent="0.2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5">
      <c r="A169" t="s">
        <v>1579</v>
      </c>
      <c r="B169" t="s">
        <v>1580</v>
      </c>
      <c r="C169" t="s">
        <v>1757</v>
      </c>
      <c r="D169" t="s">
        <v>1758</v>
      </c>
    </row>
    <row r="170" spans="1:64" x14ac:dyDescent="0.2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5">
      <c r="A184" t="s">
        <v>1596</v>
      </c>
      <c r="B184" t="s">
        <v>1597</v>
      </c>
      <c r="C184" t="s">
        <v>1757</v>
      </c>
      <c r="D184" t="s">
        <v>1758</v>
      </c>
    </row>
    <row r="185" spans="1:64" x14ac:dyDescent="0.2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5">
      <c r="A193" t="s">
        <v>1608</v>
      </c>
      <c r="B193" t="s">
        <v>1609</v>
      </c>
      <c r="C193" t="s">
        <v>1757</v>
      </c>
      <c r="D193" t="s">
        <v>1758</v>
      </c>
    </row>
    <row r="194" spans="1:64" x14ac:dyDescent="0.2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5">
      <c r="A217" t="s">
        <v>1639</v>
      </c>
      <c r="B217" t="s">
        <v>1640</v>
      </c>
      <c r="C217" t="s">
        <v>1757</v>
      </c>
      <c r="D217" t="s">
        <v>1758</v>
      </c>
    </row>
    <row r="218" spans="1:64" x14ac:dyDescent="0.2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5">
      <c r="A230" t="s">
        <v>1657</v>
      </c>
      <c r="B230" t="s">
        <v>1658</v>
      </c>
      <c r="C230" t="s">
        <v>1757</v>
      </c>
      <c r="D230" t="s">
        <v>1758</v>
      </c>
    </row>
    <row r="231" spans="1:64" x14ac:dyDescent="0.2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5">
      <c r="A233" t="s">
        <v>1661</v>
      </c>
      <c r="B233" t="s">
        <v>1662</v>
      </c>
      <c r="C233" t="s">
        <v>1757</v>
      </c>
      <c r="D233" t="s">
        <v>1758</v>
      </c>
    </row>
    <row r="234" spans="1:64" x14ac:dyDescent="0.2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5">
      <c r="A250" t="s">
        <v>1685</v>
      </c>
      <c r="B250" t="s">
        <v>1686</v>
      </c>
      <c r="C250" t="s">
        <v>1757</v>
      </c>
      <c r="D250" t="s">
        <v>1758</v>
      </c>
    </row>
    <row r="251" spans="1:64" x14ac:dyDescent="0.2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5">
      <c r="A260" t="s">
        <v>1701</v>
      </c>
      <c r="B260" t="s">
        <v>1702</v>
      </c>
      <c r="C260" t="s">
        <v>1757</v>
      </c>
      <c r="D260" t="s">
        <v>1758</v>
      </c>
    </row>
    <row r="261" spans="1:65" x14ac:dyDescent="0.2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5">
      <c r="A266" t="s">
        <v>1710</v>
      </c>
      <c r="B266" t="s">
        <v>1711</v>
      </c>
      <c r="C266" t="s">
        <v>1757</v>
      </c>
      <c r="D266" t="s">
        <v>1758</v>
      </c>
    </row>
    <row r="267" spans="1:65" x14ac:dyDescent="0.2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25"/>
    <row r="272" spans="1:65" s="1" customFormat="1" x14ac:dyDescent="0.2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25">
      <c r="BM273" s="51" t="s">
        <v>2119</v>
      </c>
    </row>
    <row r="274" spans="8:65" s="1" customFormat="1" x14ac:dyDescent="0.25">
      <c r="I274" s="1" t="s">
        <v>1719</v>
      </c>
    </row>
    <row r="275" spans="8:65" s="1" customFormat="1" x14ac:dyDescent="0.25">
      <c r="H275">
        <v>2020</v>
      </c>
      <c r="I275" s="156">
        <f>BL77*$BM$272</f>
        <v>177.49377387123394</v>
      </c>
    </row>
    <row r="276" spans="8:65" s="1" customFormat="1" x14ac:dyDescent="0.25">
      <c r="H276">
        <v>2021</v>
      </c>
      <c r="I276" s="156">
        <f>I275*$BM$272</f>
        <v>173.95743704129566</v>
      </c>
    </row>
    <row r="277" spans="8:65" s="1" customFormat="1" x14ac:dyDescent="0.25">
      <c r="H277">
        <v>2022</v>
      </c>
      <c r="I277" s="156">
        <f t="shared" ref="I277:I295" si="1">I276*$BM$272</f>
        <v>170.49155720769039</v>
      </c>
    </row>
    <row r="278" spans="8:65" s="1" customFormat="1" x14ac:dyDescent="0.25">
      <c r="H278">
        <v>2023</v>
      </c>
      <c r="I278" s="156">
        <f t="shared" si="1"/>
        <v>167.09473060472189</v>
      </c>
    </row>
    <row r="279" spans="8:65" s="1" customFormat="1" x14ac:dyDescent="0.25">
      <c r="H279">
        <v>2024</v>
      </c>
      <c r="I279" s="156">
        <f t="shared" si="1"/>
        <v>163.76558143493313</v>
      </c>
    </row>
    <row r="280" spans="8:65" s="1" customFormat="1" x14ac:dyDescent="0.25">
      <c r="H280">
        <v>2025</v>
      </c>
      <c r="I280" s="156">
        <f t="shared" si="1"/>
        <v>160.50276131187488</v>
      </c>
    </row>
    <row r="281" spans="8:65" s="1" customFormat="1" x14ac:dyDescent="0.25">
      <c r="H281">
        <v>2026</v>
      </c>
      <c r="I281" s="156">
        <f t="shared" si="1"/>
        <v>157.30494871397642</v>
      </c>
    </row>
    <row r="282" spans="8:65" s="1" customFormat="1" x14ac:dyDescent="0.25">
      <c r="H282">
        <v>2027</v>
      </c>
      <c r="I282" s="156">
        <f t="shared" si="1"/>
        <v>154.17084844929698</v>
      </c>
    </row>
    <row r="283" spans="8:65" s="1" customFormat="1" x14ac:dyDescent="0.25">
      <c r="H283">
        <v>2028</v>
      </c>
      <c r="I283" s="156">
        <f t="shared" si="1"/>
        <v>151.09919113094165</v>
      </c>
    </row>
    <row r="284" spans="8:65" s="1" customFormat="1" x14ac:dyDescent="0.25">
      <c r="H284">
        <v>2029</v>
      </c>
      <c r="I284" s="156">
        <f t="shared" si="1"/>
        <v>148.08873266292869</v>
      </c>
    </row>
    <row r="285" spans="8:65" s="1" customFormat="1" x14ac:dyDescent="0.25">
      <c r="H285">
        <v>2030</v>
      </c>
      <c r="I285" s="156">
        <f t="shared" si="1"/>
        <v>145.13825373630044</v>
      </c>
    </row>
    <row r="286" spans="8:65" s="1" customFormat="1" x14ac:dyDescent="0.25">
      <c r="H286">
        <v>2031</v>
      </c>
      <c r="I286" s="156">
        <f t="shared" si="1"/>
        <v>142.24655933527342</v>
      </c>
    </row>
    <row r="287" spans="8:65" s="1" customFormat="1" x14ac:dyDescent="0.25">
      <c r="H287">
        <v>2032</v>
      </c>
      <c r="I287" s="156">
        <f t="shared" si="1"/>
        <v>139.4124782532279</v>
      </c>
    </row>
    <row r="288" spans="8:65" s="1" customFormat="1" x14ac:dyDescent="0.25">
      <c r="H288">
        <v>2033</v>
      </c>
      <c r="I288" s="156">
        <f t="shared" si="1"/>
        <v>136.63486261834078</v>
      </c>
    </row>
    <row r="289" spans="3:9" s="1" customFormat="1" x14ac:dyDescent="0.25">
      <c r="C289" s="49"/>
      <c r="D289" s="49"/>
      <c r="E289" s="49"/>
      <c r="H289">
        <v>2034</v>
      </c>
      <c r="I289" s="156">
        <f t="shared" si="1"/>
        <v>133.91258742866944</v>
      </c>
    </row>
    <row r="290" spans="3:9" s="1" customFormat="1" x14ac:dyDescent="0.25">
      <c r="C290" s="49"/>
      <c r="D290" s="49"/>
      <c r="E290" s="49"/>
      <c r="H290">
        <v>2035</v>
      </c>
      <c r="I290" s="156">
        <f t="shared" si="1"/>
        <v>131.24455009649864</v>
      </c>
    </row>
    <row r="291" spans="3:9" s="1" customFormat="1" x14ac:dyDescent="0.25">
      <c r="C291" s="49"/>
      <c r="D291" s="49"/>
      <c r="E291" s="49"/>
      <c r="H291">
        <v>2036</v>
      </c>
      <c r="I291" s="156">
        <f t="shared" si="1"/>
        <v>128.62967000176565</v>
      </c>
    </row>
    <row r="292" spans="3:9" s="1" customFormat="1" x14ac:dyDescent="0.25">
      <c r="H292">
        <v>2037</v>
      </c>
      <c r="I292" s="156">
        <f t="shared" si="1"/>
        <v>126.0668880543828</v>
      </c>
    </row>
    <row r="293" spans="3:9" s="1" customFormat="1" x14ac:dyDescent="0.25">
      <c r="H293">
        <v>2038</v>
      </c>
      <c r="I293" s="156">
        <f t="shared" si="1"/>
        <v>123.55516626528025</v>
      </c>
    </row>
    <row r="294" spans="3:9" s="1" customFormat="1" x14ac:dyDescent="0.25">
      <c r="H294">
        <v>2039</v>
      </c>
      <c r="I294" s="156">
        <f t="shared" si="1"/>
        <v>121.0934873259951</v>
      </c>
    </row>
    <row r="295" spans="3:9" s="1" customFormat="1" x14ac:dyDescent="0.25">
      <c r="H295">
        <v>2040</v>
      </c>
      <c r="I295" s="156">
        <f t="shared" si="1"/>
        <v>118.68085419663674</v>
      </c>
    </row>
    <row r="296" spans="3:9" s="1" customFormat="1" x14ac:dyDescent="0.25"/>
  </sheetData>
  <pageMargins left="0.7" right="0.7" top="0.75" bottom="0.75" header="0.3" footer="0.3"/>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5" x14ac:dyDescent="0.25"/>
  <cols>
    <col min="1" max="1" width="44.140625" bestFit="1" customWidth="1"/>
    <col min="2" max="2" width="25.5703125" bestFit="1" customWidth="1"/>
    <col min="3" max="3" width="41.140625" bestFit="1" customWidth="1"/>
    <col min="4" max="4" width="15.5703125" bestFit="1" customWidth="1"/>
    <col min="5" max="64" width="11.42578125" bestFit="1" customWidth="1"/>
    <col min="65" max="65" width="10.855468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5">
      <c r="A11" t="s">
        <v>1361</v>
      </c>
      <c r="B11" t="s">
        <v>1362</v>
      </c>
      <c r="C11" t="s">
        <v>1760</v>
      </c>
      <c r="D11" t="s">
        <v>1761</v>
      </c>
    </row>
    <row r="12" spans="1:65" x14ac:dyDescent="0.2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5">
      <c r="A16" t="s">
        <v>1368</v>
      </c>
      <c r="B16" t="s">
        <v>1369</v>
      </c>
      <c r="C16" t="s">
        <v>1760</v>
      </c>
      <c r="D16" t="s">
        <v>1761</v>
      </c>
    </row>
    <row r="17" spans="1:64" x14ac:dyDescent="0.2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5">
      <c r="A32" t="s">
        <v>1386</v>
      </c>
      <c r="B32" t="s">
        <v>1387</v>
      </c>
      <c r="C32" t="s">
        <v>1760</v>
      </c>
      <c r="D32" t="s">
        <v>1761</v>
      </c>
    </row>
    <row r="33" spans="1:64" x14ac:dyDescent="0.2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5">
      <c r="A57" t="s">
        <v>1419</v>
      </c>
      <c r="B57" t="s">
        <v>1420</v>
      </c>
      <c r="C57" t="s">
        <v>1760</v>
      </c>
      <c r="D57" t="s">
        <v>1761</v>
      </c>
    </row>
    <row r="58" spans="1:64" x14ac:dyDescent="0.2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5">
      <c r="A62" t="s">
        <v>1426</v>
      </c>
      <c r="B62" t="s">
        <v>1427</v>
      </c>
      <c r="C62" t="s">
        <v>1760</v>
      </c>
      <c r="D62" t="s">
        <v>1761</v>
      </c>
      <c r="AI62">
        <v>154.17685339798601</v>
      </c>
      <c r="AS62">
        <v>183</v>
      </c>
    </row>
    <row r="63" spans="1:64" x14ac:dyDescent="0.2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5">
      <c r="A83" t="s">
        <v>1456</v>
      </c>
      <c r="B83" t="s">
        <v>1457</v>
      </c>
      <c r="C83" t="s">
        <v>1760</v>
      </c>
      <c r="D83" t="s">
        <v>1761</v>
      </c>
    </row>
    <row r="84" spans="1:64" x14ac:dyDescent="0.2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5">
      <c r="A89" t="s">
        <v>1464</v>
      </c>
      <c r="B89" t="s">
        <v>1465</v>
      </c>
      <c r="C89" t="s">
        <v>1760</v>
      </c>
      <c r="D89" t="s">
        <v>1761</v>
      </c>
    </row>
    <row r="90" spans="1:64" x14ac:dyDescent="0.2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5">
      <c r="A96" t="s">
        <v>1473</v>
      </c>
      <c r="B96" t="s">
        <v>1474</v>
      </c>
      <c r="C96" t="s">
        <v>1760</v>
      </c>
      <c r="D96" t="s">
        <v>1761</v>
      </c>
      <c r="AQ96">
        <v>271.90385858122602</v>
      </c>
      <c r="AR96">
        <v>280.94445600166398</v>
      </c>
      <c r="AS96">
        <v>273.811994189666</v>
      </c>
      <c r="AT96">
        <v>261.03169670602898</v>
      </c>
    </row>
    <row r="97" spans="1:64" x14ac:dyDescent="0.2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5">
      <c r="A113" t="s">
        <v>1499</v>
      </c>
      <c r="B113" t="s">
        <v>1500</v>
      </c>
      <c r="C113" t="s">
        <v>1760</v>
      </c>
      <c r="D113" t="s">
        <v>1761</v>
      </c>
    </row>
    <row r="114" spans="1:64" x14ac:dyDescent="0.2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5">
      <c r="A115" t="s">
        <v>1502</v>
      </c>
      <c r="B115" t="s">
        <v>1503</v>
      </c>
      <c r="C115" t="s">
        <v>1760</v>
      </c>
      <c r="D115" t="s">
        <v>1761</v>
      </c>
    </row>
    <row r="116" spans="1:64" x14ac:dyDescent="0.2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5">
      <c r="A130" t="s">
        <v>1520</v>
      </c>
      <c r="B130" t="s">
        <v>1521</v>
      </c>
      <c r="C130" t="s">
        <v>1760</v>
      </c>
      <c r="D130" t="s">
        <v>1761</v>
      </c>
      <c r="AI130">
        <v>226.567960142533</v>
      </c>
      <c r="AS130">
        <v>243</v>
      </c>
    </row>
    <row r="131" spans="1:64" x14ac:dyDescent="0.2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5">
      <c r="A142" t="s">
        <v>1540</v>
      </c>
      <c r="B142" t="s">
        <v>1541</v>
      </c>
      <c r="C142" t="s">
        <v>1760</v>
      </c>
      <c r="D142" t="s">
        <v>1761</v>
      </c>
    </row>
    <row r="143" spans="1:64" x14ac:dyDescent="0.2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5">
      <c r="A152" t="s">
        <v>1555</v>
      </c>
      <c r="B152" t="s">
        <v>1556</v>
      </c>
      <c r="C152" t="s">
        <v>1760</v>
      </c>
      <c r="D152" t="s">
        <v>1761</v>
      </c>
    </row>
    <row r="153" spans="1:64" x14ac:dyDescent="0.2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5">
      <c r="A154" t="s">
        <v>1558</v>
      </c>
      <c r="B154" t="s">
        <v>1559</v>
      </c>
      <c r="C154" t="s">
        <v>1760</v>
      </c>
      <c r="D154" t="s">
        <v>1761</v>
      </c>
    </row>
    <row r="155" spans="1:64" x14ac:dyDescent="0.2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5">
      <c r="A160" t="s">
        <v>1567</v>
      </c>
      <c r="B160" t="s">
        <v>1568</v>
      </c>
      <c r="C160" t="s">
        <v>1760</v>
      </c>
      <c r="D160" t="s">
        <v>1761</v>
      </c>
      <c r="AS160">
        <v>302</v>
      </c>
    </row>
    <row r="161" spans="1:64" x14ac:dyDescent="0.2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5">
      <c r="A169" t="s">
        <v>1579</v>
      </c>
      <c r="B169" t="s">
        <v>1580</v>
      </c>
      <c r="C169" t="s">
        <v>1760</v>
      </c>
      <c r="D169" t="s">
        <v>1761</v>
      </c>
    </row>
    <row r="170" spans="1:64" x14ac:dyDescent="0.2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5">
      <c r="A184" t="s">
        <v>1596</v>
      </c>
      <c r="B184" t="s">
        <v>1597</v>
      </c>
      <c r="C184" t="s">
        <v>1760</v>
      </c>
      <c r="D184" t="s">
        <v>1761</v>
      </c>
    </row>
    <row r="185" spans="1:64" x14ac:dyDescent="0.2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5">
      <c r="A193" t="s">
        <v>1608</v>
      </c>
      <c r="B193" t="s">
        <v>1609</v>
      </c>
      <c r="C193" t="s">
        <v>1760</v>
      </c>
      <c r="D193" t="s">
        <v>1761</v>
      </c>
    </row>
    <row r="194" spans="1:64" x14ac:dyDescent="0.2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5">
      <c r="A217" t="s">
        <v>1639</v>
      </c>
      <c r="B217" t="s">
        <v>1640</v>
      </c>
      <c r="C217" t="s">
        <v>1760</v>
      </c>
      <c r="D217" t="s">
        <v>1761</v>
      </c>
    </row>
    <row r="218" spans="1:64" x14ac:dyDescent="0.2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5">
      <c r="A230" t="s">
        <v>1657</v>
      </c>
      <c r="B230" t="s">
        <v>1658</v>
      </c>
      <c r="C230" t="s">
        <v>1760</v>
      </c>
      <c r="D230" t="s">
        <v>1761</v>
      </c>
    </row>
    <row r="231" spans="1:64" x14ac:dyDescent="0.2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5">
      <c r="A233" t="s">
        <v>1661</v>
      </c>
      <c r="B233" t="s">
        <v>1662</v>
      </c>
      <c r="C233" t="s">
        <v>1760</v>
      </c>
      <c r="D233" t="s">
        <v>1761</v>
      </c>
    </row>
    <row r="234" spans="1:64" x14ac:dyDescent="0.2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5">
      <c r="A250" t="s">
        <v>1685</v>
      </c>
      <c r="B250" t="s">
        <v>1686</v>
      </c>
      <c r="C250" t="s">
        <v>1760</v>
      </c>
      <c r="D250" t="s">
        <v>1761</v>
      </c>
    </row>
    <row r="251" spans="1:64" x14ac:dyDescent="0.2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5">
      <c r="A260" t="s">
        <v>1701</v>
      </c>
      <c r="B260" t="s">
        <v>1702</v>
      </c>
      <c r="C260" t="s">
        <v>1760</v>
      </c>
      <c r="D260" t="s">
        <v>1761</v>
      </c>
    </row>
    <row r="261" spans="1:65" x14ac:dyDescent="0.2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5">
      <c r="A266" t="s">
        <v>1710</v>
      </c>
      <c r="B266" t="s">
        <v>1711</v>
      </c>
      <c r="C266" t="s">
        <v>1760</v>
      </c>
      <c r="D266" t="s">
        <v>1761</v>
      </c>
    </row>
    <row r="267" spans="1:65" x14ac:dyDescent="0.2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25"/>
    <row r="272" spans="1:65" s="1" customFormat="1" x14ac:dyDescent="0.2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25">
      <c r="BM273" s="51" t="s">
        <v>1759</v>
      </c>
    </row>
    <row r="274" spans="8:65" s="1" customFormat="1" x14ac:dyDescent="0.25">
      <c r="I274" s="1" t="s">
        <v>1719</v>
      </c>
    </row>
    <row r="275" spans="8:65" s="1" customFormat="1" x14ac:dyDescent="0.25">
      <c r="H275">
        <v>2020</v>
      </c>
      <c r="I275" s="156">
        <f>BL77*$BM$272</f>
        <v>229.62535887096067</v>
      </c>
    </row>
    <row r="276" spans="8:65" s="1" customFormat="1" x14ac:dyDescent="0.25">
      <c r="H276">
        <v>2021</v>
      </c>
      <c r="I276" s="156">
        <f>I275*$BM$272</f>
        <v>226.13751275531047</v>
      </c>
    </row>
    <row r="277" spans="8:65" s="1" customFormat="1" x14ac:dyDescent="0.25">
      <c r="H277">
        <v>2022</v>
      </c>
      <c r="I277" s="156">
        <f t="shared" ref="I277:I295" si="1">I276*$BM$272</f>
        <v>222.70264454500256</v>
      </c>
    </row>
    <row r="278" spans="8:65" s="1" customFormat="1" x14ac:dyDescent="0.25">
      <c r="H278">
        <v>2023</v>
      </c>
      <c r="I278" s="156">
        <f t="shared" si="1"/>
        <v>219.31994954328101</v>
      </c>
    </row>
    <row r="279" spans="8:65" s="1" customFormat="1" x14ac:dyDescent="0.25">
      <c r="H279">
        <v>2024</v>
      </c>
      <c r="I279" s="156">
        <f t="shared" si="1"/>
        <v>215.98863527616209</v>
      </c>
    </row>
    <row r="280" spans="8:65" s="1" customFormat="1" x14ac:dyDescent="0.25">
      <c r="H280">
        <v>2025</v>
      </c>
      <c r="I280" s="156">
        <f t="shared" si="1"/>
        <v>212.70792130677907</v>
      </c>
    </row>
    <row r="281" spans="8:65" s="1" customFormat="1" x14ac:dyDescent="0.25">
      <c r="H281">
        <v>2026</v>
      </c>
      <c r="I281" s="156">
        <f t="shared" si="1"/>
        <v>209.4770390525469</v>
      </c>
    </row>
    <row r="282" spans="8:65" s="1" customFormat="1" x14ac:dyDescent="0.25">
      <c r="H282">
        <v>2027</v>
      </c>
      <c r="I282" s="156">
        <f t="shared" si="1"/>
        <v>206.29523160510416</v>
      </c>
    </row>
    <row r="283" spans="8:65" s="1" customFormat="1" x14ac:dyDescent="0.25">
      <c r="H283">
        <v>2028</v>
      </c>
      <c r="I283" s="156">
        <f t="shared" si="1"/>
        <v>203.16175355298986</v>
      </c>
    </row>
    <row r="284" spans="8:65" s="1" customFormat="1" x14ac:dyDescent="0.25">
      <c r="H284">
        <v>2029</v>
      </c>
      <c r="I284" s="156">
        <f t="shared" si="1"/>
        <v>200.0758708070137</v>
      </c>
    </row>
    <row r="285" spans="8:65" s="1" customFormat="1" x14ac:dyDescent="0.25">
      <c r="H285">
        <v>2030</v>
      </c>
      <c r="I285" s="156">
        <f t="shared" si="1"/>
        <v>197.0368604282788</v>
      </c>
    </row>
    <row r="286" spans="8:65" s="1" customFormat="1" x14ac:dyDescent="0.25">
      <c r="H286">
        <v>2031</v>
      </c>
      <c r="I286" s="156">
        <f t="shared" si="1"/>
        <v>194.04401045881667</v>
      </c>
    </row>
    <row r="287" spans="8:65" s="1" customFormat="1" x14ac:dyDescent="0.25">
      <c r="H287">
        <v>2032</v>
      </c>
      <c r="I287" s="156">
        <f t="shared" si="1"/>
        <v>191.09661975479472</v>
      </c>
    </row>
    <row r="288" spans="8:65" s="1" customFormat="1" x14ac:dyDescent="0.25">
      <c r="H288">
        <v>2033</v>
      </c>
      <c r="I288" s="156">
        <f t="shared" si="1"/>
        <v>188.19399782225722</v>
      </c>
    </row>
    <row r="289" spans="3:9" s="1" customFormat="1" x14ac:dyDescent="0.25">
      <c r="C289" s="49"/>
      <c r="D289" s="49"/>
      <c r="E289" s="49"/>
      <c r="H289">
        <v>2034</v>
      </c>
      <c r="I289" s="156">
        <f t="shared" si="1"/>
        <v>185.33546465536119</v>
      </c>
    </row>
    <row r="290" spans="3:9" s="1" customFormat="1" x14ac:dyDescent="0.25">
      <c r="C290" s="49"/>
      <c r="D290" s="49"/>
      <c r="E290" s="49"/>
      <c r="H290">
        <v>2035</v>
      </c>
      <c r="I290" s="156">
        <f t="shared" si="1"/>
        <v>182.52035057706948</v>
      </c>
    </row>
    <row r="291" spans="3:9" s="1" customFormat="1" x14ac:dyDescent="0.25">
      <c r="C291" s="49"/>
      <c r="D291" s="49"/>
      <c r="E291" s="49"/>
      <c r="H291">
        <v>2036</v>
      </c>
      <c r="I291" s="156">
        <f t="shared" si="1"/>
        <v>179.74799608226348</v>
      </c>
    </row>
    <row r="292" spans="3:9" s="1" customFormat="1" x14ac:dyDescent="0.25">
      <c r="H292">
        <v>2037</v>
      </c>
      <c r="I292" s="156">
        <f t="shared" si="1"/>
        <v>177.01775168323897</v>
      </c>
    </row>
    <row r="293" spans="3:9" s="1" customFormat="1" x14ac:dyDescent="0.25">
      <c r="H293">
        <v>2038</v>
      </c>
      <c r="I293" s="156">
        <f t="shared" si="1"/>
        <v>174.32897775754867</v>
      </c>
    </row>
    <row r="294" spans="3:9" s="1" customFormat="1" x14ac:dyDescent="0.25">
      <c r="H294">
        <v>2039</v>
      </c>
      <c r="I294" s="156">
        <f t="shared" si="1"/>
        <v>171.68104439815596</v>
      </c>
    </row>
    <row r="295" spans="3:9" s="1" customFormat="1" x14ac:dyDescent="0.25">
      <c r="H295">
        <v>2040</v>
      </c>
      <c r="I295" s="156">
        <f t="shared" si="1"/>
        <v>169.07333126586477</v>
      </c>
    </row>
    <row r="296" spans="3:9" s="1" customFormat="1" x14ac:dyDescent="0.25"/>
  </sheetData>
  <pageMargins left="0.7" right="0.7" top="0.75" bottom="0.75" header="0.3" footer="0.3"/>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5" x14ac:dyDescent="0.25"/>
  <cols>
    <col min="1" max="1" width="13.85546875" bestFit="1" customWidth="1"/>
    <col min="2" max="4" width="16.140625" customWidth="1"/>
    <col min="5" max="5" width="20.42578125" bestFit="1" customWidth="1"/>
    <col min="6" max="6" width="15.5703125" style="89" customWidth="1"/>
    <col min="7" max="7" width="14.42578125" style="195" bestFit="1" customWidth="1"/>
    <col min="8" max="8" width="14.85546875" style="287" bestFit="1" customWidth="1"/>
  </cols>
  <sheetData>
    <row r="1" spans="1:8" x14ac:dyDescent="0.25">
      <c r="A1" s="186" t="s">
        <v>1915</v>
      </c>
      <c r="B1" s="186" t="s">
        <v>1916</v>
      </c>
      <c r="C1" s="186" t="s">
        <v>1917</v>
      </c>
      <c r="D1" s="186" t="s">
        <v>1918</v>
      </c>
      <c r="E1" s="186" t="s">
        <v>2082</v>
      </c>
      <c r="F1" s="282" t="s">
        <v>2079</v>
      </c>
      <c r="G1" s="285" t="s">
        <v>2080</v>
      </c>
      <c r="H1" s="286" t="s">
        <v>2081</v>
      </c>
    </row>
    <row r="2" spans="1:8" x14ac:dyDescent="0.2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25">
      <c r="A3" t="s">
        <v>68</v>
      </c>
      <c r="B3" s="89">
        <f>Tasks_previous!R11</f>
        <v>2.8409800837628687</v>
      </c>
      <c r="C3" s="89">
        <f>Tasks_previous!S11</f>
        <v>2.8409800837628687</v>
      </c>
      <c r="D3" s="89">
        <f>C3/(20/60)</f>
        <v>8.5229402512886061</v>
      </c>
      <c r="E3" s="3">
        <f t="shared" ref="E3:E13" si="0">B3*G3*1000*H3</f>
        <v>84.092808633993698</v>
      </c>
      <c r="F3" s="89" t="s">
        <v>2084</v>
      </c>
      <c r="G3" s="195">
        <f>SUM(TotalPop!D3)/SUM(TotalPop!D$2:D$102)</f>
        <v>2.9599928952199147E-2</v>
      </c>
      <c r="H3" s="287">
        <v>1</v>
      </c>
    </row>
    <row r="4" spans="1:8" x14ac:dyDescent="0.2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2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2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2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2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2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2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2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25">
      <c r="A12" t="s">
        <v>65</v>
      </c>
      <c r="B12" s="238">
        <f>SUM(Tasks_previous!R2:R6)</f>
        <v>1.3455101501264839</v>
      </c>
      <c r="C12" s="238">
        <f>SUM(Tasks_previous!S2:S6)</f>
        <v>1.1264736140593818</v>
      </c>
      <c r="D12" s="3">
        <f>C12/(SUM(40,90,120,120)/60)</f>
        <v>0.18267139687449435</v>
      </c>
      <c r="E12" s="3">
        <f t="shared" si="0"/>
        <v>41.312783497492354</v>
      </c>
      <c r="F12" s="89" t="s">
        <v>2083</v>
      </c>
      <c r="G12" s="195">
        <f>SUM(TotalPop!D2)/SUM(TotalPop!D$2:D$102)</f>
        <v>3.0704178258044928E-2</v>
      </c>
      <c r="H12" s="287">
        <v>1</v>
      </c>
    </row>
    <row r="13" spans="1:8" x14ac:dyDescent="0.2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62</vt:i4>
      </vt:variant>
      <vt:variant>
        <vt:lpstr>Named Ranges</vt:lpstr>
      </vt:variant>
      <vt:variant>
        <vt:i4>1</vt:i4>
      </vt:variant>
    </vt:vector>
  </HeadingPairs>
  <TitlesOfParts>
    <vt:vector size="63"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SeasonalityOffsets</vt:lpstr>
      <vt:lpstr>TV_Comprehensive</vt:lpstr>
      <vt:lpstr>TV_Merged</vt:lpstr>
      <vt:lpstr>Cadres_Comprehensive</vt:lpstr>
      <vt:lpstr>TV_Basic</vt:lpstr>
      <vt:lpstr>TaskValues_ref</vt:lpstr>
      <vt:lpstr>Cadres_Basic</vt:lpstr>
      <vt:lpstr>Cadres_Merged</vt:lpstr>
      <vt:lpstr>Staffing Models</vt:lpstr>
      <vt:lpstr>Fertility Mortality Rates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lookups</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2022-07-08T17:48:08Z</dcterms:modified>
  <cp:category/>
  <cp:contentStatus/>
</cp:coreProperties>
</file>