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1831" documentId="13_ncr:1_{EDD54943-A1A0-4A42-9E44-4B1ED1E04208}" xr6:coauthVersionLast="47" xr6:coauthVersionMax="47" xr10:uidLastSave="{4411A4A2-792D-40F3-984F-9FB6F6EDF992}"/>
  <bookViews>
    <workbookView xWindow="-110" yWindow="-110" windowWidth="19420" windowHeight="11620" tabRatio="830" firstSheet="10" activeTab="16" xr2:uid="{2F49C92C-A2E5-4A6B-9429-02A43E12B5B0}"/>
  </bookViews>
  <sheets>
    <sheet name="Scenarios_retain" sheetId="75" r:id="rId1"/>
    <sheet name="To Do or Upgrade" sheetId="64" r:id="rId2"/>
    <sheet name="Read Me" sheetId="77" r:id="rId3"/>
    <sheet name="Scenarios" sheetId="53" r:id="rId4"/>
    <sheet name="TotalPop" sheetId="54" r:id="rId5"/>
    <sheet name="StochasticParamaters" sheetId="72" r:id="rId6"/>
    <sheet name="PopValues" sheetId="56" r:id="rId7"/>
    <sheet name="SeasonalityCurves" sheetId="58" r:id="rId8"/>
    <sheet name="SeasonalityOffsets" sheetId="66" r:id="rId9"/>
    <sheet name="TV_Comprehensive" sheetId="86" r:id="rId10"/>
    <sheet name="TV_Basic" sheetId="87" r:id="rId11"/>
    <sheet name="TV_Merged" sheetId="96" r:id="rId12"/>
    <sheet name="Cadres_Comprehensive" sheetId="90" r:id="rId13"/>
    <sheet name="Cadres_Basic" sheetId="91" r:id="rId14"/>
    <sheet name="Cadres_Merged" sheetId="97" r:id="rId15"/>
    <sheet name="Staffing Models" sheetId="82" r:id="rId16"/>
    <sheet name="TaskValues_ref" sheetId="83" r:id="rId17"/>
    <sheet name="Work time" sheetId="47" r:id="rId18"/>
    <sheet name="AgeSpecific Fertility" sheetId="67" r:id="rId19"/>
    <sheet name="RuralUrban Mortality" sheetId="73" r:id="rId20"/>
    <sheet name="Age band mort calcs" sheetId="78" r:id="rId21"/>
    <sheet name="Data dictionary Scenarios" sheetId="63" r:id="rId22"/>
    <sheet name="Ratios" sheetId="71" r:id="rId23"/>
    <sheet name="Services summary" sheetId="25" r:id="rId24"/>
    <sheet name="Tasks_previous" sheetId="57" r:id="rId25"/>
    <sheet name="TaskValues" sheetId="95" r:id="rId26"/>
    <sheet name="Tasks_previous (2)" sheetId="85" r:id="rId27"/>
    <sheet name="lookups" sheetId="84" r:id="rId28"/>
    <sheet name="Prevalences" sheetId="31" r:id="rId29"/>
    <sheet name="DALYs " sheetId="62" r:id="rId30"/>
    <sheet name="CEA" sheetId="59" r:id="rId31"/>
    <sheet name="Ssn TB" sheetId="61" r:id="rId32"/>
    <sheet name="Ssn Malaria" sheetId="52" r:id="rId33"/>
    <sheet name="Ssn Nutr" sheetId="51" r:id="rId34"/>
    <sheet name="Ssn Measles" sheetId="50" r:id="rId35"/>
    <sheet name="Staffing" sheetId="21" r:id="rId36"/>
    <sheet name="Services ref" sheetId="22" r:id="rId37"/>
    <sheet name="Coverage impacts" sheetId="24" r:id="rId38"/>
    <sheet name="Demographics_Total" sheetId="26" r:id="rId39"/>
    <sheet name="Pop M" sheetId="18" r:id="rId40"/>
    <sheet name="Pop F" sheetId="19" r:id="rId41"/>
    <sheet name="TB Incidence" sheetId="41" r:id="rId42"/>
    <sheet name="Malaria Incid" sheetId="43" r:id="rId43"/>
    <sheet name="FP mod" sheetId="7" r:id="rId44"/>
    <sheet name="unmet need" sheetId="10" r:id="rId45"/>
    <sheet name="HIV Prev" sheetId="17" r:id="rId46"/>
    <sheet name="HIV Incid" sheetId="37" r:id="rId47"/>
    <sheet name="mort infant" sheetId="9" r:id="rId48"/>
    <sheet name="mort 1-5" sheetId="16" r:id="rId49"/>
    <sheet name="mort 5-9" sheetId="14" r:id="rId50"/>
    <sheet name="mort 10-14" sheetId="15" r:id="rId51"/>
    <sheet name="mort 15-19" sheetId="20" r:id="rId52"/>
    <sheet name="mort 20-24" sheetId="13" r:id="rId53"/>
    <sheet name="mort adult f" sheetId="11" r:id="rId54"/>
    <sheet name="mort adult m" sheetId="12" r:id="rId55"/>
    <sheet name="AggregateDALYs" sheetId="68" r:id="rId56"/>
  </sheets>
  <externalReferences>
    <externalReference r:id="rId57"/>
  </externalReferences>
  <definedNames>
    <definedName name="_xlnm._FilterDatabase" localSheetId="24" hidden="1">Tasks_previous!$A$1:$S$103</definedName>
    <definedName name="_xlnm._FilterDatabase" localSheetId="26" hidden="1">'Tasks_previous (2)'!$A$1:$E$21</definedName>
    <definedName name="_xlnm._FilterDatabase" localSheetId="16" hidden="1">TaskValues_ref!$A$1:$Z$217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4">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6" i="96" l="1"/>
  <c r="J105" i="96"/>
  <c r="G166" i="87"/>
  <c r="H166" i="87"/>
  <c r="I166" i="87"/>
  <c r="J166" i="87"/>
  <c r="K166" i="87"/>
  <c r="L166" i="87"/>
  <c r="M166" i="87"/>
  <c r="N166" i="87"/>
  <c r="O166" i="87"/>
  <c r="P166" i="87"/>
  <c r="Q166" i="87"/>
  <c r="R166" i="87"/>
  <c r="S166" i="87"/>
  <c r="G167" i="87"/>
  <c r="H167" i="87"/>
  <c r="I167" i="87"/>
  <c r="J167" i="87"/>
  <c r="K167" i="87"/>
  <c r="L167" i="87"/>
  <c r="M167" i="87"/>
  <c r="N167" i="87"/>
  <c r="O167" i="87"/>
  <c r="P167" i="87"/>
  <c r="Q167" i="87"/>
  <c r="R167" i="87"/>
  <c r="S167" i="87"/>
  <c r="G168" i="87"/>
  <c r="H168" i="87"/>
  <c r="I168" i="87"/>
  <c r="J168" i="87"/>
  <c r="K168" i="87"/>
  <c r="L168" i="87"/>
  <c r="M168" i="87"/>
  <c r="N168" i="87"/>
  <c r="O168" i="87"/>
  <c r="P168" i="87"/>
  <c r="Q168" i="87"/>
  <c r="R168" i="87"/>
  <c r="S168" i="87"/>
  <c r="G169" i="87"/>
  <c r="H169" i="87"/>
  <c r="I169" i="87"/>
  <c r="J169" i="87"/>
  <c r="K169" i="87"/>
  <c r="L169" i="87"/>
  <c r="M169" i="87"/>
  <c r="N169" i="87"/>
  <c r="O169" i="87"/>
  <c r="P169" i="87"/>
  <c r="Q169" i="87"/>
  <c r="R169" i="87"/>
  <c r="S169" i="87"/>
  <c r="AE63" i="47"/>
  <c r="AE65" i="47"/>
  <c r="AD55" i="47"/>
  <c r="G156" i="91"/>
  <c r="F156" i="91"/>
  <c r="U176" i="90"/>
  <c r="W176" i="90"/>
  <c r="V176" i="90"/>
  <c r="T176" i="90"/>
  <c r="S176" i="90"/>
  <c r="P176" i="90"/>
  <c r="O176" i="90"/>
  <c r="N176" i="90"/>
  <c r="M176" i="90"/>
  <c r="L176" i="90"/>
  <c r="K176" i="90"/>
  <c r="T159" i="91"/>
  <c r="T160" i="91"/>
  <c r="T161" i="91"/>
  <c r="T162" i="91"/>
  <c r="O159" i="91"/>
  <c r="O160" i="91"/>
  <c r="O161" i="91"/>
  <c r="O162" i="91"/>
  <c r="I159" i="91"/>
  <c r="I160" i="91"/>
  <c r="I161" i="91"/>
  <c r="E159" i="91"/>
  <c r="E160" i="91"/>
  <c r="O125" i="97"/>
  <c r="O126" i="97"/>
  <c r="L125" i="97"/>
  <c r="L126" i="97"/>
  <c r="H125" i="97"/>
  <c r="H126" i="97"/>
  <c r="E125" i="97"/>
  <c r="E126" i="97"/>
  <c r="Y179" i="90"/>
  <c r="Y180" i="90"/>
  <c r="Y181" i="90"/>
  <c r="Y182" i="90"/>
  <c r="Y183" i="90"/>
  <c r="Y184" i="90"/>
  <c r="R184" i="90"/>
  <c r="R183" i="90"/>
  <c r="R182" i="90"/>
  <c r="R181" i="90"/>
  <c r="R180" i="90"/>
  <c r="R179" i="90"/>
  <c r="J182" i="90"/>
  <c r="J181" i="90"/>
  <c r="J180" i="90"/>
  <c r="J179" i="90"/>
  <c r="E179" i="90"/>
  <c r="E180" i="90"/>
  <c r="S126" i="96"/>
  <c r="R126" i="96"/>
  <c r="Q126" i="96"/>
  <c r="P126" i="96"/>
  <c r="O126" i="96"/>
  <c r="N126" i="96"/>
  <c r="M126" i="96"/>
  <c r="L126" i="96"/>
  <c r="K126" i="96"/>
  <c r="J126" i="96"/>
  <c r="I126" i="96"/>
  <c r="H126" i="96"/>
  <c r="G126" i="96"/>
  <c r="S125" i="96"/>
  <c r="R125" i="96"/>
  <c r="Q125" i="96"/>
  <c r="P125" i="96"/>
  <c r="O125" i="96"/>
  <c r="N125" i="96"/>
  <c r="M125" i="96"/>
  <c r="L125" i="96"/>
  <c r="K125" i="96"/>
  <c r="J125" i="96"/>
  <c r="I125" i="96"/>
  <c r="H125" i="96"/>
  <c r="G125" i="96"/>
  <c r="S165" i="87"/>
  <c r="R165" i="87"/>
  <c r="Q165" i="87"/>
  <c r="P165" i="87"/>
  <c r="O165" i="87"/>
  <c r="N165" i="87"/>
  <c r="M165" i="87"/>
  <c r="L165" i="87"/>
  <c r="K165" i="87"/>
  <c r="J165" i="87"/>
  <c r="I165" i="87"/>
  <c r="H165" i="87"/>
  <c r="G165" i="87"/>
  <c r="S164" i="87"/>
  <c r="R164" i="87"/>
  <c r="Q164" i="87"/>
  <c r="P164" i="87"/>
  <c r="O164" i="87"/>
  <c r="N164" i="87"/>
  <c r="M164" i="87"/>
  <c r="L164" i="87"/>
  <c r="K164" i="87"/>
  <c r="J164" i="87"/>
  <c r="I164" i="87"/>
  <c r="H164" i="87"/>
  <c r="G164" i="87"/>
  <c r="S185" i="86"/>
  <c r="R185" i="86"/>
  <c r="Q185" i="86"/>
  <c r="P185" i="86"/>
  <c r="O185" i="86"/>
  <c r="N185" i="86"/>
  <c r="M185" i="86"/>
  <c r="L185" i="86"/>
  <c r="K185" i="86"/>
  <c r="J185" i="86"/>
  <c r="I185" i="86"/>
  <c r="H185" i="86"/>
  <c r="G185" i="86"/>
  <c r="S184" i="86"/>
  <c r="R184" i="86"/>
  <c r="Q184" i="86"/>
  <c r="P184" i="86"/>
  <c r="O184" i="86"/>
  <c r="N184" i="86"/>
  <c r="M184" i="86"/>
  <c r="L184" i="86"/>
  <c r="K184" i="86"/>
  <c r="J184" i="86"/>
  <c r="I184" i="86"/>
  <c r="H184" i="86"/>
  <c r="G184" i="86"/>
  <c r="S183" i="86"/>
  <c r="R183" i="86"/>
  <c r="Q183" i="86"/>
  <c r="P183" i="86"/>
  <c r="O183" i="86"/>
  <c r="N183" i="86"/>
  <c r="M183" i="86"/>
  <c r="L183" i="86"/>
  <c r="K183" i="86"/>
  <c r="J183" i="86"/>
  <c r="I183" i="86"/>
  <c r="H183" i="86"/>
  <c r="G183" i="86"/>
  <c r="S182" i="86"/>
  <c r="R182" i="86"/>
  <c r="Q182" i="86"/>
  <c r="P182" i="86"/>
  <c r="O182" i="86"/>
  <c r="N182" i="86"/>
  <c r="M182" i="86"/>
  <c r="L182" i="86"/>
  <c r="K182" i="86"/>
  <c r="J182" i="86"/>
  <c r="I182" i="86"/>
  <c r="H182" i="86"/>
  <c r="G182" i="86"/>
  <c r="S181" i="86"/>
  <c r="R181" i="86"/>
  <c r="Q181" i="86"/>
  <c r="P181" i="86"/>
  <c r="O181" i="86"/>
  <c r="N181" i="86"/>
  <c r="M181" i="86"/>
  <c r="L181" i="86"/>
  <c r="K181" i="86"/>
  <c r="J181" i="86"/>
  <c r="I181" i="86"/>
  <c r="H181" i="86"/>
  <c r="G181" i="86"/>
  <c r="S180" i="86"/>
  <c r="R180" i="86"/>
  <c r="Q180" i="86"/>
  <c r="P180" i="86"/>
  <c r="O180" i="86"/>
  <c r="N180" i="86"/>
  <c r="M180" i="86"/>
  <c r="L180" i="86"/>
  <c r="K180" i="86"/>
  <c r="J180" i="86"/>
  <c r="I180" i="86"/>
  <c r="H180" i="86"/>
  <c r="G180" i="86"/>
  <c r="W220" i="83"/>
  <c r="W221" i="83"/>
  <c r="W222" i="83"/>
  <c r="W223" i="83"/>
  <c r="W224" i="83"/>
  <c r="W225" i="83"/>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4" i="97"/>
  <c r="L124" i="97"/>
  <c r="H124" i="97"/>
  <c r="E124" i="97"/>
  <c r="O123" i="97"/>
  <c r="L123" i="97"/>
  <c r="H123" i="97"/>
  <c r="E123" i="97"/>
  <c r="M158" i="91"/>
  <c r="T158" i="91"/>
  <c r="O158" i="91"/>
  <c r="I158" i="91"/>
  <c r="E158" i="91"/>
  <c r="M157" i="91"/>
  <c r="R157" i="91"/>
  <c r="T157" i="91"/>
  <c r="O157" i="91"/>
  <c r="I157" i="91"/>
  <c r="E157" i="91"/>
  <c r="Y178" i="90"/>
  <c r="Y177" i="90"/>
  <c r="R177" i="90"/>
  <c r="R178" i="90"/>
  <c r="J178" i="90"/>
  <c r="J177" i="90"/>
  <c r="E178" i="90"/>
  <c r="E177" i="90"/>
  <c r="E16" i="83"/>
  <c r="E17" i="83"/>
  <c r="E18" i="83"/>
  <c r="E19" i="83"/>
  <c r="O6" i="83"/>
  <c r="O9" i="83"/>
  <c r="V9" i="83"/>
  <c r="O10" i="83"/>
  <c r="O11" i="83"/>
  <c r="O12" i="83"/>
  <c r="S12" i="83"/>
  <c r="O22" i="83"/>
  <c r="O23" i="83"/>
  <c r="E24" i="83"/>
  <c r="K25" i="83"/>
  <c r="L25" i="83"/>
  <c r="M25" i="83"/>
  <c r="E26" i="83"/>
  <c r="O27" i="83"/>
  <c r="O26" i="83"/>
  <c r="E27" i="83"/>
  <c r="E28" i="83"/>
  <c r="E29" i="83"/>
  <c r="O29" i="83"/>
  <c r="S29" i="83"/>
  <c r="E30" i="83"/>
  <c r="E33" i="83"/>
  <c r="O33" i="83"/>
  <c r="E34" i="83"/>
  <c r="O34" i="83"/>
  <c r="E35" i="83"/>
  <c r="O43" i="83"/>
  <c r="O48" i="83"/>
  <c r="O50" i="83"/>
  <c r="O51" i="83"/>
  <c r="E52" i="83"/>
  <c r="O52" i="83"/>
  <c r="E53" i="83"/>
  <c r="O53" i="83"/>
  <c r="Q53" i="83"/>
  <c r="E54" i="83"/>
  <c r="O54" i="83"/>
  <c r="Q54" i="83"/>
  <c r="E55" i="83"/>
  <c r="E56" i="83"/>
  <c r="O56" i="83"/>
  <c r="E57" i="83"/>
  <c r="O57" i="83"/>
  <c r="E58" i="83"/>
  <c r="E59" i="83"/>
  <c r="O59" i="83"/>
  <c r="U59" i="83"/>
  <c r="E60" i="83"/>
  <c r="E61" i="83"/>
  <c r="E62" i="83"/>
  <c r="E63" i="83"/>
  <c r="E64" i="83"/>
  <c r="E65" i="83"/>
  <c r="E66" i="83"/>
  <c r="E67" i="83"/>
  <c r="O67" i="83"/>
  <c r="E68" i="83"/>
  <c r="O68" i="83"/>
  <c r="S68" i="83"/>
  <c r="E69" i="83"/>
  <c r="O69" i="83"/>
  <c r="S69" i="83"/>
  <c r="E70" i="83"/>
  <c r="O70" i="83"/>
  <c r="S70" i="83"/>
  <c r="E71" i="83"/>
  <c r="O71" i="83"/>
  <c r="S71" i="83"/>
  <c r="E72" i="83"/>
  <c r="E73" i="83"/>
  <c r="E74" i="83"/>
  <c r="E75" i="83"/>
  <c r="U75" i="83"/>
  <c r="E77" i="83"/>
  <c r="E78" i="83"/>
  <c r="E79" i="83"/>
  <c r="E80" i="83"/>
  <c r="E81" i="83"/>
  <c r="O81" i="83"/>
  <c r="E83" i="83"/>
  <c r="O83" i="83"/>
  <c r="S83" i="83"/>
  <c r="O84" i="83"/>
  <c r="S84" i="83"/>
  <c r="O85"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O110" i="83"/>
  <c r="O111" i="83"/>
  <c r="S111" i="83"/>
  <c r="E112" i="83"/>
  <c r="E113" i="83"/>
  <c r="O114" i="83"/>
  <c r="O113" i="83"/>
  <c r="S114" i="83"/>
  <c r="S113" i="83"/>
  <c r="E114" i="83"/>
  <c r="E115" i="83"/>
  <c r="S115" i="83"/>
  <c r="V115" i="83"/>
  <c r="E116" i="83"/>
  <c r="S116" i="83"/>
  <c r="V116" i="83"/>
  <c r="E117" i="83"/>
  <c r="O117" i="83"/>
  <c r="S117" i="83"/>
  <c r="E118" i="83"/>
  <c r="S118" i="83"/>
  <c r="E119" i="83"/>
  <c r="O119" i="83"/>
  <c r="S119" i="83"/>
  <c r="E120" i="83"/>
  <c r="O120" i="83"/>
  <c r="O122" i="83"/>
  <c r="S122" i="83"/>
  <c r="O123" i="83"/>
  <c r="S123" i="83"/>
  <c r="O124" i="83"/>
  <c r="O126" i="83"/>
  <c r="S126" i="83"/>
  <c r="O127" i="83"/>
  <c r="S127" i="83"/>
  <c r="E128" i="83"/>
  <c r="E129" i="83"/>
  <c r="E130" i="83"/>
  <c r="O132" i="83"/>
  <c r="Q132" i="83"/>
  <c r="S132" i="83"/>
  <c r="O133" i="83"/>
  <c r="S133" i="83"/>
  <c r="E134" i="83"/>
  <c r="O134" i="83"/>
  <c r="S134" i="83"/>
  <c r="T134" i="83"/>
  <c r="E135" i="83"/>
  <c r="E140" i="83"/>
  <c r="E141" i="83"/>
  <c r="Q141" i="83"/>
  <c r="E142" i="83"/>
  <c r="E143" i="83"/>
  <c r="E144" i="83"/>
  <c r="O144" i="83"/>
  <c r="T144" i="83"/>
  <c r="E145" i="83"/>
  <c r="E146" i="83"/>
  <c r="O146" i="83"/>
  <c r="E147" i="83"/>
  <c r="O147" i="83"/>
  <c r="S147" i="83"/>
  <c r="E148" i="83"/>
  <c r="E149" i="83"/>
  <c r="O149" i="83"/>
  <c r="E150" i="83"/>
  <c r="O150" i="83"/>
  <c r="S150" i="83"/>
  <c r="E151" i="83"/>
  <c r="O151" i="83"/>
  <c r="E152" i="83"/>
  <c r="E153" i="83"/>
  <c r="O153" i="83"/>
  <c r="E154" i="83"/>
  <c r="O154" i="83"/>
  <c r="S154" i="83"/>
  <c r="O157" i="83"/>
  <c r="D158" i="83"/>
  <c r="E158" i="83"/>
  <c r="D159" i="83"/>
  <c r="E159" i="83"/>
  <c r="D160" i="83"/>
  <c r="E160" i="83"/>
  <c r="D161" i="83"/>
  <c r="E161" i="83"/>
  <c r="D162" i="83"/>
  <c r="E162" i="83"/>
  <c r="E163" i="83"/>
  <c r="O163" i="83"/>
  <c r="S163" i="83"/>
  <c r="D164" i="83"/>
  <c r="E164" i="83"/>
  <c r="D165" i="83"/>
  <c r="E165" i="83"/>
  <c r="D166" i="83"/>
  <c r="E166" i="83"/>
  <c r="O166" i="83"/>
  <c r="D167" i="83"/>
  <c r="E167" i="83"/>
  <c r="D168" i="83"/>
  <c r="E168" i="83"/>
  <c r="O168" i="83"/>
  <c r="O169" i="83"/>
  <c r="O170" i="83"/>
  <c r="E181" i="83"/>
  <c r="U181" i="83"/>
  <c r="D186" i="83"/>
  <c r="E186" i="83"/>
  <c r="O186" i="83"/>
  <c r="D187" i="83"/>
  <c r="E187" i="83"/>
  <c r="D188" i="83"/>
  <c r="E188" i="83"/>
  <c r="O188" i="83"/>
  <c r="D189" i="83"/>
  <c r="E189" i="83"/>
  <c r="D190" i="83"/>
  <c r="E190" i="83"/>
  <c r="D191" i="83"/>
  <c r="E191" i="83"/>
  <c r="D192" i="83"/>
  <c r="E192" i="83"/>
  <c r="D193" i="83"/>
  <c r="E193" i="83"/>
  <c r="D194" i="83"/>
  <c r="E194" i="83"/>
  <c r="O194" i="83"/>
  <c r="D195" i="83"/>
  <c r="E195" i="83"/>
  <c r="S195" i="83"/>
  <c r="D196" i="83"/>
  <c r="E196" i="83"/>
  <c r="D197" i="83"/>
  <c r="E197" i="83"/>
  <c r="D198" i="83"/>
  <c r="E198" i="83"/>
  <c r="D199" i="83"/>
  <c r="E199" i="83"/>
  <c r="D200" i="83"/>
  <c r="E200" i="83"/>
  <c r="O200" i="83"/>
  <c r="D201" i="83"/>
  <c r="E201" i="83"/>
  <c r="D202" i="83"/>
  <c r="E202" i="83"/>
  <c r="D203" i="83"/>
  <c r="E203" i="83"/>
  <c r="O203" i="83"/>
  <c r="D204" i="83"/>
  <c r="E204" i="83"/>
  <c r="D205" i="83"/>
  <c r="E205" i="83"/>
  <c r="D206" i="83"/>
  <c r="E206" i="83"/>
  <c r="O206" i="83"/>
  <c r="D207" i="83"/>
  <c r="E207" i="83"/>
  <c r="D208" i="83"/>
  <c r="E208" i="83"/>
  <c r="D209" i="83"/>
  <c r="E209" i="83"/>
  <c r="D210" i="83"/>
  <c r="E210" i="83"/>
  <c r="D211" i="83"/>
  <c r="E211" i="83"/>
  <c r="D212" i="83"/>
  <c r="E212" i="83"/>
  <c r="O212" i="83"/>
  <c r="V215" i="83"/>
  <c r="V216" i="83"/>
  <c r="O218" i="83"/>
  <c r="P218" i="83"/>
  <c r="Q218" i="83"/>
  <c r="R218" i="83"/>
  <c r="S218" i="83"/>
  <c r="T218" i="83"/>
  <c r="U218" i="83"/>
  <c r="V218" i="83"/>
  <c r="W218" i="83"/>
  <c r="X218" i="83"/>
  <c r="Y218" i="83"/>
  <c r="Z218" i="83"/>
  <c r="O219" i="83"/>
  <c r="P219" i="83"/>
  <c r="Q219" i="83"/>
  <c r="R219" i="83"/>
  <c r="S219" i="83"/>
  <c r="T219" i="83"/>
  <c r="U219" i="83"/>
  <c r="V219" i="83"/>
  <c r="W219" i="83"/>
  <c r="X219" i="83"/>
  <c r="Y219" i="83"/>
  <c r="Z219" i="83"/>
  <c r="S124" i="96"/>
  <c r="R124" i="96"/>
  <c r="Q124" i="96"/>
  <c r="P124" i="96"/>
  <c r="O124" i="96"/>
  <c r="N124" i="96"/>
  <c r="M124" i="96"/>
  <c r="L124" i="96"/>
  <c r="K124" i="96"/>
  <c r="J124" i="96"/>
  <c r="I124" i="96"/>
  <c r="H124" i="96"/>
  <c r="G124" i="96"/>
  <c r="F124" i="96"/>
  <c r="S123" i="96"/>
  <c r="R123" i="96"/>
  <c r="Q123" i="96"/>
  <c r="P123" i="96"/>
  <c r="O123" i="96"/>
  <c r="N123" i="96"/>
  <c r="M123" i="96"/>
  <c r="L123" i="96"/>
  <c r="K123" i="96"/>
  <c r="J123" i="96"/>
  <c r="I123" i="96"/>
  <c r="H123" i="96"/>
  <c r="G123" i="96"/>
  <c r="F123" i="96"/>
  <c r="S163" i="87"/>
  <c r="R163" i="87"/>
  <c r="Q163" i="87"/>
  <c r="P163" i="87"/>
  <c r="O163" i="87"/>
  <c r="N163" i="87"/>
  <c r="M163" i="87"/>
  <c r="L163" i="87"/>
  <c r="K163" i="87"/>
  <c r="J163" i="87"/>
  <c r="I163" i="87"/>
  <c r="H163" i="87"/>
  <c r="G163" i="87"/>
  <c r="F163" i="87"/>
  <c r="S162" i="87"/>
  <c r="R162" i="87"/>
  <c r="Q162" i="87"/>
  <c r="P162" i="87"/>
  <c r="O162" i="87"/>
  <c r="N162" i="87"/>
  <c r="M162" i="87"/>
  <c r="L162" i="87"/>
  <c r="K162" i="87"/>
  <c r="J162" i="87"/>
  <c r="I162" i="87"/>
  <c r="H162" i="87"/>
  <c r="G162" i="87"/>
  <c r="F162" i="87"/>
  <c r="S179" i="86"/>
  <c r="R179" i="86"/>
  <c r="Q179" i="86"/>
  <c r="P179" i="86"/>
  <c r="O179" i="86"/>
  <c r="N179" i="86"/>
  <c r="M179" i="86"/>
  <c r="L179" i="86"/>
  <c r="K179" i="86"/>
  <c r="J179" i="86"/>
  <c r="I179" i="86"/>
  <c r="H179" i="86"/>
  <c r="G179" i="86"/>
  <c r="F179" i="86"/>
  <c r="S178" i="86"/>
  <c r="R178" i="86"/>
  <c r="Q178" i="86"/>
  <c r="P178" i="86"/>
  <c r="O178" i="86"/>
  <c r="N178" i="86"/>
  <c r="M178" i="86"/>
  <c r="L178" i="86"/>
  <c r="K178" i="86"/>
  <c r="J178" i="86"/>
  <c r="I178" i="86"/>
  <c r="H178" i="86"/>
  <c r="G178" i="86"/>
  <c r="F178" i="86"/>
  <c r="K177" i="86"/>
  <c r="M92" i="91"/>
  <c r="R92" i="91"/>
  <c r="T92" i="91"/>
  <c r="O92" i="91"/>
  <c r="I92" i="91"/>
  <c r="M42" i="91"/>
  <c r="R42" i="91"/>
  <c r="T42" i="91"/>
  <c r="O42" i="91"/>
  <c r="I42"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18" i="91"/>
  <c r="R118" i="91"/>
  <c r="T118" i="91"/>
  <c r="O118" i="91"/>
  <c r="I118" i="91"/>
  <c r="M117" i="91"/>
  <c r="R117" i="91"/>
  <c r="T117" i="91"/>
  <c r="O117" i="91"/>
  <c r="I117" i="91"/>
  <c r="M116" i="91"/>
  <c r="R116" i="91"/>
  <c r="T116" i="91"/>
  <c r="O116" i="91"/>
  <c r="I116" i="91"/>
  <c r="M115" i="91"/>
  <c r="R115" i="91"/>
  <c r="T115" i="91"/>
  <c r="O115" i="91"/>
  <c r="I115" i="91"/>
  <c r="M114" i="91"/>
  <c r="R114" i="91"/>
  <c r="T114" i="91"/>
  <c r="O114" i="91"/>
  <c r="I114" i="91"/>
  <c r="M113" i="91"/>
  <c r="R113" i="91"/>
  <c r="T113" i="91"/>
  <c r="O113" i="91"/>
  <c r="I113" i="91"/>
  <c r="M112" i="91"/>
  <c r="R112" i="91"/>
  <c r="T112" i="91"/>
  <c r="O112" i="91"/>
  <c r="I112" i="91"/>
  <c r="M111" i="91"/>
  <c r="R111" i="91"/>
  <c r="T111" i="91"/>
  <c r="O111" i="91"/>
  <c r="I111" i="91"/>
  <c r="M98" i="91"/>
  <c r="R98" i="91"/>
  <c r="T98" i="91"/>
  <c r="O98" i="91"/>
  <c r="I98" i="91"/>
  <c r="M97" i="91"/>
  <c r="R97" i="91"/>
  <c r="T97" i="91"/>
  <c r="O97" i="91"/>
  <c r="I97" i="91"/>
  <c r="M90" i="91"/>
  <c r="R90" i="91"/>
  <c r="T90" i="91"/>
  <c r="O90" i="91"/>
  <c r="I90" i="91"/>
  <c r="M89" i="91"/>
  <c r="R89" i="91"/>
  <c r="T89" i="91"/>
  <c r="O89" i="91"/>
  <c r="I89" i="91"/>
  <c r="I78" i="91"/>
  <c r="M78" i="91"/>
  <c r="O78" i="91"/>
  <c r="R78" i="91"/>
  <c r="T78" i="91"/>
  <c r="M77" i="91"/>
  <c r="R77" i="91"/>
  <c r="T77" i="91"/>
  <c r="O77" i="91"/>
  <c r="I77" i="91"/>
  <c r="M60" i="91"/>
  <c r="R60" i="91"/>
  <c r="T60" i="91"/>
  <c r="O60" i="91"/>
  <c r="I60" i="91"/>
  <c r="M69" i="91"/>
  <c r="R69" i="91"/>
  <c r="T69" i="91"/>
  <c r="O69" i="91"/>
  <c r="I69" i="91"/>
  <c r="M68" i="91"/>
  <c r="R68" i="91"/>
  <c r="T68" i="91"/>
  <c r="O68" i="91"/>
  <c r="I68" i="91"/>
  <c r="M67" i="91"/>
  <c r="R67" i="91"/>
  <c r="T67" i="91"/>
  <c r="O67" i="91"/>
  <c r="I67" i="91"/>
  <c r="M66" i="91"/>
  <c r="R66" i="91"/>
  <c r="T66" i="91"/>
  <c r="O66" i="91"/>
  <c r="I66" i="91"/>
  <c r="M61" i="91"/>
  <c r="R61" i="91"/>
  <c r="T61" i="91"/>
  <c r="O61" i="91"/>
  <c r="I61" i="91"/>
  <c r="M57" i="91"/>
  <c r="R57" i="91"/>
  <c r="T57" i="91"/>
  <c r="O57" i="91"/>
  <c r="I57" i="91"/>
  <c r="M56" i="91"/>
  <c r="R56" i="91"/>
  <c r="T56" i="91"/>
  <c r="O56" i="91"/>
  <c r="I56" i="91"/>
  <c r="M55" i="91"/>
  <c r="R55" i="91"/>
  <c r="T55" i="91"/>
  <c r="O55" i="91"/>
  <c r="I55" i="91"/>
  <c r="M54" i="91"/>
  <c r="R54" i="91"/>
  <c r="T54" i="91"/>
  <c r="O54" i="91"/>
  <c r="I54" i="91"/>
  <c r="M53" i="91"/>
  <c r="R53" i="91"/>
  <c r="T53" i="91"/>
  <c r="O53" i="91"/>
  <c r="I53" i="91"/>
  <c r="M50" i="91"/>
  <c r="R50" i="91"/>
  <c r="T50" i="91"/>
  <c r="O50" i="91"/>
  <c r="I50" i="91"/>
  <c r="M49" i="91"/>
  <c r="R49" i="91"/>
  <c r="T49" i="91"/>
  <c r="O49" i="91"/>
  <c r="I49" i="91"/>
  <c r="M45" i="91"/>
  <c r="R45" i="91"/>
  <c r="T45" i="91"/>
  <c r="O45" i="91"/>
  <c r="I45" i="91"/>
  <c r="M21" i="91"/>
  <c r="M133" i="91"/>
  <c r="R133" i="91"/>
  <c r="T133" i="91"/>
  <c r="O133" i="91"/>
  <c r="M132" i="91"/>
  <c r="R132" i="91"/>
  <c r="T132" i="91"/>
  <c r="O132" i="91"/>
  <c r="M127" i="91"/>
  <c r="R127" i="91"/>
  <c r="T127" i="91"/>
  <c r="O127" i="91"/>
  <c r="I127" i="91"/>
  <c r="M128" i="91"/>
  <c r="R128" i="91"/>
  <c r="T128" i="91"/>
  <c r="O128" i="91"/>
  <c r="I128" i="91"/>
  <c r="M152" i="91"/>
  <c r="R152" i="91"/>
  <c r="T152" i="91"/>
  <c r="O152" i="91"/>
  <c r="I152" i="91"/>
  <c r="E152" i="91"/>
  <c r="E146" i="91"/>
  <c r="I146" i="91"/>
  <c r="O146" i="91"/>
  <c r="R146" i="91"/>
  <c r="T146" i="91"/>
  <c r="M143" i="91"/>
  <c r="R143" i="91"/>
  <c r="T143" i="91"/>
  <c r="O143" i="91"/>
  <c r="I143" i="91"/>
  <c r="E143" i="91"/>
  <c r="M135" i="91"/>
  <c r="R135" i="91"/>
  <c r="T135" i="91"/>
  <c r="O135" i="91"/>
  <c r="I135" i="91"/>
  <c r="E135" i="91"/>
  <c r="E134" i="91"/>
  <c r="I134" i="91"/>
  <c r="M134" i="91"/>
  <c r="O134" i="91"/>
  <c r="R134" i="91"/>
  <c r="T134" i="91"/>
  <c r="E133" i="91"/>
  <c r="I133" i="91"/>
  <c r="M130" i="91"/>
  <c r="R130" i="91"/>
  <c r="T130" i="91"/>
  <c r="O130" i="91"/>
  <c r="I130" i="91"/>
  <c r="E130" i="91"/>
  <c r="M124" i="91"/>
  <c r="R124" i="91"/>
  <c r="T124" i="91"/>
  <c r="O124" i="91"/>
  <c r="I124" i="91"/>
  <c r="E124" i="91"/>
  <c r="M123" i="91"/>
  <c r="R123" i="91"/>
  <c r="T123" i="91"/>
  <c r="O123" i="91"/>
  <c r="I123" i="91"/>
  <c r="E123" i="91"/>
  <c r="M122" i="91"/>
  <c r="R122" i="91"/>
  <c r="T122" i="91"/>
  <c r="O122" i="91"/>
  <c r="I122" i="91"/>
  <c r="E122" i="91"/>
  <c r="M121" i="91"/>
  <c r="R121" i="91"/>
  <c r="T121" i="91"/>
  <c r="O121" i="91"/>
  <c r="I121" i="91"/>
  <c r="E121" i="91"/>
  <c r="M120" i="91"/>
  <c r="R120" i="91"/>
  <c r="T120" i="91"/>
  <c r="O120" i="91"/>
  <c r="I120" i="91"/>
  <c r="E120" i="91"/>
  <c r="M119" i="91"/>
  <c r="R119" i="91"/>
  <c r="T119" i="91"/>
  <c r="O119" i="91"/>
  <c r="I119" i="91"/>
  <c r="E119" i="91"/>
  <c r="M110" i="91"/>
  <c r="R110" i="91"/>
  <c r="T110" i="91"/>
  <c r="O110" i="91"/>
  <c r="I110" i="91"/>
  <c r="E110"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4" i="91"/>
  <c r="R104" i="91"/>
  <c r="T104" i="91"/>
  <c r="O104" i="91"/>
  <c r="I104" i="91"/>
  <c r="E104" i="91"/>
  <c r="E100" i="91"/>
  <c r="I100" i="91"/>
  <c r="M100" i="91"/>
  <c r="O100" i="91"/>
  <c r="R100" i="91"/>
  <c r="T100" i="91"/>
  <c r="E101" i="91"/>
  <c r="I101" i="91"/>
  <c r="M101" i="91"/>
  <c r="O101" i="91"/>
  <c r="R101" i="91"/>
  <c r="T101" i="91"/>
  <c r="M99" i="91"/>
  <c r="R99" i="91"/>
  <c r="T99" i="91"/>
  <c r="O99" i="91"/>
  <c r="I99" i="91"/>
  <c r="E99" i="91"/>
  <c r="M96" i="91"/>
  <c r="R96" i="91"/>
  <c r="T96" i="91"/>
  <c r="O96" i="91"/>
  <c r="I96" i="91"/>
  <c r="E96" i="91"/>
  <c r="M95" i="91"/>
  <c r="R95" i="91"/>
  <c r="T95" i="91"/>
  <c r="O95" i="91"/>
  <c r="I95" i="91"/>
  <c r="E95" i="91"/>
  <c r="M94" i="91"/>
  <c r="R94" i="91"/>
  <c r="T94" i="91"/>
  <c r="O94" i="91"/>
  <c r="I94" i="91"/>
  <c r="E94" i="91"/>
  <c r="M88" i="91"/>
  <c r="R88" i="91"/>
  <c r="T88" i="91"/>
  <c r="O88" i="91"/>
  <c r="I88" i="91"/>
  <c r="E88"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79" i="91"/>
  <c r="R79" i="91"/>
  <c r="T79" i="91"/>
  <c r="O79" i="91"/>
  <c r="I79" i="91"/>
  <c r="E79" i="91"/>
  <c r="M76" i="91"/>
  <c r="R76" i="91"/>
  <c r="T76" i="91"/>
  <c r="O76" i="91"/>
  <c r="I76" i="91"/>
  <c r="E76" i="91"/>
  <c r="M75" i="91"/>
  <c r="R75" i="91"/>
  <c r="T75" i="91"/>
  <c r="O75" i="91"/>
  <c r="I75" i="91"/>
  <c r="E75" i="91"/>
  <c r="M74" i="91"/>
  <c r="R74" i="91"/>
  <c r="T74" i="91"/>
  <c r="O74" i="91"/>
  <c r="I74" i="91"/>
  <c r="E74" i="91"/>
  <c r="M72" i="91"/>
  <c r="R72" i="91"/>
  <c r="T72" i="91"/>
  <c r="O72" i="91"/>
  <c r="I72" i="91"/>
  <c r="E72" i="91"/>
  <c r="M71" i="91"/>
  <c r="R71" i="91"/>
  <c r="T71" i="91"/>
  <c r="O71" i="91"/>
  <c r="I71" i="91"/>
  <c r="E71" i="91"/>
  <c r="M70" i="91"/>
  <c r="R70" i="91"/>
  <c r="T70" i="91"/>
  <c r="O70" i="91"/>
  <c r="I70" i="91"/>
  <c r="E70" i="91"/>
  <c r="M65" i="91"/>
  <c r="R65" i="91"/>
  <c r="T65" i="91"/>
  <c r="O65" i="91"/>
  <c r="I65" i="91"/>
  <c r="E65" i="91"/>
  <c r="M64" i="91"/>
  <c r="R64" i="91"/>
  <c r="T64" i="91"/>
  <c r="O64" i="91"/>
  <c r="I64" i="91"/>
  <c r="E64" i="91"/>
  <c r="M63" i="91"/>
  <c r="R63" i="91"/>
  <c r="T63" i="91"/>
  <c r="O63" i="91"/>
  <c r="I63" i="91"/>
  <c r="E63" i="91"/>
  <c r="M62" i="91"/>
  <c r="R62" i="91"/>
  <c r="T62" i="91"/>
  <c r="O62" i="91"/>
  <c r="I62" i="91"/>
  <c r="E62" i="91"/>
  <c r="M59" i="91"/>
  <c r="R59" i="91"/>
  <c r="T59" i="91"/>
  <c r="O59" i="91"/>
  <c r="I59" i="91"/>
  <c r="E59" i="91"/>
  <c r="M58" i="91"/>
  <c r="R58" i="91"/>
  <c r="T58" i="91"/>
  <c r="O58" i="91"/>
  <c r="I58" i="91"/>
  <c r="E58" i="91"/>
  <c r="M52" i="91"/>
  <c r="R52" i="91"/>
  <c r="T52" i="91"/>
  <c r="O52" i="91"/>
  <c r="I52" i="91"/>
  <c r="E52" i="91"/>
  <c r="M51" i="91"/>
  <c r="R51" i="91"/>
  <c r="T51" i="91"/>
  <c r="O51" i="91"/>
  <c r="I51" i="91"/>
  <c r="E51" i="91"/>
  <c r="M48" i="91"/>
  <c r="R48" i="91"/>
  <c r="T48" i="91"/>
  <c r="O48" i="91"/>
  <c r="I48" i="91"/>
  <c r="E48" i="91"/>
  <c r="M47" i="91"/>
  <c r="R47" i="91"/>
  <c r="T47" i="91"/>
  <c r="O47" i="91"/>
  <c r="I47" i="91"/>
  <c r="E47" i="91"/>
  <c r="M46" i="91"/>
  <c r="R46" i="91"/>
  <c r="T46" i="91"/>
  <c r="O46" i="91"/>
  <c r="I46" i="91"/>
  <c r="E46" i="91"/>
  <c r="M44" i="91"/>
  <c r="R44" i="91"/>
  <c r="T44" i="91"/>
  <c r="O44" i="91"/>
  <c r="I44" i="91"/>
  <c r="E44" i="91"/>
  <c r="E42"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1" i="91"/>
  <c r="R41" i="91"/>
  <c r="M43" i="91"/>
  <c r="R43" i="91"/>
  <c r="M73" i="91"/>
  <c r="R73" i="91"/>
  <c r="M80" i="91"/>
  <c r="R80" i="91"/>
  <c r="M91" i="91"/>
  <c r="R91" i="91"/>
  <c r="M93" i="91"/>
  <c r="R93" i="91"/>
  <c r="M102" i="91"/>
  <c r="R102" i="91"/>
  <c r="M103" i="91"/>
  <c r="R103" i="91"/>
  <c r="M105" i="91"/>
  <c r="R105" i="91"/>
  <c r="M125" i="91"/>
  <c r="R125" i="91"/>
  <c r="M126" i="91"/>
  <c r="R126" i="91"/>
  <c r="M129" i="91"/>
  <c r="R129" i="91"/>
  <c r="M131" i="91"/>
  <c r="R131" i="91"/>
  <c r="M136" i="91"/>
  <c r="R136" i="91"/>
  <c r="M137" i="91"/>
  <c r="R137" i="91"/>
  <c r="M139" i="91"/>
  <c r="R139" i="91"/>
  <c r="R140" i="91"/>
  <c r="R141" i="91"/>
  <c r="R142" i="91"/>
  <c r="M144" i="91"/>
  <c r="R144" i="91"/>
  <c r="M145" i="91"/>
  <c r="R145" i="91"/>
  <c r="R147" i="91"/>
  <c r="M148" i="91"/>
  <c r="R148" i="91"/>
  <c r="M149" i="91"/>
  <c r="R149" i="91"/>
  <c r="R150" i="91"/>
  <c r="M151" i="91"/>
  <c r="R151" i="91"/>
  <c r="R153" i="91"/>
  <c r="M154" i="91"/>
  <c r="R154" i="91"/>
  <c r="M155" i="91"/>
  <c r="R155" i="91"/>
  <c r="M2" i="91"/>
  <c r="R2" i="91"/>
  <c r="Y149" i="90"/>
  <c r="R149" i="90"/>
  <c r="J149" i="90"/>
  <c r="E149" i="90"/>
  <c r="Y150" i="90"/>
  <c r="R150" i="90"/>
  <c r="J150" i="90"/>
  <c r="E150" i="90"/>
  <c r="Y148" i="90"/>
  <c r="R148" i="90"/>
  <c r="J148" i="90"/>
  <c r="E148" i="90"/>
  <c r="Y147" i="90"/>
  <c r="R147" i="90"/>
  <c r="J147" i="90"/>
  <c r="E147" i="90"/>
  <c r="Y145" i="90"/>
  <c r="R145" i="90"/>
  <c r="J145" i="90"/>
  <c r="E145" i="90"/>
  <c r="Y144" i="90"/>
  <c r="R144" i="90"/>
  <c r="J144" i="90"/>
  <c r="E144" i="90"/>
  <c r="Y141" i="90"/>
  <c r="R141" i="90"/>
  <c r="J141" i="90"/>
  <c r="E141" i="90"/>
  <c r="Y138" i="90"/>
  <c r="R138" i="90"/>
  <c r="J138" i="90"/>
  <c r="E138" i="90"/>
  <c r="Y136" i="90"/>
  <c r="R136" i="90"/>
  <c r="J136" i="90"/>
  <c r="E136" i="90"/>
  <c r="Y135" i="90"/>
  <c r="R135" i="90"/>
  <c r="J135" i="90"/>
  <c r="E135" i="90"/>
  <c r="Y132" i="90"/>
  <c r="R132" i="90"/>
  <c r="J132" i="90"/>
  <c r="E132" i="90"/>
  <c r="Y131" i="90"/>
  <c r="R131" i="90"/>
  <c r="J131" i="90"/>
  <c r="E131" i="90"/>
  <c r="Y130" i="90"/>
  <c r="R130" i="90"/>
  <c r="J130" i="90"/>
  <c r="E130" i="90"/>
  <c r="Y129" i="90"/>
  <c r="R129" i="90"/>
  <c r="J129" i="90"/>
  <c r="E129" i="90"/>
  <c r="Y146" i="90"/>
  <c r="R146" i="90"/>
  <c r="J146" i="90"/>
  <c r="E146" i="90"/>
  <c r="Y140" i="90"/>
  <c r="R140" i="90"/>
  <c r="J140" i="90"/>
  <c r="E140" i="90"/>
  <c r="Y139" i="90"/>
  <c r="R139" i="90"/>
  <c r="J139" i="90"/>
  <c r="E139" i="90"/>
  <c r="Y137" i="90"/>
  <c r="R137" i="90"/>
  <c r="J137" i="90"/>
  <c r="E137" i="90"/>
  <c r="Y134" i="90"/>
  <c r="R134" i="90"/>
  <c r="J134" i="90"/>
  <c r="E134" i="90"/>
  <c r="Y133" i="90"/>
  <c r="R133" i="90"/>
  <c r="J133" i="90"/>
  <c r="E133" i="90"/>
  <c r="Y122" i="90"/>
  <c r="R122" i="90"/>
  <c r="J122" i="90"/>
  <c r="E122" i="90"/>
  <c r="Y118" i="90"/>
  <c r="R118" i="90"/>
  <c r="J118" i="90"/>
  <c r="E118" i="90"/>
  <c r="Y117" i="90"/>
  <c r="R117" i="90"/>
  <c r="J117" i="90"/>
  <c r="E117" i="90"/>
  <c r="Y109" i="90"/>
  <c r="R109" i="90"/>
  <c r="J109" i="90"/>
  <c r="E109" i="90"/>
  <c r="W143" i="90"/>
  <c r="Y143" i="90"/>
  <c r="R143" i="90"/>
  <c r="J143" i="90"/>
  <c r="E143"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2" i="90"/>
  <c r="R42" i="90"/>
  <c r="J42" i="90"/>
  <c r="E42" i="90"/>
  <c r="Y41" i="90"/>
  <c r="R41" i="90"/>
  <c r="J41" i="90"/>
  <c r="E41" i="90"/>
  <c r="Y33" i="90"/>
  <c r="R33" i="90"/>
  <c r="J33" i="90"/>
  <c r="E33" i="90"/>
  <c r="Y32" i="90"/>
  <c r="R32" i="90"/>
  <c r="J32" i="90"/>
  <c r="E32" i="90"/>
  <c r="R151" i="90"/>
  <c r="J151" i="90"/>
  <c r="E151" i="90"/>
  <c r="E46" i="90"/>
  <c r="E45" i="90"/>
  <c r="E44" i="90"/>
  <c r="W72" i="90"/>
  <c r="W74" i="90"/>
  <c r="W75" i="90"/>
  <c r="W106" i="90"/>
  <c r="W115" i="90"/>
  <c r="W142" i="90"/>
  <c r="W153" i="90"/>
  <c r="W154" i="90"/>
  <c r="W155" i="90"/>
  <c r="W156" i="90"/>
  <c r="W158" i="90"/>
  <c r="W162" i="90"/>
  <c r="W163" i="90"/>
  <c r="W164" i="90"/>
  <c r="W167" i="90"/>
  <c r="W168" i="90"/>
  <c r="W170" i="90"/>
  <c r="W173"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26" i="90"/>
  <c r="B127" i="90"/>
  <c r="B128" i="90"/>
  <c r="B129" i="90"/>
  <c r="B130" i="90"/>
  <c r="B131" i="90"/>
  <c r="B132" i="90"/>
  <c r="B133" i="90"/>
  <c r="B134" i="90"/>
  <c r="B135" i="90"/>
  <c r="B136" i="90"/>
  <c r="B137" i="90"/>
  <c r="B138" i="90"/>
  <c r="B139" i="90"/>
  <c r="B140" i="90"/>
  <c r="B141" i="90"/>
  <c r="B142" i="90"/>
  <c r="B143" i="90"/>
  <c r="B144" i="90"/>
  <c r="B145" i="90"/>
  <c r="B146"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12" i="91"/>
  <c r="B113" i="91"/>
  <c r="B114" i="91"/>
  <c r="B115" i="91"/>
  <c r="B116" i="91"/>
  <c r="B117" i="91"/>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2" i="91"/>
  <c r="F3" i="96"/>
  <c r="B3" i="97"/>
  <c r="F4" i="96"/>
  <c r="B4" i="97"/>
  <c r="F5" i="96"/>
  <c r="B5" i="97"/>
  <c r="F6" i="96"/>
  <c r="B6" i="97"/>
  <c r="F7" i="96"/>
  <c r="B7" i="97"/>
  <c r="F8" i="96"/>
  <c r="B8" i="97"/>
  <c r="F9" i="96"/>
  <c r="B9" i="97"/>
  <c r="F10" i="96"/>
  <c r="B10" i="97"/>
  <c r="F11" i="96"/>
  <c r="B11" i="97"/>
  <c r="F12" i="96"/>
  <c r="B12" i="97"/>
  <c r="F13" i="96"/>
  <c r="B13" i="97"/>
  <c r="F14" i="96"/>
  <c r="B14" i="97"/>
  <c r="F15" i="96"/>
  <c r="B15" i="97"/>
  <c r="F16" i="96"/>
  <c r="B16" i="97"/>
  <c r="F17" i="96"/>
  <c r="B17" i="97"/>
  <c r="F18" i="96"/>
  <c r="B18" i="97"/>
  <c r="F19" i="96"/>
  <c r="B19" i="97"/>
  <c r="F20" i="96"/>
  <c r="B20" i="97"/>
  <c r="F21" i="96"/>
  <c r="B21" i="97"/>
  <c r="F22" i="96"/>
  <c r="B22" i="97"/>
  <c r="F23" i="96"/>
  <c r="B23" i="97"/>
  <c r="F24" i="96"/>
  <c r="B24" i="97"/>
  <c r="F25" i="96"/>
  <c r="B25" i="97"/>
  <c r="F26" i="96"/>
  <c r="B26" i="97"/>
  <c r="F27" i="96"/>
  <c r="B27" i="97"/>
  <c r="F28" i="96"/>
  <c r="B28" i="97"/>
  <c r="F29" i="96"/>
  <c r="B29" i="97"/>
  <c r="F30" i="96"/>
  <c r="B30" i="97"/>
  <c r="F31" i="96"/>
  <c r="B31" i="97"/>
  <c r="F32" i="96"/>
  <c r="B32" i="97"/>
  <c r="F33" i="96"/>
  <c r="B33" i="97"/>
  <c r="F34" i="96"/>
  <c r="B34" i="97"/>
  <c r="F35" i="96"/>
  <c r="B35" i="97"/>
  <c r="F36" i="96"/>
  <c r="B36" i="97"/>
  <c r="F37" i="96"/>
  <c r="B37" i="97"/>
  <c r="F38" i="96"/>
  <c r="B38" i="97"/>
  <c r="F39" i="96"/>
  <c r="B39" i="97"/>
  <c r="F40" i="96"/>
  <c r="B40" i="97"/>
  <c r="F41" i="96"/>
  <c r="B41" i="97"/>
  <c r="F42" i="96"/>
  <c r="B42" i="97"/>
  <c r="F43" i="96"/>
  <c r="B43" i="97"/>
  <c r="F44" i="96"/>
  <c r="B44" i="97"/>
  <c r="F45" i="96"/>
  <c r="B45" i="97"/>
  <c r="F46" i="96"/>
  <c r="B46" i="97"/>
  <c r="F47" i="96"/>
  <c r="B47" i="97"/>
  <c r="F48" i="96"/>
  <c r="B48" i="97"/>
  <c r="F49" i="96"/>
  <c r="B49" i="97"/>
  <c r="F50" i="96"/>
  <c r="B50" i="97"/>
  <c r="F51" i="96"/>
  <c r="B51" i="97"/>
  <c r="F52" i="96"/>
  <c r="B52" i="97"/>
  <c r="F53" i="96"/>
  <c r="B53" i="97"/>
  <c r="F54" i="96"/>
  <c r="B54" i="97"/>
  <c r="F55" i="96"/>
  <c r="B55" i="97"/>
  <c r="F56" i="96"/>
  <c r="B56" i="97"/>
  <c r="F57" i="96"/>
  <c r="B57" i="97"/>
  <c r="F58" i="96"/>
  <c r="B58" i="97"/>
  <c r="F59" i="96"/>
  <c r="B59" i="97"/>
  <c r="F60" i="96"/>
  <c r="B60" i="97"/>
  <c r="F61" i="96"/>
  <c r="B61" i="97"/>
  <c r="F62" i="96"/>
  <c r="B62" i="97"/>
  <c r="F63" i="96"/>
  <c r="B63" i="97"/>
  <c r="F64" i="96"/>
  <c r="B64" i="97"/>
  <c r="F65" i="96"/>
  <c r="B65" i="97"/>
  <c r="F66" i="96"/>
  <c r="B66" i="97"/>
  <c r="F67" i="96"/>
  <c r="B67" i="97"/>
  <c r="F68" i="96"/>
  <c r="B68" i="97"/>
  <c r="F69" i="96"/>
  <c r="B69" i="97"/>
  <c r="F70" i="96"/>
  <c r="B70" i="97"/>
  <c r="F71" i="96"/>
  <c r="B71" i="97"/>
  <c r="F72" i="96"/>
  <c r="B72" i="97"/>
  <c r="F73" i="96"/>
  <c r="B73" i="97"/>
  <c r="F74" i="96"/>
  <c r="B74" i="97"/>
  <c r="F75" i="96"/>
  <c r="B75" i="97"/>
  <c r="F76" i="96"/>
  <c r="B76" i="97"/>
  <c r="F77" i="96"/>
  <c r="B77" i="97"/>
  <c r="F78" i="96"/>
  <c r="B78" i="97"/>
  <c r="F79" i="96"/>
  <c r="B79" i="97"/>
  <c r="F80" i="96"/>
  <c r="B80" i="97"/>
  <c r="F81" i="96"/>
  <c r="B81" i="97"/>
  <c r="F82" i="96"/>
  <c r="B82" i="97"/>
  <c r="F83" i="96"/>
  <c r="B83" i="97"/>
  <c r="F84" i="96"/>
  <c r="B84" i="97"/>
  <c r="F85" i="96"/>
  <c r="B85" i="97"/>
  <c r="F86" i="96"/>
  <c r="B86" i="97"/>
  <c r="F87" i="96"/>
  <c r="B87" i="97"/>
  <c r="F88" i="96"/>
  <c r="B88" i="97"/>
  <c r="F89" i="96"/>
  <c r="B89" i="97"/>
  <c r="F90" i="96"/>
  <c r="B90" i="97"/>
  <c r="F91" i="96"/>
  <c r="B91" i="97"/>
  <c r="F92" i="96"/>
  <c r="B92" i="97"/>
  <c r="F93" i="96"/>
  <c r="B93" i="97"/>
  <c r="F94" i="96"/>
  <c r="B94" i="97"/>
  <c r="F95" i="96"/>
  <c r="B95" i="97"/>
  <c r="F96" i="96"/>
  <c r="B96" i="97"/>
  <c r="F97" i="96"/>
  <c r="B97" i="97"/>
  <c r="F98" i="96"/>
  <c r="B98" i="97"/>
  <c r="F99" i="96"/>
  <c r="B99" i="97"/>
  <c r="F100" i="96"/>
  <c r="B100" i="97"/>
  <c r="F101" i="96"/>
  <c r="B101" i="97"/>
  <c r="F102" i="96"/>
  <c r="B102" i="97"/>
  <c r="F103" i="96"/>
  <c r="B103" i="97"/>
  <c r="F104" i="96"/>
  <c r="B104" i="97"/>
  <c r="F105" i="96"/>
  <c r="B105" i="97"/>
  <c r="F106" i="96"/>
  <c r="B106" i="97"/>
  <c r="F107" i="96"/>
  <c r="B107" i="97"/>
  <c r="F108" i="96"/>
  <c r="B108" i="97"/>
  <c r="F109" i="96"/>
  <c r="B109" i="97"/>
  <c r="F110" i="96"/>
  <c r="B110" i="97"/>
  <c r="F111" i="96"/>
  <c r="B111" i="97"/>
  <c r="F112" i="96"/>
  <c r="B112" i="97"/>
  <c r="F113" i="96"/>
  <c r="B113" i="97"/>
  <c r="F114" i="96"/>
  <c r="B114" i="97"/>
  <c r="F115" i="96"/>
  <c r="B115" i="97"/>
  <c r="F116" i="96"/>
  <c r="B116" i="97"/>
  <c r="F117" i="96"/>
  <c r="B117" i="97"/>
  <c r="F118" i="96"/>
  <c r="B118" i="97"/>
  <c r="F119" i="96"/>
  <c r="B119" i="97"/>
  <c r="F120" i="96"/>
  <c r="B120" i="97"/>
  <c r="F121" i="96"/>
  <c r="B121" i="97"/>
  <c r="F122" i="96"/>
  <c r="B122" i="97"/>
  <c r="F2" i="96"/>
  <c r="B2"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87" i="97"/>
  <c r="L87" i="97"/>
  <c r="H87" i="97"/>
  <c r="E87" i="97"/>
  <c r="O86" i="97"/>
  <c r="L86" i="97"/>
  <c r="H86" i="97"/>
  <c r="E86" i="97"/>
  <c r="O85" i="97"/>
  <c r="L85" i="97"/>
  <c r="H85" i="97"/>
  <c r="E85" i="97"/>
  <c r="O84" i="97"/>
  <c r="L84" i="97"/>
  <c r="H84" i="97"/>
  <c r="E84" i="97"/>
  <c r="O83" i="97"/>
  <c r="L83" i="97"/>
  <c r="H83" i="97"/>
  <c r="E83" i="97"/>
  <c r="O82" i="97"/>
  <c r="L82" i="97"/>
  <c r="H82" i="97"/>
  <c r="E82" i="97"/>
  <c r="O81" i="97"/>
  <c r="L81" i="97"/>
  <c r="H81" i="97"/>
  <c r="E81" i="97"/>
  <c r="O80" i="97"/>
  <c r="L80" i="97"/>
  <c r="H80" i="97"/>
  <c r="E80" i="97"/>
  <c r="O79" i="97"/>
  <c r="L79" i="97"/>
  <c r="H79" i="97"/>
  <c r="E7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13" i="96"/>
  <c r="K112" i="96"/>
  <c r="K111" i="96"/>
  <c r="K110" i="96"/>
  <c r="K109" i="96"/>
  <c r="K108" i="96"/>
  <c r="S107" i="96"/>
  <c r="R107" i="96"/>
  <c r="Q107" i="96"/>
  <c r="P107" i="96"/>
  <c r="O107" i="96"/>
  <c r="N107" i="96"/>
  <c r="M107" i="96"/>
  <c r="L107" i="96"/>
  <c r="K107" i="96"/>
  <c r="J107" i="96"/>
  <c r="I107" i="96"/>
  <c r="H107" i="96"/>
  <c r="G107" i="96"/>
  <c r="S106" i="96"/>
  <c r="R106" i="96"/>
  <c r="Q106" i="96"/>
  <c r="P106" i="96"/>
  <c r="O106" i="96"/>
  <c r="N106" i="96"/>
  <c r="M106" i="96"/>
  <c r="L106" i="96"/>
  <c r="K106" i="96"/>
  <c r="I106" i="96"/>
  <c r="H106" i="96"/>
  <c r="G106" i="96"/>
  <c r="S105" i="96"/>
  <c r="R105" i="96"/>
  <c r="Q105" i="96"/>
  <c r="P105" i="96"/>
  <c r="O105" i="96"/>
  <c r="N105" i="96"/>
  <c r="M105" i="96"/>
  <c r="L105" i="96"/>
  <c r="K105" i="96"/>
  <c r="I105" i="96"/>
  <c r="H105" i="96"/>
  <c r="G105" i="96"/>
  <c r="S104" i="96"/>
  <c r="R104" i="96"/>
  <c r="Q104" i="96"/>
  <c r="P104" i="96"/>
  <c r="O104" i="96"/>
  <c r="N104" i="96"/>
  <c r="M104" i="96"/>
  <c r="L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K101" i="96"/>
  <c r="J101" i="96"/>
  <c r="I101" i="96"/>
  <c r="H101" i="96"/>
  <c r="G101" i="96"/>
  <c r="S100" i="96"/>
  <c r="R100" i="96"/>
  <c r="Q100" i="96"/>
  <c r="P100" i="96"/>
  <c r="O100" i="96"/>
  <c r="N100" i="96"/>
  <c r="M100" i="96"/>
  <c r="L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K96" i="96"/>
  <c r="J96" i="96"/>
  <c r="I96" i="96"/>
  <c r="H96" i="96"/>
  <c r="G96" i="96"/>
  <c r="S95" i="96"/>
  <c r="R95" i="96"/>
  <c r="Q95" i="96"/>
  <c r="P95" i="96"/>
  <c r="O95" i="96"/>
  <c r="N95" i="96"/>
  <c r="M95" i="96"/>
  <c r="L95" i="96"/>
  <c r="K95" i="96"/>
  <c r="J95" i="96"/>
  <c r="I95" i="96"/>
  <c r="H95" i="96"/>
  <c r="G95" i="96"/>
  <c r="S94" i="96"/>
  <c r="R94" i="96"/>
  <c r="Q94" i="96"/>
  <c r="P94" i="96"/>
  <c r="O94" i="96"/>
  <c r="N94" i="96"/>
  <c r="M94" i="96"/>
  <c r="L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K90" i="96"/>
  <c r="J90" i="96"/>
  <c r="I90" i="96"/>
  <c r="H90" i="96"/>
  <c r="G90" i="96"/>
  <c r="S89" i="96"/>
  <c r="R89" i="96"/>
  <c r="Q89" i="96"/>
  <c r="P89" i="96"/>
  <c r="O89" i="96"/>
  <c r="N89" i="96"/>
  <c r="M89" i="96"/>
  <c r="L89" i="96"/>
  <c r="K89" i="96"/>
  <c r="J89" i="96"/>
  <c r="I89" i="96"/>
  <c r="H89" i="96"/>
  <c r="G89" i="96"/>
  <c r="S88" i="96"/>
  <c r="R88" i="96"/>
  <c r="Q88" i="96"/>
  <c r="P88" i="96"/>
  <c r="O88" i="96"/>
  <c r="N88" i="96"/>
  <c r="M88" i="96"/>
  <c r="L88" i="96"/>
  <c r="K88" i="96"/>
  <c r="J88" i="96"/>
  <c r="I88" i="96"/>
  <c r="H88" i="96"/>
  <c r="G88" i="96"/>
  <c r="S87" i="96"/>
  <c r="R87" i="96"/>
  <c r="Q87" i="96"/>
  <c r="P87" i="96"/>
  <c r="O87" i="96"/>
  <c r="N87" i="96"/>
  <c r="M87" i="96"/>
  <c r="L87" i="96"/>
  <c r="K87" i="96"/>
  <c r="J87" i="96"/>
  <c r="I87" i="96"/>
  <c r="H87" i="96"/>
  <c r="G87" i="96"/>
  <c r="S86" i="96"/>
  <c r="R86" i="96"/>
  <c r="Q86" i="96"/>
  <c r="P86" i="96"/>
  <c r="O86" i="96"/>
  <c r="N86" i="96"/>
  <c r="M86" i="96"/>
  <c r="L86" i="96"/>
  <c r="K86" i="96"/>
  <c r="J86" i="96"/>
  <c r="I86" i="96"/>
  <c r="H86" i="96"/>
  <c r="G86" i="96"/>
  <c r="S85" i="96"/>
  <c r="R85" i="96"/>
  <c r="Q85" i="96"/>
  <c r="P85" i="96"/>
  <c r="O85" i="96"/>
  <c r="N85" i="96"/>
  <c r="M85" i="96"/>
  <c r="L85" i="96"/>
  <c r="K85" i="96"/>
  <c r="J85" i="96"/>
  <c r="I85" i="96"/>
  <c r="H85" i="96"/>
  <c r="G85" i="96"/>
  <c r="S84" i="96"/>
  <c r="R84" i="96"/>
  <c r="Q84" i="96"/>
  <c r="P84" i="96"/>
  <c r="O84" i="96"/>
  <c r="N84" i="96"/>
  <c r="M84" i="96"/>
  <c r="L84" i="96"/>
  <c r="K84" i="96"/>
  <c r="J84" i="96"/>
  <c r="I84" i="96"/>
  <c r="H84" i="96"/>
  <c r="G84" i="96"/>
  <c r="S83" i="96"/>
  <c r="R83" i="96"/>
  <c r="Q83" i="96"/>
  <c r="P83" i="96"/>
  <c r="O83" i="96"/>
  <c r="N83" i="96"/>
  <c r="M83" i="96"/>
  <c r="L83" i="96"/>
  <c r="K83" i="96"/>
  <c r="J83" i="96"/>
  <c r="I83" i="96"/>
  <c r="H83" i="96"/>
  <c r="G83" i="96"/>
  <c r="S82" i="96"/>
  <c r="R82" i="96"/>
  <c r="Q82" i="96"/>
  <c r="P82" i="96"/>
  <c r="O82" i="96"/>
  <c r="N82" i="96"/>
  <c r="M82" i="96"/>
  <c r="L82" i="96"/>
  <c r="K82" i="96"/>
  <c r="J82" i="96"/>
  <c r="I82" i="96"/>
  <c r="H82" i="96"/>
  <c r="G82" i="96"/>
  <c r="S81" i="96"/>
  <c r="R81" i="96"/>
  <c r="Q81" i="96"/>
  <c r="P81" i="96"/>
  <c r="O81" i="96"/>
  <c r="N81" i="96"/>
  <c r="M81" i="96"/>
  <c r="L81" i="96"/>
  <c r="K81" i="96"/>
  <c r="J81" i="96"/>
  <c r="I81" i="96"/>
  <c r="H81" i="96"/>
  <c r="G81" i="96"/>
  <c r="S80" i="96"/>
  <c r="R80" i="96"/>
  <c r="Q80" i="96"/>
  <c r="P80" i="96"/>
  <c r="O80" i="96"/>
  <c r="N80" i="96"/>
  <c r="M80" i="96"/>
  <c r="L80" i="96"/>
  <c r="K80" i="96"/>
  <c r="J80" i="96"/>
  <c r="I80" i="96"/>
  <c r="H80" i="96"/>
  <c r="G80" i="96"/>
  <c r="S79" i="96"/>
  <c r="R79" i="96"/>
  <c r="Q79" i="96"/>
  <c r="P79" i="96"/>
  <c r="O79" i="96"/>
  <c r="N79" i="96"/>
  <c r="M79" i="96"/>
  <c r="L79" i="96"/>
  <c r="K79" i="96"/>
  <c r="J79" i="96"/>
  <c r="I79" i="96"/>
  <c r="H79" i="96"/>
  <c r="G79" i="96"/>
  <c r="S78" i="96"/>
  <c r="R78" i="96"/>
  <c r="Q78" i="96"/>
  <c r="P78" i="96"/>
  <c r="O78" i="96"/>
  <c r="N78" i="96"/>
  <c r="M78" i="96"/>
  <c r="L78" i="96"/>
  <c r="K78" i="96"/>
  <c r="J78" i="96"/>
  <c r="I78" i="96"/>
  <c r="H78" i="96"/>
  <c r="G78" i="96"/>
  <c r="S77" i="96"/>
  <c r="R77" i="96"/>
  <c r="Q77" i="96"/>
  <c r="P77" i="96"/>
  <c r="O77" i="96"/>
  <c r="N77" i="96"/>
  <c r="M77" i="96"/>
  <c r="L77" i="96"/>
  <c r="K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K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L71" i="96"/>
  <c r="K71" i="96"/>
  <c r="J71" i="96"/>
  <c r="I71" i="96"/>
  <c r="H71" i="96"/>
  <c r="G71" i="96"/>
  <c r="S70" i="96"/>
  <c r="R70" i="96"/>
  <c r="Q70" i="96"/>
  <c r="P70" i="96"/>
  <c r="O70" i="96"/>
  <c r="N70" i="96"/>
  <c r="M70" i="96"/>
  <c r="L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22" i="96"/>
  <c r="R122" i="96"/>
  <c r="K122" i="96"/>
  <c r="J122" i="96"/>
  <c r="I122" i="96"/>
  <c r="H122" i="96"/>
  <c r="G122" i="96"/>
  <c r="S121" i="96"/>
  <c r="R121" i="96"/>
  <c r="K121" i="96"/>
  <c r="J121" i="96"/>
  <c r="I121" i="96"/>
  <c r="H121" i="96"/>
  <c r="G121" i="96"/>
  <c r="S120" i="96"/>
  <c r="R120" i="96"/>
  <c r="K120" i="96"/>
  <c r="J120" i="96"/>
  <c r="I120" i="96"/>
  <c r="H120" i="96"/>
  <c r="G120" i="96"/>
  <c r="S119" i="96"/>
  <c r="R119" i="96"/>
  <c r="K119" i="96"/>
  <c r="J119" i="96"/>
  <c r="I119" i="96"/>
  <c r="H119" i="96"/>
  <c r="G119" i="96"/>
  <c r="S118" i="96"/>
  <c r="R118" i="96"/>
  <c r="K118" i="96"/>
  <c r="J118" i="96"/>
  <c r="I118" i="96"/>
  <c r="H118" i="96"/>
  <c r="G118" i="96"/>
  <c r="S66" i="96"/>
  <c r="R66" i="96"/>
  <c r="Q66" i="96"/>
  <c r="P66" i="96"/>
  <c r="O66" i="96"/>
  <c r="N66" i="96"/>
  <c r="M66" i="96"/>
  <c r="L66" i="96"/>
  <c r="K66" i="96"/>
  <c r="J66" i="96"/>
  <c r="I66" i="96"/>
  <c r="H66" i="96"/>
  <c r="G66" i="96"/>
  <c r="S65" i="96"/>
  <c r="R65" i="96"/>
  <c r="Q65" i="96"/>
  <c r="P65" i="96"/>
  <c r="O65" i="96"/>
  <c r="N65" i="96"/>
  <c r="M65" i="96"/>
  <c r="L65" i="96"/>
  <c r="K65" i="96"/>
  <c r="J65" i="96"/>
  <c r="I65" i="96"/>
  <c r="H65" i="96"/>
  <c r="G65" i="96"/>
  <c r="S64" i="96"/>
  <c r="R64" i="96"/>
  <c r="Q64" i="96"/>
  <c r="P64" i="96"/>
  <c r="O64" i="96"/>
  <c r="N64" i="96"/>
  <c r="M64" i="96"/>
  <c r="L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14" i="96"/>
  <c r="R114" i="96"/>
  <c r="K114" i="96"/>
  <c r="J114" i="96"/>
  <c r="I114" i="96"/>
  <c r="H114" i="96"/>
  <c r="G11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L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L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L31" i="96"/>
  <c r="K31" i="96"/>
  <c r="J31" i="96"/>
  <c r="I31" i="96"/>
  <c r="H31" i="96"/>
  <c r="G31" i="96"/>
  <c r="S30" i="96"/>
  <c r="R30" i="96"/>
  <c r="Q30" i="96"/>
  <c r="P30" i="96"/>
  <c r="O30" i="96"/>
  <c r="N30" i="96"/>
  <c r="M30" i="96"/>
  <c r="L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L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L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L16" i="96"/>
  <c r="K16" i="96"/>
  <c r="J16" i="96"/>
  <c r="I16" i="96"/>
  <c r="H16" i="96"/>
  <c r="G16" i="96"/>
  <c r="S15" i="96"/>
  <c r="R15" i="96"/>
  <c r="Q15" i="96"/>
  <c r="P15" i="96"/>
  <c r="O15" i="96"/>
  <c r="N15" i="96"/>
  <c r="M15" i="96"/>
  <c r="L15" i="96"/>
  <c r="K15" i="96"/>
  <c r="J15" i="96"/>
  <c r="I15" i="96"/>
  <c r="H15" i="96"/>
  <c r="G15" i="96"/>
  <c r="S14" i="96"/>
  <c r="R14" i="96"/>
  <c r="Q14" i="96"/>
  <c r="P14" i="96"/>
  <c r="O14" i="96"/>
  <c r="N14" i="96"/>
  <c r="M14" i="96"/>
  <c r="L14" i="96"/>
  <c r="K14" i="96"/>
  <c r="J14" i="96"/>
  <c r="I14" i="96"/>
  <c r="H14" i="96"/>
  <c r="G14" i="96"/>
  <c r="S13" i="96"/>
  <c r="R13" i="96"/>
  <c r="Q13" i="96"/>
  <c r="P13" i="96"/>
  <c r="O13" i="96"/>
  <c r="N13" i="96"/>
  <c r="M13" i="96"/>
  <c r="L13" i="96"/>
  <c r="K13" i="96"/>
  <c r="J13" i="96"/>
  <c r="I13" i="96"/>
  <c r="H13" i="96"/>
  <c r="G13" i="96"/>
  <c r="S117" i="96"/>
  <c r="R117" i="96"/>
  <c r="K117" i="96"/>
  <c r="J117" i="96"/>
  <c r="I117" i="96"/>
  <c r="H117" i="96"/>
  <c r="G117" i="96"/>
  <c r="S116" i="96"/>
  <c r="R116" i="96"/>
  <c r="K116" i="96"/>
  <c r="J116" i="96"/>
  <c r="I116" i="96"/>
  <c r="H116" i="96"/>
  <c r="G116" i="96"/>
  <c r="S115" i="96"/>
  <c r="R115" i="96"/>
  <c r="K115" i="96"/>
  <c r="J115" i="96"/>
  <c r="I115" i="96"/>
  <c r="H115" i="96"/>
  <c r="G115" i="96"/>
  <c r="S12" i="96"/>
  <c r="R12" i="96"/>
  <c r="Q12" i="96"/>
  <c r="P12" i="96"/>
  <c r="O12" i="96"/>
  <c r="N12" i="96"/>
  <c r="M12" i="96"/>
  <c r="L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3" i="86"/>
  <c r="F23" i="86"/>
  <c r="F24" i="86"/>
  <c r="E25" i="86"/>
  <c r="F25" i="86"/>
  <c r="E26" i="86"/>
  <c r="F26" i="86"/>
  <c r="E27" i="86"/>
  <c r="F27" i="86"/>
  <c r="E28" i="86"/>
  <c r="F28" i="86"/>
  <c r="E29" i="86"/>
  <c r="F29" i="86"/>
  <c r="E30" i="86"/>
  <c r="F30" i="86"/>
  <c r="E31" i="86"/>
  <c r="F31" i="86"/>
  <c r="E32" i="86"/>
  <c r="F32"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E126" i="86"/>
  <c r="F126" i="86"/>
  <c r="E127" i="86"/>
  <c r="F127" i="86"/>
  <c r="E128" i="86"/>
  <c r="F128" i="86"/>
  <c r="E129" i="86"/>
  <c r="F129" i="86"/>
  <c r="E130" i="86"/>
  <c r="F130" i="86"/>
  <c r="E131" i="86"/>
  <c r="F131" i="86"/>
  <c r="E132" i="86"/>
  <c r="F132" i="86"/>
  <c r="E133" i="86"/>
  <c r="F133" i="86"/>
  <c r="E134" i="86"/>
  <c r="F134" i="86"/>
  <c r="E135" i="86"/>
  <c r="F135" i="86"/>
  <c r="E136" i="86"/>
  <c r="F136" i="86"/>
  <c r="F137" i="86"/>
  <c r="F138" i="86"/>
  <c r="E139" i="86"/>
  <c r="F139" i="86"/>
  <c r="E140" i="86"/>
  <c r="F140" i="86"/>
  <c r="E141" i="86"/>
  <c r="F141" i="86"/>
  <c r="E142" i="86"/>
  <c r="F142" i="86"/>
  <c r="E143" i="86"/>
  <c r="F143" i="86"/>
  <c r="E144" i="86"/>
  <c r="F144" i="86"/>
  <c r="D145" i="86"/>
  <c r="E145" i="86"/>
  <c r="F145" i="86"/>
  <c r="D146" i="86"/>
  <c r="E146" i="86"/>
  <c r="F146" i="86"/>
  <c r="D147" i="86"/>
  <c r="E147" i="86"/>
  <c r="F147" i="86"/>
  <c r="D148" i="86"/>
  <c r="E148" i="86"/>
  <c r="F148" i="86"/>
  <c r="D149" i="86"/>
  <c r="E149" i="86"/>
  <c r="F149" i="86"/>
  <c r="F150" i="86"/>
  <c r="F151" i="86"/>
  <c r="E152" i="86"/>
  <c r="F152" i="86"/>
  <c r="F153" i="86"/>
  <c r="D154" i="86"/>
  <c r="E154" i="86"/>
  <c r="F154" i="86"/>
  <c r="D155" i="86"/>
  <c r="E155" i="86"/>
  <c r="F155" i="86"/>
  <c r="D156" i="86"/>
  <c r="E156" i="86"/>
  <c r="F156" i="86"/>
  <c r="D157" i="86"/>
  <c r="E157" i="86"/>
  <c r="F157" i="86"/>
  <c r="D158" i="86"/>
  <c r="E158" i="86"/>
  <c r="F158" i="86"/>
  <c r="D159" i="86"/>
  <c r="E159" i="86"/>
  <c r="F159" i="86"/>
  <c r="D160" i="86"/>
  <c r="E160" i="86"/>
  <c r="F160" i="86"/>
  <c r="D161" i="86"/>
  <c r="E161" i="86"/>
  <c r="F161" i="86"/>
  <c r="D162" i="86"/>
  <c r="E162" i="86"/>
  <c r="F162" i="86"/>
  <c r="D163" i="86"/>
  <c r="E163" i="86"/>
  <c r="F163" i="86"/>
  <c r="D164" i="86"/>
  <c r="E164" i="86"/>
  <c r="F164" i="86"/>
  <c r="D165" i="86"/>
  <c r="E165" i="86"/>
  <c r="F165" i="86"/>
  <c r="D166" i="86"/>
  <c r="E166" i="86"/>
  <c r="F166" i="86"/>
  <c r="D167" i="86"/>
  <c r="E167" i="86"/>
  <c r="F167" i="86"/>
  <c r="D168" i="86"/>
  <c r="E168" i="86"/>
  <c r="F168" i="86"/>
  <c r="D169" i="86"/>
  <c r="E169" i="86"/>
  <c r="F169" i="86"/>
  <c r="D170" i="86"/>
  <c r="E170" i="86"/>
  <c r="F170" i="86"/>
  <c r="D171" i="86"/>
  <c r="E171" i="86"/>
  <c r="F171" i="86"/>
  <c r="D172" i="86"/>
  <c r="E172" i="86"/>
  <c r="F172" i="86"/>
  <c r="D173" i="86"/>
  <c r="E173" i="86"/>
  <c r="F173" i="86"/>
  <c r="F174" i="86"/>
  <c r="F175" i="86"/>
  <c r="F176" i="86"/>
  <c r="F177" i="86"/>
  <c r="F2" i="86"/>
  <c r="F161" i="87"/>
  <c r="F160" i="87"/>
  <c r="F159" i="87"/>
  <c r="F158" i="87"/>
  <c r="F157" i="87"/>
  <c r="F156" i="87"/>
  <c r="F155" i="87"/>
  <c r="F154" i="87"/>
  <c r="D135" i="87"/>
  <c r="D136" i="87"/>
  <c r="D137" i="87"/>
  <c r="D138" i="87"/>
  <c r="D139" i="87"/>
  <c r="D140" i="87"/>
  <c r="D141" i="87"/>
  <c r="D142" i="87"/>
  <c r="D143" i="87"/>
  <c r="D144" i="87"/>
  <c r="D145" i="87"/>
  <c r="D146" i="87"/>
  <c r="D147" i="87"/>
  <c r="D148" i="87"/>
  <c r="D149" i="87"/>
  <c r="D150" i="87"/>
  <c r="D151" i="87"/>
  <c r="D152" i="87"/>
  <c r="D153" i="87"/>
  <c r="E153" i="87"/>
  <c r="F153" i="87"/>
  <c r="E152" i="87"/>
  <c r="F152" i="87"/>
  <c r="E151" i="87"/>
  <c r="F151" i="87"/>
  <c r="E150" i="87"/>
  <c r="F150" i="87"/>
  <c r="E149" i="87"/>
  <c r="F149" i="87"/>
  <c r="E148" i="87"/>
  <c r="F148" i="87"/>
  <c r="E147" i="87"/>
  <c r="F147" i="87"/>
  <c r="E146" i="87"/>
  <c r="F146" i="87"/>
  <c r="E145" i="87"/>
  <c r="F145" i="87"/>
  <c r="E144" i="87"/>
  <c r="F144" i="87"/>
  <c r="E143" i="87"/>
  <c r="F143" i="87"/>
  <c r="E142" i="87"/>
  <c r="F142" i="87"/>
  <c r="E141" i="87"/>
  <c r="F141" i="87"/>
  <c r="E140" i="87"/>
  <c r="F140" i="87"/>
  <c r="E139" i="87"/>
  <c r="F139" i="87"/>
  <c r="E138" i="87"/>
  <c r="F138" i="87"/>
  <c r="E137" i="87"/>
  <c r="F137" i="87"/>
  <c r="E136" i="87"/>
  <c r="F136" i="87"/>
  <c r="E135" i="87"/>
  <c r="F135" i="87"/>
  <c r="F134" i="87"/>
  <c r="F133" i="87"/>
  <c r="E132" i="87"/>
  <c r="F132" i="87"/>
  <c r="E131" i="87"/>
  <c r="F131" i="87"/>
  <c r="E130" i="87"/>
  <c r="F130" i="87"/>
  <c r="E129" i="87"/>
  <c r="F129" i="87"/>
  <c r="E128" i="87"/>
  <c r="F128" i="87"/>
  <c r="E127" i="87"/>
  <c r="F127" i="87"/>
  <c r="E126" i="87"/>
  <c r="F126" i="87"/>
  <c r="E125" i="87"/>
  <c r="F125" i="87"/>
  <c r="E124" i="87"/>
  <c r="F124" i="87"/>
  <c r="E123" i="87"/>
  <c r="F123" i="87"/>
  <c r="F122" i="87"/>
  <c r="F121" i="87"/>
  <c r="E120" i="87"/>
  <c r="F120" i="87"/>
  <c r="E119" i="87"/>
  <c r="F119" i="87"/>
  <c r="E118" i="87"/>
  <c r="F118" i="87"/>
  <c r="E117" i="87"/>
  <c r="F117" i="87"/>
  <c r="E116" i="87"/>
  <c r="F116" i="87"/>
  <c r="E115" i="87"/>
  <c r="F115" i="87"/>
  <c r="E114" i="87"/>
  <c r="F114" i="87"/>
  <c r="E113" i="87"/>
  <c r="F113" i="87"/>
  <c r="E112"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F26" i="87"/>
  <c r="E25" i="87"/>
  <c r="F25" i="87"/>
  <c r="E24" i="87"/>
  <c r="F24" i="87"/>
  <c r="E23" i="87"/>
  <c r="F23" i="87"/>
  <c r="E22" i="87"/>
  <c r="F22" i="87"/>
  <c r="E21" i="87"/>
  <c r="F21" i="87"/>
  <c r="E20" i="87"/>
  <c r="F20" i="87"/>
  <c r="E19" i="87"/>
  <c r="F19" i="87"/>
  <c r="E18" i="87"/>
  <c r="F18" i="87"/>
  <c r="F17" i="87"/>
  <c r="F16" i="87"/>
  <c r="F15" i="87"/>
  <c r="F14" i="87"/>
  <c r="E13" i="87"/>
  <c r="F13" i="87"/>
  <c r="E12" i="87"/>
  <c r="F12" i="87"/>
  <c r="E11" i="87"/>
  <c r="F11" i="87"/>
  <c r="E10" i="87"/>
  <c r="F10" i="87"/>
  <c r="F9" i="87"/>
  <c r="F8" i="87"/>
  <c r="F7" i="87"/>
  <c r="F6" i="87"/>
  <c r="F5" i="87"/>
  <c r="F4" i="87"/>
  <c r="F3" i="87"/>
  <c r="F2" i="87"/>
  <c r="K161" i="87"/>
  <c r="K160" i="87"/>
  <c r="K159" i="87"/>
  <c r="K158" i="87"/>
  <c r="K157" i="87"/>
  <c r="E22" i="91"/>
  <c r="O21" i="91"/>
  <c r="I21" i="91"/>
  <c r="E21" i="91"/>
  <c r="E19" i="91"/>
  <c r="E18" i="91"/>
  <c r="E16" i="91"/>
  <c r="T156" i="91"/>
  <c r="O156" i="91"/>
  <c r="I156" i="91"/>
  <c r="E156" i="91"/>
  <c r="T155" i="91"/>
  <c r="O155" i="91"/>
  <c r="I155" i="91"/>
  <c r="E155" i="91"/>
  <c r="T154" i="91"/>
  <c r="O154" i="91"/>
  <c r="I154" i="91"/>
  <c r="E154" i="91"/>
  <c r="T153" i="91"/>
  <c r="O153" i="91"/>
  <c r="I153" i="91"/>
  <c r="E153" i="91"/>
  <c r="T151" i="91"/>
  <c r="O151" i="91"/>
  <c r="I151" i="91"/>
  <c r="E151" i="91"/>
  <c r="T150" i="91"/>
  <c r="O150" i="91"/>
  <c r="I150" i="91"/>
  <c r="E150" i="91"/>
  <c r="T149" i="91"/>
  <c r="O149" i="91"/>
  <c r="I149" i="91"/>
  <c r="E149" i="91"/>
  <c r="T148" i="91"/>
  <c r="O148" i="91"/>
  <c r="I148" i="91"/>
  <c r="E148" i="91"/>
  <c r="T147" i="91"/>
  <c r="O147" i="91"/>
  <c r="I147" i="91"/>
  <c r="E147" i="91"/>
  <c r="T145" i="91"/>
  <c r="O145" i="91"/>
  <c r="I145" i="91"/>
  <c r="E145" i="91"/>
  <c r="T144" i="91"/>
  <c r="O144" i="91"/>
  <c r="I144" i="91"/>
  <c r="E144" i="91"/>
  <c r="T142" i="91"/>
  <c r="O142" i="91"/>
  <c r="I142" i="91"/>
  <c r="E142" i="91"/>
  <c r="T141" i="91"/>
  <c r="O141" i="91"/>
  <c r="I141" i="91"/>
  <c r="E141" i="91"/>
  <c r="T140" i="91"/>
  <c r="O140" i="91"/>
  <c r="I140" i="91"/>
  <c r="E140" i="91"/>
  <c r="T139" i="91"/>
  <c r="O139" i="91"/>
  <c r="I139" i="91"/>
  <c r="E139" i="91"/>
  <c r="T138" i="91"/>
  <c r="O138" i="91"/>
  <c r="I138" i="91"/>
  <c r="E138" i="91"/>
  <c r="T137" i="91"/>
  <c r="O137" i="91"/>
  <c r="I137" i="91"/>
  <c r="E137" i="91"/>
  <c r="T136" i="91"/>
  <c r="O136" i="91"/>
  <c r="I136" i="91"/>
  <c r="E136" i="91"/>
  <c r="I132" i="91"/>
  <c r="E132" i="91"/>
  <c r="T131" i="91"/>
  <c r="O131" i="91"/>
  <c r="I131" i="91"/>
  <c r="E131" i="91"/>
  <c r="T129" i="91"/>
  <c r="O129" i="91"/>
  <c r="I129" i="91"/>
  <c r="E129" i="91"/>
  <c r="E128" i="91"/>
  <c r="E127" i="91"/>
  <c r="T126" i="91"/>
  <c r="O126" i="91"/>
  <c r="I126" i="91"/>
  <c r="E126" i="91"/>
  <c r="T125" i="91"/>
  <c r="O125" i="91"/>
  <c r="I125" i="91"/>
  <c r="E125" i="91"/>
  <c r="E118" i="91"/>
  <c r="E117" i="91"/>
  <c r="E116" i="91"/>
  <c r="E115" i="91"/>
  <c r="E114" i="91"/>
  <c r="E113" i="91"/>
  <c r="E112" i="91"/>
  <c r="E111" i="91"/>
  <c r="T105" i="91"/>
  <c r="O105" i="91"/>
  <c r="I105" i="91"/>
  <c r="E105" i="91"/>
  <c r="T103" i="91"/>
  <c r="O103" i="91"/>
  <c r="I103" i="91"/>
  <c r="E103" i="91"/>
  <c r="T102" i="91"/>
  <c r="O102" i="91"/>
  <c r="I102" i="91"/>
  <c r="E102" i="91"/>
  <c r="E98" i="91"/>
  <c r="E97" i="91"/>
  <c r="T93" i="91"/>
  <c r="O93" i="91"/>
  <c r="I93" i="91"/>
  <c r="E93" i="91"/>
  <c r="E92" i="91"/>
  <c r="T91" i="91"/>
  <c r="O91" i="91"/>
  <c r="I91" i="91"/>
  <c r="E91" i="91"/>
  <c r="E90" i="91"/>
  <c r="E89" i="91"/>
  <c r="T80" i="91"/>
  <c r="O80" i="91"/>
  <c r="I80" i="91"/>
  <c r="E80" i="91"/>
  <c r="E78" i="91"/>
  <c r="E77" i="91"/>
  <c r="T73" i="91"/>
  <c r="O73" i="91"/>
  <c r="I73" i="91"/>
  <c r="E73" i="91"/>
  <c r="E69" i="91"/>
  <c r="E68" i="91"/>
  <c r="E67" i="91"/>
  <c r="E66" i="91"/>
  <c r="E61" i="91"/>
  <c r="E60" i="91"/>
  <c r="E57" i="91"/>
  <c r="E56" i="91"/>
  <c r="E55" i="91"/>
  <c r="E54" i="91"/>
  <c r="E53" i="91"/>
  <c r="E50" i="91"/>
  <c r="E49" i="91"/>
  <c r="E45" i="91"/>
  <c r="T43" i="91"/>
  <c r="O43" i="91"/>
  <c r="I43" i="91"/>
  <c r="E43" i="91"/>
  <c r="T41" i="91"/>
  <c r="O41" i="91"/>
  <c r="I41" i="91"/>
  <c r="E41"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3" i="90"/>
  <c r="Y55" i="90"/>
  <c r="Y56" i="90"/>
  <c r="Y57" i="90"/>
  <c r="Y58" i="90"/>
  <c r="Y59" i="90"/>
  <c r="Y62" i="90"/>
  <c r="Y63" i="90"/>
  <c r="Y64" i="90"/>
  <c r="Y65" i="90"/>
  <c r="Y66" i="90"/>
  <c r="Y68" i="90"/>
  <c r="Y70" i="90"/>
  <c r="Y72" i="90"/>
  <c r="Y74" i="90"/>
  <c r="Y75"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5" i="90"/>
  <c r="Y116" i="90"/>
  <c r="Y119" i="90"/>
  <c r="Y123" i="90"/>
  <c r="Y124" i="90"/>
  <c r="Y125" i="90"/>
  <c r="Y126" i="90"/>
  <c r="Y127" i="90"/>
  <c r="Y128" i="90"/>
  <c r="Y142" i="90"/>
  <c r="Y151" i="90"/>
  <c r="Y152" i="90"/>
  <c r="Y153" i="90"/>
  <c r="Y154" i="90"/>
  <c r="Y155" i="90"/>
  <c r="Y156" i="90"/>
  <c r="Y157" i="90"/>
  <c r="Y158" i="90"/>
  <c r="Y159" i="90"/>
  <c r="Y160" i="90"/>
  <c r="Y161" i="90"/>
  <c r="Y162" i="90"/>
  <c r="Y163" i="90"/>
  <c r="Y164" i="90"/>
  <c r="Y165" i="90"/>
  <c r="Y166" i="90"/>
  <c r="Y167" i="90"/>
  <c r="Y168" i="90"/>
  <c r="Y169" i="90"/>
  <c r="Y170" i="90"/>
  <c r="Y171" i="90"/>
  <c r="Y172" i="90"/>
  <c r="Y173" i="90"/>
  <c r="Y174" i="90"/>
  <c r="Y175" i="90"/>
  <c r="Y176"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27" i="90"/>
  <c r="R128" i="90"/>
  <c r="R142" i="90"/>
  <c r="R152" i="90"/>
  <c r="R153" i="90"/>
  <c r="R154" i="90"/>
  <c r="R155" i="90"/>
  <c r="R156" i="90"/>
  <c r="R157" i="90"/>
  <c r="R158" i="90"/>
  <c r="R159" i="90"/>
  <c r="R160" i="90"/>
  <c r="R161" i="90"/>
  <c r="R162" i="90"/>
  <c r="R163" i="90"/>
  <c r="R164" i="90"/>
  <c r="R165" i="90"/>
  <c r="R166" i="90"/>
  <c r="R167" i="90"/>
  <c r="R168" i="90"/>
  <c r="R169" i="90"/>
  <c r="R170" i="90"/>
  <c r="R171" i="90"/>
  <c r="R172" i="90"/>
  <c r="R173" i="90"/>
  <c r="R174" i="90"/>
  <c r="R175" i="90"/>
  <c r="R176"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27" i="90"/>
  <c r="J128" i="90"/>
  <c r="J142"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27" i="90"/>
  <c r="E128" i="90"/>
  <c r="E142" i="90"/>
  <c r="E152" i="90"/>
  <c r="E153" i="90"/>
  <c r="E154" i="90"/>
  <c r="E155" i="90"/>
  <c r="E156" i="90"/>
  <c r="E157" i="90"/>
  <c r="E158" i="90"/>
  <c r="E159" i="90"/>
  <c r="E160" i="90"/>
  <c r="E161" i="90"/>
  <c r="E162" i="90"/>
  <c r="E163" i="90"/>
  <c r="E164" i="90"/>
  <c r="E165" i="90"/>
  <c r="E166" i="90"/>
  <c r="E167" i="90"/>
  <c r="E168" i="90"/>
  <c r="E169" i="90"/>
  <c r="E170" i="90"/>
  <c r="E171" i="90"/>
  <c r="E172" i="90"/>
  <c r="E173" i="90"/>
  <c r="E174" i="90"/>
  <c r="E175" i="90"/>
  <c r="E176"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3" i="86"/>
  <c r="L23" i="86"/>
  <c r="M23" i="86"/>
  <c r="N23" i="86"/>
  <c r="O23" i="86"/>
  <c r="P23" i="86"/>
  <c r="Q23" i="86"/>
  <c r="R23" i="86"/>
  <c r="S23"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M34" i="86"/>
  <c r="N34" i="86"/>
  <c r="O34" i="86"/>
  <c r="P34" i="86"/>
  <c r="Q34" i="86"/>
  <c r="R34" i="86"/>
  <c r="S34" i="86"/>
  <c r="K35" i="86"/>
  <c r="L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S2" i="86"/>
  <c r="R2" i="86"/>
  <c r="Q2" i="86"/>
  <c r="P2" i="86"/>
  <c r="O2" i="86"/>
  <c r="N2" i="86"/>
  <c r="M2" i="86"/>
  <c r="L2" i="86"/>
  <c r="K2" i="86"/>
  <c r="S3" i="87"/>
  <c r="S4" i="87"/>
  <c r="S5" i="87"/>
  <c r="S6" i="87"/>
  <c r="S7" i="87"/>
  <c r="S8" i="87"/>
  <c r="S9" i="87"/>
  <c r="S10" i="87"/>
  <c r="S11" i="87"/>
  <c r="S12" i="87"/>
  <c r="S13" i="87"/>
  <c r="S14" i="87"/>
  <c r="S15" i="87"/>
  <c r="S16" i="87"/>
  <c r="S17"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2" i="87"/>
  <c r="R3" i="87"/>
  <c r="R4" i="87"/>
  <c r="R5" i="87"/>
  <c r="R6" i="87"/>
  <c r="R7" i="87"/>
  <c r="R8" i="87"/>
  <c r="R9" i="87"/>
  <c r="R10" i="87"/>
  <c r="R11" i="87"/>
  <c r="R12" i="87"/>
  <c r="R13" i="87"/>
  <c r="R14" i="87"/>
  <c r="R15" i="87"/>
  <c r="R16" i="87"/>
  <c r="R17"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2" i="87"/>
  <c r="Q3" i="87"/>
  <c r="Q4" i="87"/>
  <c r="Q5" i="87"/>
  <c r="Q6" i="87"/>
  <c r="Q7" i="87"/>
  <c r="Q8" i="87"/>
  <c r="Q9" i="87"/>
  <c r="Q10" i="87"/>
  <c r="Q11" i="87"/>
  <c r="Q12" i="87"/>
  <c r="Q13" i="87"/>
  <c r="Q14" i="87"/>
  <c r="Q15" i="87"/>
  <c r="Q16" i="87"/>
  <c r="Q17"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2" i="87"/>
  <c r="P3" i="87"/>
  <c r="P4" i="87"/>
  <c r="P5" i="87"/>
  <c r="P6" i="87"/>
  <c r="P7" i="87"/>
  <c r="P8" i="87"/>
  <c r="P9" i="87"/>
  <c r="P10" i="87"/>
  <c r="P11" i="87"/>
  <c r="P12" i="87"/>
  <c r="P13" i="87"/>
  <c r="P14" i="87"/>
  <c r="P15" i="87"/>
  <c r="P16" i="87"/>
  <c r="P17"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2" i="87"/>
  <c r="O3" i="87"/>
  <c r="O4" i="87"/>
  <c r="O5" i="87"/>
  <c r="O6" i="87"/>
  <c r="O7" i="87"/>
  <c r="O8" i="87"/>
  <c r="O9" i="87"/>
  <c r="O10" i="87"/>
  <c r="O11" i="87"/>
  <c r="O12" i="87"/>
  <c r="O13" i="87"/>
  <c r="O14" i="87"/>
  <c r="O15" i="87"/>
  <c r="O16" i="87"/>
  <c r="O17"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2" i="87"/>
  <c r="N3" i="87"/>
  <c r="N4" i="87"/>
  <c r="N5"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2" i="87"/>
  <c r="M3" i="87"/>
  <c r="M4" i="87"/>
  <c r="M5" i="87"/>
  <c r="M6" i="87"/>
  <c r="M7" i="87"/>
  <c r="M8" i="87"/>
  <c r="M9" i="87"/>
  <c r="M10" i="87"/>
  <c r="M11" i="87"/>
  <c r="M12" i="87"/>
  <c r="M13" i="87"/>
  <c r="M14" i="87"/>
  <c r="M15" i="87"/>
  <c r="M16" i="87"/>
  <c r="M17"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2" i="87"/>
  <c r="L3" i="87"/>
  <c r="L4" i="87"/>
  <c r="L5" i="87"/>
  <c r="L6" i="87"/>
  <c r="L7" i="87"/>
  <c r="L8" i="87"/>
  <c r="L9" i="87"/>
  <c r="L10" i="87"/>
  <c r="L11" i="87"/>
  <c r="L12" i="87"/>
  <c r="L13" i="87"/>
  <c r="L14" i="87"/>
  <c r="L15" i="87"/>
  <c r="L16" i="87"/>
  <c r="L17"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2" i="87"/>
  <c r="K3" i="87"/>
  <c r="K4" i="87"/>
  <c r="K5" i="87"/>
  <c r="K6" i="87"/>
  <c r="K7" i="87"/>
  <c r="K8" i="87"/>
  <c r="K9" i="87"/>
  <c r="K10" i="87"/>
  <c r="K11" i="87"/>
  <c r="K12" i="87"/>
  <c r="K13" i="87"/>
  <c r="K14" i="87"/>
  <c r="K15" i="87"/>
  <c r="K16" i="87"/>
  <c r="K17"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3" i="86"/>
  <c r="H23" i="86"/>
  <c r="I23" i="86"/>
  <c r="J23"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J2" i="86"/>
  <c r="I2" i="86"/>
  <c r="H2" i="86"/>
  <c r="G2" i="86"/>
  <c r="J2" i="87"/>
  <c r="J3" i="87"/>
  <c r="J4" i="87"/>
  <c r="J5" i="87"/>
  <c r="J6" i="87"/>
  <c r="J7" i="87"/>
  <c r="J8" i="87"/>
  <c r="J9" i="87"/>
  <c r="J10" i="87"/>
  <c r="J11" i="87"/>
  <c r="J12" i="87"/>
  <c r="J13" i="87"/>
  <c r="J14" i="87"/>
  <c r="J15" i="87"/>
  <c r="J16" i="87"/>
  <c r="J17"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I3" i="87"/>
  <c r="I4" i="87"/>
  <c r="I5" i="87"/>
  <c r="I6" i="87"/>
  <c r="I7" i="87"/>
  <c r="I8" i="87"/>
  <c r="I9" i="87"/>
  <c r="I10" i="87"/>
  <c r="I11" i="87"/>
  <c r="I12" i="87"/>
  <c r="I13" i="87"/>
  <c r="I14" i="87"/>
  <c r="I15" i="87"/>
  <c r="I16" i="87"/>
  <c r="I17"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2" i="87"/>
  <c r="H3" i="87"/>
  <c r="H4" i="87"/>
  <c r="H5" i="87"/>
  <c r="H6" i="87"/>
  <c r="H7" i="87"/>
  <c r="H8" i="87"/>
  <c r="H9" i="87"/>
  <c r="H10" i="87"/>
  <c r="H11" i="87"/>
  <c r="H12" i="87"/>
  <c r="H13" i="87"/>
  <c r="H14" i="87"/>
  <c r="H15" i="87"/>
  <c r="H16" i="87"/>
  <c r="H17"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2"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7"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B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<sst xmlns="http://schemas.openxmlformats.org/spreadsheetml/2006/main" count="50892" uniqueCount="2834">
  <si>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</si>
  <si>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</si>
  <si>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</si>
  <si>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</si>
  <si>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</si>
  <si>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</si>
  <si>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</si>
  <si>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</si>
  <si>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</si>
  <si>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</si>
  <si>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</si>
  <si>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</si>
  <si>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</si>
  <si>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</si>
  <si>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</si>
  <si>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</si>
  <si>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</si>
  <si>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</si>
  <si>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</si>
  <si>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</si>
  <si>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</si>
  <si>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</si>
  <si>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</si>
  <si>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</si>
  <si>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</si>
  <si>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</si>
  <si>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</si>
  <si>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</si>
  <si>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</si>
  <si>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</si>
  <si>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</si>
  <si>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</si>
  <si>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</si>
  <si>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</si>
  <si>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</si>
  <si>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</si>
  <si>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</si>
  <si>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</si>
  <si>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</si>
  <si>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</si>
  <si>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</si>
  <si>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</si>
  <si>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</si>
  <si>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</si>
  <si>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</si>
  <si>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</si>
  <si>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</si>
  <si>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</si>
  <si>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</si>
  <si>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</si>
  <si>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</si>
  <si>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</si>
  <si>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</si>
  <si>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</si>
  <si>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</si>
  <si>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</si>
  <si>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</si>
  <si>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</si>
  <si>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</si>
  <si>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</si>
  <si>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</si>
  <si>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</si>
  <si>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</si>
  <si>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</si>
  <si>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</si>
  <si>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</si>
  <si>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</si>
  <si>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</si>
  <si>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</si>
  <si>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</si>
  <si>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</si>
  <si>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</si>
  <si>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</si>
  <si>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</si>
  <si>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</si>
  <si>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</si>
  <si>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</si>
  <si>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</si>
  <si>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</si>
  <si>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</si>
  <si>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</si>
  <si>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</si>
  <si>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</si>
  <si>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</si>
  <si>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</si>
  <si>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</si>
  <si>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</si>
  <si>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</si>
  <si>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</si>
  <si>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</si>
  <si>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</si>
  <si>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</si>
  <si>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</si>
  <si>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</si>
  <si>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</si>
  <si>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</si>
  <si>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</si>
  <si>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</si>
  <si>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</si>
  <si>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</si>
  <si>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</si>
  <si>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</si>
  <si>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</si>
  <si>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</si>
  <si>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</si>
  <si>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</si>
  <si>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</si>
  <si>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</si>
  <si>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</si>
  <si>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</si>
  <si>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</si>
  <si>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</si>
  <si>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</si>
  <si>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</si>
  <si>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</si>
  <si>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</si>
  <si>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</si>
  <si>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</si>
  <si>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</si>
  <si>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</si>
  <si>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</si>
  <si>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</si>
  <si>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</si>
  <si>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</si>
  <si>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</si>
  <si>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</si>
  <si>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</si>
  <si>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</si>
  <si>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</si>
  <si>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</si>
  <si>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</si>
  <si>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</si>
  <si>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</si>
  <si>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</si>
  <si>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</si>
  <si>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</si>
  <si>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</si>
  <si>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</si>
  <si>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</si>
  <si>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</si>
  <si>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</si>
  <si>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</si>
  <si>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</si>
  <si>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</si>
  <si>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</si>
  <si>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</si>
  <si>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</si>
  <si>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</si>
  <si>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</si>
  <si>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</si>
  <si>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</si>
  <si>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</si>
  <si>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</si>
  <si>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</si>
  <si>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</si>
  <si>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</si>
  <si>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</si>
  <si>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</si>
  <si>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</si>
  <si>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</si>
  <si>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</si>
  <si>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</si>
  <si>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</si>
  <si>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</si>
  <si>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</si>
  <si>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</si>
  <si>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</si>
  <si>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</si>
  <si>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</si>
  <si>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</si>
  <si>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</si>
  <si>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</si>
  <si>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</si>
  <si>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</si>
  <si>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</si>
  <si>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</si>
  <si>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</si>
  <si>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</si>
  <si>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</si>
  <si>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</si>
  <si>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</si>
  <si>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</si>
  <si>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</si>
  <si>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</si>
  <si>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</si>
  <si>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</si>
  <si>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</si>
  <si>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</si>
  <si>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</si>
  <si>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</si>
  <si>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</si>
  <si>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</si>
  <si>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</si>
  <si>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</si>
  <si>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</si>
  <si>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</si>
  <si>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</si>
  <si>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</si>
  <si>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</si>
  <si>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</si>
  <si>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</si>
  <si>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</si>
  <si>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</si>
  <si>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</si>
  <si>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</si>
  <si>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</si>
  <si>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</si>
  <si>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</si>
  <si>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</si>
  <si>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</si>
  <si>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</si>
  <si>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</si>
  <si>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</si>
  <si>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</si>
  <si>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</si>
  <si>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</si>
  <si>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</si>
  <si>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</si>
  <si>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</si>
  <si>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</si>
  <si>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</si>
  <si>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</si>
  <si>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</si>
  <si>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</si>
  <si>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</si>
  <si>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</si>
  <si>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</si>
  <si>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</si>
  <si>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</si>
  <si>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</si>
  <si>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</si>
  <si>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</si>
  <si>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</si>
  <si>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</si>
  <si>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</si>
  <si>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</si>
  <si>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</si>
  <si>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</si>
  <si>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</si>
  <si>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</si>
  <si>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</si>
  <si>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</si>
  <si>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</si>
  <si>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</si>
  <si>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</si>
  <si>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</si>
  <si>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</si>
  <si>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</si>
  <si>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</si>
  <si>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</si>
  <si>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</si>
  <si>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</si>
  <si>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</si>
  <si>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</si>
  <si>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</si>
  <si>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</si>
  <si>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</si>
  <si>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</si>
  <si>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</si>
  <si>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</si>
  <si>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</si>
  <si>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</si>
  <si>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</si>
  <si>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</si>
  <si>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</si>
  <si>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</si>
  <si>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</si>
  <si>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</si>
  <si>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</si>
  <si>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</si>
  <si>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</si>
  <si>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</si>
  <si>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</si>
  <si>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</si>
  <si>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</si>
  <si>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</si>
  <si>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</si>
  <si>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</si>
  <si>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</si>
  <si>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</si>
  <si>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</si>
  <si>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</si>
  <si>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</si>
  <si>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</si>
  <si>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</si>
  <si>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</si>
  <si>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</si>
  <si>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</si>
  <si>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</si>
  <si>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</si>
  <si>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</si>
  <si>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</si>
  <si>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</si>
  <si>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</si>
  <si>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</si>
  <si>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</si>
  <si>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</si>
  <si>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</si>
  <si>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</si>
  <si>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</si>
  <si>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</si>
  <si>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</si>
  <si>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</si>
  <si>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</si>
  <si>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</si>
  <si>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</si>
  <si>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</si>
  <si>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</si>
  <si>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</si>
  <si>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</si>
  <si>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</si>
  <si>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</si>
  <si>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</si>
  <si>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</si>
  <si>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</si>
  <si>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</si>
  <si>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</si>
  <si>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</si>
  <si>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</si>
  <si>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</si>
  <si>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</si>
  <si>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</si>
  <si>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</si>
  <si>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</si>
  <si>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</si>
  <si>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</si>
  <si>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</si>
  <si>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</si>
  <si>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</si>
  <si>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</si>
  <si>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</si>
  <si>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</si>
  <si>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</si>
  <si>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</si>
  <si>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</si>
  <si>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</si>
  <si>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</si>
  <si>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</si>
  <si>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</si>
  <si>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</si>
  <si>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</si>
  <si>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</si>
  <si>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</si>
  <si>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</si>
  <si>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</si>
  <si>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</si>
  <si>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</si>
  <si>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</si>
  <si>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</si>
  <si>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</si>
  <si>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</si>
  <si>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</si>
  <si>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</si>
  <si>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</si>
  <si>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</si>
  <si>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</si>
  <si>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</si>
  <si>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</si>
  <si>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</si>
  <si>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</si>
  <si>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</si>
  <si>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</si>
  <si>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</si>
  <si>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</si>
  <si>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</si>
  <si>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</si>
  <si>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</si>
  <si>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</si>
  <si>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</si>
  <si>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</si>
  <si>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</si>
  <si>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</si>
  <si>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</si>
  <si>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</si>
  <si>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</si>
  <si>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</si>
  <si>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</si>
  <si>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</si>
  <si>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</si>
  <si>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</si>
  <si>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</si>
  <si>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</si>
  <si>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</si>
  <si>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</si>
  <si>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</si>
  <si>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</si>
  <si>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</si>
  <si>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</si>
  <si>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</si>
  <si>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</si>
  <si>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</si>
  <si>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</si>
  <si>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</si>
  <si>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</si>
  <si>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</si>
  <si>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</si>
  <si>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</si>
  <si>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</si>
  <si>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</si>
  <si>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</si>
  <si>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</si>
  <si>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</si>
  <si>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</si>
  <si>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</si>
  <si>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</si>
  <si>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</si>
  <si>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</si>
  <si>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</si>
  <si>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</si>
  <si>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</si>
  <si>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</si>
  <si>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</si>
  <si>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</si>
  <si>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</si>
  <si>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</si>
  <si>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</si>
  <si>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</si>
  <si>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</si>
  <si>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</si>
  <si>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</si>
  <si>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</si>
  <si>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</si>
  <si>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</si>
  <si>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</si>
  <si>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</si>
  <si>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</si>
  <si>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</si>
  <si>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</si>
  <si>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</si>
  <si>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</si>
  <si>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</si>
  <si>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</si>
  <si>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</si>
  <si>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</si>
  <si>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</si>
  <si>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</si>
  <si>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</si>
  <si>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</si>
  <si>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</si>
  <si>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</si>
  <si>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</si>
  <si>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</si>
  <si>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</si>
  <si>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</si>
  <si>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</si>
  <si>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</si>
  <si>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</si>
  <si>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</si>
  <si>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</si>
  <si>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</si>
  <si>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</si>
  <si>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</si>
  <si>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</si>
  <si>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</si>
  <si>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</si>
  <si>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</si>
  <si>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</si>
  <si>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</si>
  <si>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</si>
  <si>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</si>
  <si>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</si>
  <si>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</si>
  <si>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</si>
  <si>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</si>
  <si>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</si>
  <si>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</si>
  <si>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</si>
  <si>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</si>
  <si>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</si>
  <si>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</si>
  <si>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</si>
  <si>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</si>
  <si>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</si>
  <si>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</si>
  <si>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</si>
  <si>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</si>
  <si>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</si>
  <si>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</si>
  <si>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</si>
  <si>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</si>
  <si>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</si>
  <si>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</si>
  <si>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</si>
  <si>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</si>
  <si>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</si>
  <si>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</si>
  <si>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</si>
  <si>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</si>
  <si>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</si>
  <si>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</si>
  <si>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</si>
  <si>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</si>
  <si>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</si>
  <si>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</si>
  <si>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</si>
  <si>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</si>
  <si>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</si>
  <si>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</si>
  <si>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</si>
  <si>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</si>
  <si>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</si>
  <si>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</si>
  <si>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</si>
  <si>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</si>
  <si>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</si>
  <si>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</si>
  <si>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</si>
  <si>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</si>
  <si>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</si>
  <si>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</si>
  <si>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</si>
  <si>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</si>
  <si>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</si>
  <si>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</si>
  <si>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</si>
  <si>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</si>
  <si>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</si>
  <si>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</si>
  <si>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</si>
  <si>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</si>
  <si>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</si>
  <si>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</si>
  <si>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</si>
  <si>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</si>
  <si>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</si>
  <si>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</si>
  <si>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</si>
  <si>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</si>
  <si>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</si>
  <si>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</si>
  <si>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</si>
  <si>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</si>
  <si>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</si>
  <si>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</si>
  <si>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</si>
  <si>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</si>
  <si>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</si>
  <si>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</si>
  <si>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</si>
  <si>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</si>
  <si>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</si>
  <si>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</si>
  <si>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</si>
  <si>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</si>
  <si>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</si>
  <si>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</si>
  <si>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</si>
  <si>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</si>
  <si>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</si>
  <si>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</si>
  <si>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</si>
  <si>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</si>
  <si>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</si>
  <si>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</si>
  <si>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</si>
  <si>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</si>
  <si>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</si>
  <si>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</si>
  <si>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</si>
  <si>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</si>
  <si>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</si>
  <si>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</si>
  <si>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</si>
  <si>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</si>
  <si>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</si>
  <si>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</si>
  <si>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</si>
  <si>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</si>
  <si>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</si>
  <si>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</si>
  <si>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</si>
  <si>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</si>
  <si>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</si>
  <si>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</si>
  <si>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</si>
  <si>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</si>
  <si>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</si>
  <si>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</si>
  <si>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</si>
  <si>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</si>
  <si>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</si>
  <si>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</si>
  <si>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</si>
  <si>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</si>
  <si>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</si>
  <si>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</si>
  <si>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</si>
  <si>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</si>
  <si>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</si>
  <si>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</si>
  <si>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</si>
  <si>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</si>
  <si>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</si>
  <si>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</si>
  <si>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</si>
  <si>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</si>
  <si>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</si>
  <si>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</si>
  <si>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</si>
  <si>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</si>
  <si>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</si>
  <si>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</si>
  <si>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</si>
  <si>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</si>
  <si>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</si>
  <si>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</si>
  <si>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</si>
  <si>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</si>
  <si>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</si>
  <si>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</si>
  <si>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</si>
  <si>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</si>
  <si>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</si>
  <si>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</si>
  <si>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</si>
  <si>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</si>
  <si>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</si>
  <si>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</si>
  <si>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</si>
  <si>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</si>
  <si>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</si>
  <si>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</si>
  <si>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</si>
  <si>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</si>
  <si>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</si>
  <si>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</si>
  <si>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</si>
  <si>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</si>
  <si>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</si>
  <si>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</si>
  <si>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</si>
  <si>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</si>
  <si>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</si>
  <si>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</si>
  <si>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</si>
  <si>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</si>
  <si>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</si>
  <si>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</si>
  <si>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</si>
  <si>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</si>
  <si>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</si>
  <si>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</si>
  <si>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</si>
  <si>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</si>
  <si>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</si>
  <si>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</si>
  <si>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</si>
  <si>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</si>
  <si>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</si>
  <si>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</si>
  <si>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</si>
  <si>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</si>
  <si>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</si>
  <si>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</si>
  <si>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</si>
  <si>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</si>
  <si>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</si>
  <si>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</si>
  <si>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</si>
  <si>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</si>
  <si>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</si>
  <si>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</si>
  <si>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</si>
  <si>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</si>
  <si>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</si>
  <si>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</si>
  <si>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</si>
  <si>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</si>
  <si>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</si>
  <si>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</si>
  <si>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</si>
  <si>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</si>
  <si>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</si>
  <si>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</si>
  <si>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</si>
  <si>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</si>
  <si>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</si>
  <si>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</si>
  <si>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</si>
  <si>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</si>
  <si>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</si>
  <si>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</si>
  <si>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</si>
  <si>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</si>
  <si>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</si>
  <si>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</si>
  <si>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</si>
  <si>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</si>
  <si>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</si>
  <si>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</si>
  <si>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</si>
  <si>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</si>
  <si>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</si>
  <si>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</si>
  <si>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</si>
  <si>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</si>
  <si>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</si>
  <si>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</si>
  <si>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</si>
  <si>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</si>
  <si>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</si>
  <si>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</si>
  <si>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</si>
  <si>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</si>
  <si>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</si>
  <si>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</si>
  <si>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</si>
  <si>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</si>
  <si>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</si>
  <si>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</si>
  <si>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</si>
  <si>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</si>
  <si>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</si>
  <si>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</si>
  <si>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</si>
  <si>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</si>
  <si>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</si>
  <si>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</si>
  <si>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</si>
  <si>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</si>
  <si>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</si>
  <si>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</si>
  <si>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</si>
  <si>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</si>
  <si>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</si>
  <si>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</si>
  <si>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</si>
  <si>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</si>
  <si>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</si>
  <si>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</si>
  <si>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</si>
  <si>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</si>
  <si>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</si>
  <si>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</si>
  <si>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</si>
  <si>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</si>
  <si>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</si>
  <si>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</si>
  <si>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</si>
  <si>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</si>
  <si>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</si>
  <si>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</si>
  <si>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</si>
  <si>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</si>
  <si>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</si>
  <si>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</si>
  <si>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</si>
  <si>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</si>
  <si>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</si>
  <si>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</si>
  <si>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</si>
  <si>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</si>
  <si>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</si>
  <si>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</si>
  <si>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</si>
  <si>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</si>
  <si>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</si>
  <si>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</si>
  <si>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</si>
  <si>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</si>
  <si>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</si>
  <si>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</si>
  <si>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</si>
  <si>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</si>
  <si>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</si>
  <si>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</si>
  <si>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</si>
  <si>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</si>
  <si>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</si>
  <si>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</si>
  <si>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</si>
  <si>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</si>
  <si>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</si>
  <si>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</si>
  <si>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</si>
  <si>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</si>
  <si>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</si>
  <si>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</si>
  <si>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</si>
  <si>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</si>
  <si>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</si>
  <si>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</si>
  <si>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</si>
  <si>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</si>
  <si>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</si>
  <si>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</si>
  <si>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</si>
  <si>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</si>
  <si>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</si>
  <si>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</si>
  <si>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</si>
  <si>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</si>
  <si>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</si>
  <si>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</si>
  <si>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</si>
  <si>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</si>
  <si>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</si>
  <si>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</si>
  <si>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</si>
  <si>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</si>
  <si>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</si>
  <si>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</si>
  <si>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</si>
  <si>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</si>
  <si>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</si>
  <si>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</si>
  <si>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</si>
  <si>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</si>
  <si>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</si>
  <si>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</si>
  <si>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</si>
  <si>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</si>
  <si>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</si>
  <si>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</si>
  <si>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</si>
  <si>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</si>
  <si>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</si>
  <si>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</si>
  <si>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</si>
  <si>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</si>
  <si>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</si>
  <si>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</si>
  <si>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</si>
  <si>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</si>
  <si>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</si>
  <si>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</si>
  <si>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</si>
  <si>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</si>
  <si>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</si>
  <si>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</si>
  <si>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</si>
  <si>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</si>
  <si>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</si>
  <si>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</si>
  <si>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</si>
  <si>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</si>
  <si>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</si>
  <si>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</si>
  <si>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</si>
  <si>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</si>
  <si>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</si>
  <si>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</si>
  <si>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</si>
  <si>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</si>
  <si>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</si>
  <si>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</si>
  <si>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</si>
  <si>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</si>
  <si>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</si>
  <si>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</si>
  <si>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</si>
  <si>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</si>
  <si>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</si>
  <si>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</si>
  <si>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</si>
  <si>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</si>
  <si>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</si>
  <si>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</si>
  <si>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</si>
  <si>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</si>
  <si>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</si>
  <si>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</si>
  <si>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</si>
  <si>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</si>
  <si>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</si>
  <si>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</si>
  <si>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</si>
  <si>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</si>
  <si>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</si>
  <si>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</si>
  <si>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</si>
  <si>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</si>
  <si>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</si>
  <si>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</si>
  <si>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</si>
  <si>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</si>
  <si>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</si>
  <si>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</si>
  <si>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</si>
  <si>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</si>
  <si>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</si>
  <si>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</si>
  <si>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</si>
  <si>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</si>
  <si>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</si>
  <si>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</si>
  <si>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</si>
  <si>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</si>
  <si>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</si>
  <si>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</si>
  <si>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</si>
  <si>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</si>
  <si>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</si>
  <si>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</si>
  <si>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</si>
  <si>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</si>
  <si>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</si>
  <si>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</si>
  <si>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</si>
  <si>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</si>
  <si>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</si>
  <si>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</si>
  <si>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</si>
  <si>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</si>
  <si>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</si>
  <si>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</si>
  <si>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</si>
  <si>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</si>
  <si>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</si>
  <si>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</si>
  <si>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</si>
  <si>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</si>
  <si>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</si>
  <si>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</si>
  <si>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</si>
  <si>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</si>
  <si>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</si>
  <si>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</si>
  <si>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</si>
  <si>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</si>
  <si>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</si>
  <si>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</si>
  <si>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</si>
  <si>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</si>
  <si>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</si>
  <si>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</si>
  <si>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</si>
  <si>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</si>
  <si>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</si>
  <si>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</si>
  <si>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</si>
  <si>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</si>
  <si>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</si>
  <si>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</si>
  <si>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</si>
  <si>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</si>
  <si>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</si>
  <si>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</si>
  <si>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</si>
  <si>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</si>
  <si>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</si>
  <si>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</si>
  <si>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</si>
  <si>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</si>
  <si>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</si>
  <si>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</si>
  <si>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</si>
  <si>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</si>
  <si>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</si>
  <si>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</si>
  <si>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</si>
  <si>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</si>
  <si>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</si>
  <si>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</si>
  <si>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</si>
  <si>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</si>
  <si>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</si>
  <si>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</si>
  <si>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</si>
  <si>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</si>
  <si>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</si>
  <si>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</si>
  <si>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</si>
  <si>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</si>
  <si>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</si>
  <si>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</si>
  <si>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</si>
  <si>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</si>
  <si>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</si>
  <si>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</si>
  <si>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</si>
  <si>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</si>
  <si>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</si>
  <si>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</si>
  <si>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</si>
  <si>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</si>
  <si>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</si>
  <si>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</si>
  <si>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</si>
  <si>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</si>
  <si>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</si>
  <si>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</si>
  <si>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</si>
  <si>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</si>
  <si>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</si>
  <si>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</si>
  <si>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</si>
  <si>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</si>
  <si>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</si>
  <si>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</si>
  <si>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</si>
  <si>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</si>
  <si>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</si>
  <si>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</si>
  <si>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</si>
  <si>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</si>
  <si>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</si>
  <si>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</si>
  <si>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</si>
  <si>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</si>
  <si>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</si>
  <si>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</si>
  <si>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</si>
  <si>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</si>
  <si>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</si>
  <si>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</si>
  <si>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</si>
  <si>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</si>
  <si>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</si>
  <si>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</si>
  <si>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</si>
  <si>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</si>
  <si>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</si>
  <si>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</si>
  <si>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</si>
  <si>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</si>
  <si>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</si>
  <si>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</si>
  <si>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</si>
  <si>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</si>
  <si>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</si>
  <si>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</si>
  <si>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</si>
  <si>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</si>
  <si>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</si>
  <si>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</si>
  <si>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</si>
  <si>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</si>
  <si>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</si>
  <si>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</si>
  <si>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</si>
  <si>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</si>
  <si>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</si>
  <si>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</si>
  <si>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</si>
  <si>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</si>
  <si>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</si>
  <si>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</si>
  <si>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</si>
  <si>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</si>
  <si>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</si>
  <si>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</si>
  <si>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</si>
  <si>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</si>
  <si>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</si>
  <si>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</si>
  <si>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</si>
  <si>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</si>
  <si>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</si>
  <si>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</si>
  <si>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</si>
  <si>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</si>
  <si>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</si>
  <si>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</si>
  <si>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</si>
  <si>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</si>
  <si>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</si>
  <si>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</si>
  <si>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</si>
  <si>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</si>
  <si>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</si>
  <si>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</si>
  <si>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</si>
  <si>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</si>
  <si>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</si>
  <si>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</si>
  <si>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</si>
  <si>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</si>
  <si>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</si>
  <si>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</si>
  <si>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</si>
  <si>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</si>
  <si>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</si>
  <si>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</si>
  <si>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</si>
  <si>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</si>
  <si>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</si>
  <si>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</si>
  <si>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</si>
  <si>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</si>
  <si>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</si>
  <si>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</si>
  <si>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</si>
  <si>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</si>
  <si>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</si>
  <si>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</si>
  <si>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</si>
  <si>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</si>
  <si>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</si>
  <si>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</si>
  <si>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</si>
  <si>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</si>
  <si>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</si>
  <si>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</si>
  <si>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</si>
  <si>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</si>
  <si>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</si>
  <si>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</si>
  <si>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</si>
  <si>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</si>
  <si>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</si>
  <si>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</si>
  <si>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</si>
  <si>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</si>
  <si>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</si>
  <si>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</si>
  <si>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</si>
  <si>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</si>
  <si>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</si>
  <si>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</si>
  <si>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</si>
  <si>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</si>
  <si>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</si>
  <si>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</si>
  <si>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</si>
  <si>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</si>
  <si>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</si>
  <si>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</si>
  <si>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</si>
  <si>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</si>
  <si>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</si>
  <si>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</si>
  <si>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</si>
  <si>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</si>
  <si>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</si>
  <si>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</si>
  <si>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</si>
  <si>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</si>
  <si>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</si>
  <si>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</si>
  <si>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</si>
  <si>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</si>
  <si>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</si>
  <si>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</si>
  <si>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</si>
  <si>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</si>
  <si>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</si>
  <si>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</si>
  <si>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</si>
  <si>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</si>
  <si>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</si>
  <si>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</si>
  <si>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</si>
  <si>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</si>
  <si>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</si>
  <si>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</si>
  <si>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</si>
  <si>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</si>
  <si>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</si>
  <si>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</si>
  <si>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</si>
  <si>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</si>
  <si>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</si>
  <si>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</si>
  <si>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</si>
  <si>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</si>
  <si>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</si>
  <si>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</si>
  <si>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</si>
  <si>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</si>
  <si>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</si>
  <si>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</si>
  <si>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</si>
  <si>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</si>
  <si>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</si>
  <si>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</si>
  <si>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</si>
  <si>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</si>
  <si>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</si>
  <si>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</si>
  <si>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</si>
  <si>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</si>
  <si>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</si>
  <si>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</si>
  <si>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</si>
  <si>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</si>
  <si>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</si>
  <si>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</si>
  <si>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</si>
  <si>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</si>
  <si>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</si>
  <si>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</si>
  <si>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</si>
  <si>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</si>
  <si>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</si>
  <si>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</si>
  <si>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</si>
  <si>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</si>
  <si>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</si>
  <si>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</si>
  <si>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</si>
  <si>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</si>
  <si>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</si>
  <si>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</si>
  <si>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</si>
  <si>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</si>
  <si>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</si>
  <si>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</si>
  <si>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</si>
  <si>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</si>
  <si>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</si>
  <si>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</si>
  <si>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</si>
  <si>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</si>
  <si>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</si>
  <si>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</si>
  <si>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</si>
  <si>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</si>
  <si>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</si>
  <si>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</si>
  <si>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</si>
  <si>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</si>
  <si>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</si>
  <si>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</si>
  <si>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</si>
  <si>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</si>
  <si>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</si>
  <si>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</si>
  <si>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</si>
  <si>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</si>
  <si>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</si>
  <si>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</si>
  <si>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</si>
  <si>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</si>
  <si>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</si>
  <si>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</si>
  <si>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</si>
  <si>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</si>
  <si>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</si>
  <si>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</si>
  <si>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</si>
  <si>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</si>
  <si>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</si>
  <si>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</si>
  <si>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</si>
  <si>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</si>
  <si>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</si>
  <si>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</si>
  <si>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</si>
  <si>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</si>
  <si>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</si>
  <si>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</si>
  <si>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</si>
  <si>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</si>
  <si>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</si>
  <si>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</si>
  <si>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</si>
  <si>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</si>
  <si>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</si>
  <si>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</si>
  <si>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</si>
  <si>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</si>
  <si>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</si>
  <si>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</si>
  <si>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</si>
  <si>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</si>
  <si>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</si>
  <si>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</si>
  <si>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</si>
  <si>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</si>
  <si>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</si>
  <si>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</si>
  <si>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</si>
  <si>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</si>
  <si>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</si>
  <si>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</si>
  <si>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</si>
  <si>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</si>
  <si>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</si>
  <si>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</si>
  <si>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</si>
  <si>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</si>
  <si>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</si>
  <si>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</si>
  <si>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</si>
  <si>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</si>
  <si>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</si>
  <si>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</si>
  <si>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</si>
  <si>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</si>
  <si>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</si>
  <si>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</si>
  <si>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</si>
  <si>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</si>
  <si>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</si>
  <si>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</si>
  <si>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</si>
  <si>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</si>
  <si>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</si>
  <si>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</si>
  <si>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</si>
  <si>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</si>
  <si>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</si>
  <si>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</si>
  <si>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</si>
  <si>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</si>
  <si>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</si>
  <si>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</si>
  <si>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</si>
  <si>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</si>
  <si>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</si>
  <si>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</si>
  <si>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</si>
  <si>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</si>
  <si>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</si>
  <si>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</si>
  <si>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</si>
  <si>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</si>
  <si>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</si>
  <si>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</si>
  <si>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</si>
  <si>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</si>
  <si>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</si>
  <si>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</si>
  <si>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</si>
  <si>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</si>
  <si>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</si>
  <si>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</si>
  <si>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</si>
  <si>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</si>
  <si>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</si>
  <si>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</si>
  <si>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</si>
  <si>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</si>
  <si>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</si>
  <si>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</si>
  <si>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</si>
  <si>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</si>
  <si>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</si>
  <si>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</si>
  <si>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</si>
  <si>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</si>
  <si>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</si>
  <si>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</si>
  <si>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</si>
  <si>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</si>
  <si>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</si>
  <si>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</si>
  <si>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</si>
  <si>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</si>
  <si>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</si>
  <si>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</si>
  <si>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</si>
  <si>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</si>
  <si>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</si>
  <si>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</si>
  <si>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</si>
  <si>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</si>
  <si>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</si>
  <si>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</si>
  <si>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</si>
  <si>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</si>
  <si>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</si>
  <si>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</si>
  <si>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</si>
  <si>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</si>
  <si>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</si>
  <si>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</si>
  <si>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</si>
  <si>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</si>
  <si>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</si>
  <si>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</si>
  <si>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</si>
  <si>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</si>
  <si>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</si>
  <si>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</si>
  <si>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</si>
  <si>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</si>
  <si>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</si>
  <si>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</si>
  <si>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</si>
  <si>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</si>
  <si>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</si>
  <si>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</si>
  <si>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</si>
  <si>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</si>
  <si>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</si>
  <si>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</si>
  <si>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</si>
  <si>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</si>
  <si>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</si>
  <si>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</si>
  <si>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</si>
  <si>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</si>
  <si>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</si>
  <si>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</si>
  <si>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</si>
  <si>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</si>
  <si>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</si>
  <si>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</si>
  <si>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</si>
  <si>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</si>
  <si>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</si>
  <si>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</si>
  <si>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</si>
  <si>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</si>
  <si>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</si>
  <si>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</si>
  <si>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</si>
  <si>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</si>
  <si>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</si>
  <si>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</si>
  <si>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</si>
  <si>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</si>
  <si>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</si>
  <si>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</si>
  <si>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</si>
  <si>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</si>
  <si>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</si>
  <si>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</si>
  <si>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</si>
  <si>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</si>
  <si>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</si>
  <si>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</si>
  <si>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</si>
  <si>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</si>
  <si>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</si>
  <si>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</si>
  <si>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</si>
  <si>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</si>
  <si>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</si>
  <si>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</si>
  <si>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</si>
  <si>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</si>
  <si>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</si>
  <si>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</si>
  <si>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</si>
  <si>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</si>
  <si>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</si>
  <si>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</si>
  <si>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</si>
  <si>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</si>
  <si>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</si>
  <si>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</si>
  <si>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</si>
  <si>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</si>
  <si>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</si>
  <si>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</si>
  <si>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</si>
  <si>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</si>
  <si>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</si>
  <si>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</si>
  <si>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</si>
  <si>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</si>
  <si>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</si>
  <si>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</si>
  <si>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</si>
  <si>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</si>
  <si>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</si>
  <si>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</si>
  <si>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</si>
  <si>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</si>
  <si>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</si>
  <si>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</si>
  <si>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</si>
  <si>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</si>
  <si>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</si>
  <si>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</si>
  <si>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</si>
  <si>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</si>
  <si>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</si>
  <si>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</si>
  <si>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</si>
  <si>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</si>
  <si>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</si>
  <si>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</si>
  <si>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</si>
  <si>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</si>
  <si>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</si>
  <si>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</si>
  <si>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</si>
  <si>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</si>
  <si>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</si>
  <si>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</si>
  <si>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</si>
  <si>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</si>
  <si>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</si>
  <si>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</si>
  <si>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</si>
  <si>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</si>
  <si>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</si>
  <si>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</si>
  <si>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</si>
  <si>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</si>
  <si>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</si>
  <si>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</si>
  <si>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</si>
  <si>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</si>
  <si>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</si>
  <si>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</si>
  <si>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</si>
  <si>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</si>
  <si>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</si>
  <si>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</si>
  <si>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</si>
  <si>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</si>
  <si>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</si>
  <si>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</si>
  <si>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</si>
  <si>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</si>
  <si>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</si>
  <si>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</si>
  <si>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</si>
  <si>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</si>
  <si>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</si>
  <si>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</si>
  <si>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</si>
  <si>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</si>
  <si>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</si>
  <si>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</si>
  <si>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</si>
  <si>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</si>
  <si>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</si>
  <si>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</si>
  <si>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</si>
  <si>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</si>
  <si>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</si>
  <si>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</si>
  <si>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</si>
  <si>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</si>
  <si>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</si>
  <si>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</si>
  <si>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</si>
  <si>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</si>
  <si>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</si>
  <si>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</si>
  <si>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</si>
  <si>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</si>
  <si>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</si>
  <si>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</si>
  <si>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</si>
  <si>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</si>
  <si>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</si>
  <si>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</si>
  <si>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</si>
  <si>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</si>
  <si>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</si>
  <si>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</si>
  <si>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</si>
  <si>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</si>
  <si>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</si>
  <si>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</si>
  <si>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</si>
  <si>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</si>
  <si>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</si>
  <si>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</si>
  <si>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</si>
  <si>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</si>
  <si>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</si>
  <si>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</si>
  <si>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</si>
  <si>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</si>
  <si>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</si>
  <si>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</si>
  <si>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</si>
  <si>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</si>
  <si>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</si>
  <si>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</si>
  <si>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</si>
  <si>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</si>
  <si>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</si>
  <si>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</si>
  <si>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</si>
  <si>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</si>
  <si>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</si>
  <si>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</si>
  <si>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</si>
  <si>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</si>
  <si>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</si>
  <si>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</si>
  <si>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</si>
  <si>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</si>
  <si>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</si>
  <si>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</si>
  <si>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</si>
  <si>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</si>
  <si>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</si>
  <si>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</si>
  <si>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</si>
  <si>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</si>
  <si>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</si>
  <si>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</si>
  <si>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</si>
  <si>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</si>
  <si>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</si>
  <si>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</si>
  <si>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</si>
  <si>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</si>
  <si>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</si>
  <si>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</si>
  <si>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</si>
  <si>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</si>
  <si>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</si>
  <si>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</si>
  <si>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</si>
  <si>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</si>
  <si>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</si>
  <si>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</si>
  <si>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</si>
  <si>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</si>
  <si>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</si>
  <si>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</si>
  <si>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</si>
  <si>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</si>
  <si>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</si>
  <si>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</si>
  <si>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</si>
  <si>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</si>
  <si>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</si>
  <si>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</si>
  <si>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</si>
  <si>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</si>
  <si>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</si>
  <si>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</si>
  <si>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</si>
  <si>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</si>
  <si>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</si>
  <si>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</si>
  <si>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</si>
  <si>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</si>
  <si>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</si>
  <si>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</si>
  <si>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</si>
  <si>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</si>
  <si>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</si>
  <si>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</si>
  <si>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</si>
  <si>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</si>
  <si>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</si>
  <si>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</si>
  <si>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</si>
  <si>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</si>
  <si>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</si>
  <si>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</si>
  <si>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</si>
  <si>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</si>
  <si>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</si>
  <si>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</si>
  <si>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</si>
  <si>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</si>
  <si>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</si>
  <si>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</si>
  <si>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</si>
  <si>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</si>
  <si>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</si>
  <si>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</si>
  <si>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</si>
  <si>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</si>
  <si>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</si>
  <si>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</si>
  <si>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</si>
  <si>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</si>
  <si>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</si>
  <si>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</si>
  <si>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</si>
  <si>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</si>
  <si>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</si>
  <si>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</si>
  <si>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</si>
  <si>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</si>
  <si>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</si>
  <si>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</si>
  <si>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</si>
  <si>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</si>
  <si>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</si>
  <si>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</si>
  <si>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</si>
  <si>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</si>
  <si>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</si>
  <si>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</si>
  <si>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</si>
  <si>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</si>
  <si>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</si>
  <si>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</si>
  <si>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</si>
  <si>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</si>
  <si>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</si>
  <si>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</si>
  <si>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</si>
  <si>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</si>
  <si>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</si>
  <si>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</si>
  <si>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</si>
  <si>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</si>
  <si>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</si>
  <si>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</si>
  <si>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</si>
  <si>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</si>
  <si>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</si>
  <si>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</si>
  <si>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</si>
  <si>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</si>
  <si>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</si>
  <si>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</si>
  <si>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</si>
  <si>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</si>
  <si>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</si>
  <si>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</si>
  <si>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</si>
  <si>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</si>
  <si>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</si>
  <si>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</si>
  <si>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</si>
  <si>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</si>
  <si>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</si>
  <si>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</si>
  <si>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</si>
  <si>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</si>
  <si>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</si>
  <si>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</si>
  <si>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</si>
  <si>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</si>
  <si>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</si>
  <si>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</si>
  <si>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</si>
  <si>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</si>
  <si>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</si>
  <si>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</si>
  <si>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</si>
  <si>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</si>
  <si>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</si>
  <si>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</si>
  <si>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</si>
  <si>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</si>
  <si>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</si>
  <si>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</si>
  <si>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</si>
  <si>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</si>
  <si>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</si>
  <si>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</si>
  <si>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</si>
  <si>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</si>
  <si>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</si>
  <si>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</si>
  <si>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</si>
  <si>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</si>
  <si>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</si>
  <si>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</si>
  <si>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</si>
  <si>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</si>
  <si>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</si>
  <si>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</si>
  <si>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</si>
  <si>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</si>
  <si>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</si>
  <si>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</si>
  <si>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</si>
  <si>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</si>
  <si>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</si>
  <si>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</si>
  <si>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</si>
  <si>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</si>
  <si>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</si>
  <si>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</si>
  <si>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</si>
  <si>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</si>
  <si>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</si>
  <si>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</si>
  <si>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</si>
  <si>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</si>
  <si>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</si>
  <si>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</si>
  <si>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</si>
  <si>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</si>
  <si>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</si>
  <si>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</si>
  <si>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</si>
  <si>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</si>
  <si>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</si>
  <si>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</si>
  <si>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</si>
  <si>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</si>
  <si>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</si>
  <si>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</si>
  <si>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</si>
  <si>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</si>
  <si>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</si>
  <si>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</si>
  <si>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</si>
  <si>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</si>
  <si>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</si>
  <si>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</si>
  <si>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</si>
  <si>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</si>
  <si>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</si>
  <si>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</si>
  <si>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</si>
  <si>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</si>
  <si>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</si>
  <si>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</si>
  <si>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</si>
  <si>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</si>
  <si>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</si>
  <si>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</si>
  <si>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</si>
  <si>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</si>
  <si>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</si>
  <si>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</si>
  <si>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</si>
  <si>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</si>
  <si>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</si>
  <si>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</si>
  <si>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</si>
  <si>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</si>
  <si>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</si>
  <si>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</si>
  <si>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</si>
  <si>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</si>
  <si>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</si>
  <si>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</si>
  <si>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</si>
  <si>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</si>
  <si>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</si>
  <si>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</si>
  <si>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</si>
  <si>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</si>
  <si>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</si>
  <si>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</si>
  <si>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</si>
  <si>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</si>
  <si>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</si>
  <si>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</si>
  <si>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</si>
  <si>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</si>
  <si>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</si>
  <si>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</si>
  <si>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</si>
  <si>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</si>
  <si>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</si>
  <si>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</si>
  <si>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</si>
  <si>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</si>
  <si>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</si>
  <si>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</si>
  <si>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</si>
  <si>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</si>
  <si>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</si>
  <si>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</si>
  <si>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</si>
  <si>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</si>
  <si>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</si>
  <si>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</si>
  <si>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</si>
  <si>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</si>
  <si>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</si>
  <si>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</si>
  <si>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</si>
  <si>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</si>
  <si>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</si>
  <si>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</si>
  <si>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</si>
  <si>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</si>
  <si>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</si>
  <si>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</si>
  <si>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</si>
  <si>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</si>
  <si>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</si>
  <si>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</si>
  <si>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</si>
  <si>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</si>
  <si>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</si>
  <si>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</si>
  <si>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</si>
  <si>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</si>
  <si>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</si>
  <si>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</si>
  <si>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</si>
  <si>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</si>
  <si>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</si>
  <si>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</si>
  <si>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</si>
  <si>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</si>
  <si>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</si>
  <si>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</si>
  <si>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</si>
  <si>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</si>
  <si>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</si>
  <si>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</si>
  <si>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</si>
  <si>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</si>
  <si>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</si>
  <si>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</si>
  <si>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</si>
  <si>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</si>
  <si>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</si>
  <si>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</si>
  <si>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</si>
  <si>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</si>
  <si>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</si>
  <si>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</si>
  <si>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</si>
  <si>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</si>
  <si>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</si>
  <si>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</si>
  <si>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</si>
  <si>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</si>
  <si>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</si>
  <si>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</si>
  <si>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</si>
  <si>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</si>
  <si>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</si>
  <si>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</si>
  <si>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</si>
  <si>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</si>
  <si>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</si>
  <si>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</si>
  <si>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</si>
  <si>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</si>
  <si>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</si>
  <si>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</si>
  <si>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</si>
  <si>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</si>
  <si>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</si>
  <si>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</si>
  <si>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</si>
  <si>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</si>
  <si>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</si>
  <si>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</si>
  <si>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</si>
  <si>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</si>
  <si>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</si>
  <si>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</si>
  <si>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</si>
  <si>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</si>
  <si>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</si>
  <si>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</si>
  <si>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</si>
  <si>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</si>
  <si>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</si>
  <si>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</si>
  <si>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</si>
  <si>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</si>
  <si>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</si>
  <si>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</si>
  <si>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</si>
  <si>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</si>
  <si>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</si>
  <si>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</si>
  <si>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</si>
  <si>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</si>
  <si>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</si>
  <si>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</si>
  <si>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</si>
  <si>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</si>
  <si>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</si>
  <si>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</si>
  <si>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</si>
  <si>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</si>
  <si>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</si>
  <si>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</si>
  <si>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</si>
  <si>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</si>
  <si>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</si>
  <si>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</si>
  <si>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</si>
  <si>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</si>
  <si>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</si>
  <si>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</si>
  <si>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</si>
  <si>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</si>
  <si>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</si>
  <si>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</si>
  <si>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</si>
  <si>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</si>
  <si>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</si>
  <si>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</si>
  <si>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</si>
  <si>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</si>
  <si>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</si>
  <si>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</si>
  <si>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</si>
  <si>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</si>
  <si>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</si>
  <si>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</si>
  <si>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</si>
  <si>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</si>
  <si>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</si>
  <si>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</si>
  <si>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</si>
  <si>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</si>
  <si>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</si>
  <si>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</si>
  <si>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</si>
  <si>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</si>
  <si>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</si>
  <si>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</si>
  <si>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</si>
  <si>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</si>
  <si>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</si>
  <si>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</si>
  <si>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</si>
  <si>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</si>
  <si>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</si>
  <si>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</si>
  <si>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</si>
  <si>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</si>
  <si>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</si>
  <si>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</si>
  <si>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</si>
  <si>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</si>
  <si>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</si>
  <si>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</si>
  <si>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</si>
  <si>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</si>
  <si>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</si>
  <si>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</si>
  <si>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</si>
  <si>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</si>
  <si>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</si>
  <si>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</si>
  <si>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</si>
  <si>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</si>
  <si>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</si>
  <si>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</si>
  <si>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</si>
  <si>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</si>
  <si>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</si>
  <si>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</si>
  <si>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</si>
  <si>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</si>
  <si>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</si>
  <si>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</si>
  <si>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</si>
  <si>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</si>
  <si>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</si>
  <si>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</si>
  <si>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</si>
  <si>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</si>
  <si>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</si>
  <si>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</si>
  <si>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</si>
  <si>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</si>
  <si>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</si>
  <si>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</si>
  <si>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</si>
  <si>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</si>
  <si>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</si>
  <si>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</si>
  <si>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</si>
  <si>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</si>
  <si>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</si>
  <si>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</si>
  <si>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</si>
  <si>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</si>
  <si>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</si>
  <si>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</si>
  <si>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</si>
  <si>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</si>
  <si>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</si>
  <si>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</si>
  <si>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</si>
  <si>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</si>
  <si>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</si>
  <si>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</si>
  <si>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</si>
  <si>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</si>
  <si>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</si>
  <si>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</si>
  <si>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</si>
  <si>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</si>
  <si>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</si>
  <si>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</si>
  <si>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</si>
  <si>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</si>
  <si>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</si>
  <si>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</si>
  <si>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</si>
  <si>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</si>
  <si>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</si>
  <si>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</si>
  <si>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</si>
  <si>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</si>
  <si>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</si>
  <si>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</si>
  <si>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</si>
  <si>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</si>
  <si>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</si>
  <si>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</si>
  <si>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</si>
  <si>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</si>
  <si>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</si>
  <si>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</si>
  <si>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</si>
  <si>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</si>
  <si>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</si>
  <si>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</si>
  <si>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</si>
  <si>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</si>
  <si>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</si>
  <si>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</si>
  <si>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</si>
  <si>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</si>
  <si>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</si>
  <si>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</si>
  <si>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</si>
  <si>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</si>
  <si>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</si>
  <si>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</si>
  <si>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</si>
  <si>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</si>
  <si>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</si>
  <si>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</si>
  <si>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</si>
  <si>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</si>
  <si>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</si>
  <si>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</si>
  <si>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</si>
  <si>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</si>
  <si>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</si>
  <si>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</si>
  <si>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</si>
  <si>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</si>
  <si>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</si>
  <si>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</si>
  <si>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</si>
  <si>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</si>
  <si>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</si>
  <si>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</si>
  <si>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</si>
  <si>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</si>
  <si>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</si>
  <si>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</si>
  <si>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</si>
  <si>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</si>
  <si>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</si>
  <si>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</si>
  <si>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</si>
  <si>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</si>
  <si>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</si>
  <si>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</si>
  <si>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</si>
  <si>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</si>
  <si>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</si>
  <si>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</si>
  <si>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</si>
  <si>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</si>
  <si>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</si>
  <si>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</si>
  <si>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</si>
  <si>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</si>
  <si>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</si>
  <si>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</si>
  <si>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</si>
  <si>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</si>
  <si>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</si>
  <si>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</si>
  <si>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</si>
  <si>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</si>
  <si>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</si>
  <si>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</si>
  <si>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</si>
  <si>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</si>
  <si>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</si>
  <si>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</si>
  <si>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</si>
  <si>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</si>
  <si>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</si>
  <si>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</si>
  <si>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</si>
  <si>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</si>
  <si>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</si>
  <si>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</si>
  <si>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</si>
  <si>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</si>
  <si>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</si>
  <si>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</si>
  <si>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</si>
  <si>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</si>
  <si>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</si>
  <si>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</si>
  <si>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</si>
  <si>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</si>
  <si>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</si>
  <si>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</si>
  <si>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</si>
  <si>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</si>
  <si>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</si>
  <si>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</si>
  <si>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</si>
  <si>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</si>
  <si>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</si>
  <si>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</si>
  <si>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</si>
  <si>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</si>
  <si>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</si>
  <si>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</si>
  <si>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</si>
  <si>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</si>
  <si>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</si>
  <si>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</si>
  <si>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</si>
  <si>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</si>
  <si>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</si>
  <si>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</si>
  <si>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</si>
  <si>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</si>
  <si>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</si>
  <si>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</si>
  <si>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</si>
  <si>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</si>
  <si>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</si>
  <si>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</si>
  <si>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</si>
  <si>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</si>
  <si>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</si>
  <si>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</si>
  <si>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</si>
  <si>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</si>
  <si>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</si>
  <si>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</si>
  <si>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</si>
  <si>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</si>
  <si>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</si>
  <si>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</si>
  <si>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</si>
  <si>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</si>
  <si>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</si>
  <si>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</si>
  <si>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</si>
  <si>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</si>
  <si>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</si>
  <si>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</si>
  <si>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</si>
  <si>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</si>
  <si>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</si>
  <si>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</si>
  <si>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</si>
  <si>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</si>
  <si>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</si>
  <si>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</si>
  <si>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</si>
  <si>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</si>
  <si>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</si>
  <si>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</si>
  <si>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</si>
  <si>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</si>
  <si>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</si>
  <si>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</si>
  <si>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Pneumonia/fever</t>
  </si>
  <si>
    <t>Unclear what this means?</t>
  </si>
  <si>
    <t>May be duplicated with IMNCI.</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</si>
  <si>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</si>
  <si>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</si>
  <si>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</si>
  <si>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</si>
  <si>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</si>
  <si>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</si>
  <si>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</si>
  <si>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</si>
  <si>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</si>
  <si>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</si>
  <si>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</si>
  <si>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</si>
  <si>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</si>
  <si>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</si>
  <si>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</si>
  <si>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</si>
  <si>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</si>
  <si>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</si>
  <si>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</si>
  <si>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</si>
  <si>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</si>
  <si>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</si>
  <si>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</si>
  <si>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</si>
  <si>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</si>
  <si>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</si>
  <si>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</si>
  <si>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</si>
  <si>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</si>
  <si>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</si>
  <si>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</si>
  <si>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</si>
  <si>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</si>
  <si>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</si>
  <si>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</si>
  <si>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</si>
  <si>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</si>
  <si>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</si>
  <si>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</si>
  <si>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</si>
  <si>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</si>
  <si>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</si>
  <si>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</si>
  <si>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</si>
  <si>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</si>
  <si>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</si>
  <si>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</si>
  <si>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</si>
  <si>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</si>
  <si>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</si>
  <si>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</si>
  <si>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</si>
  <si>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</si>
  <si>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</si>
  <si>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</si>
  <si>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</si>
  <si>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</si>
  <si>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</si>
  <si>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</si>
  <si>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</si>
  <si>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FP consult discontinue</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</si>
  <si>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</si>
  <si>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</si>
  <si>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</si>
  <si>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</si>
  <si>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</si>
  <si>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</si>
  <si>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</si>
  <si>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</si>
  <si>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</si>
  <si>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</si>
  <si>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</si>
  <si>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</si>
  <si>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</si>
  <si>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</si>
  <si>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</si>
  <si>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</si>
  <si>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</si>
  <si>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</si>
  <si>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</si>
  <si>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</si>
  <si>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</si>
  <si>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</si>
  <si>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</si>
  <si>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</si>
  <si>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</si>
  <si>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</si>
  <si>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</si>
  <si>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</si>
  <si>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</si>
  <si>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</si>
  <si>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</si>
  <si>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</si>
  <si>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</si>
  <si>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</si>
  <si>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</si>
  <si>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</si>
  <si>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</si>
  <si>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</si>
  <si>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</si>
  <si>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</si>
  <si>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</si>
  <si>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</si>
  <si>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</si>
  <si>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</si>
  <si>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</si>
  <si>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</si>
  <si>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</si>
  <si>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</si>
  <si>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</si>
  <si>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</si>
  <si>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</si>
  <si>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</si>
  <si>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</si>
  <si>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</si>
  <si>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</si>
  <si>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</si>
  <si>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</si>
  <si>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</si>
  <si>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</si>
  <si>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</si>
  <si>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</si>
  <si>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</si>
  <si>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</si>
  <si>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</si>
  <si>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</si>
  <si>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</si>
  <si>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</si>
  <si>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</si>
  <si>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</si>
  <si>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</si>
  <si>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</si>
  <si>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</si>
  <si>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</si>
  <si>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</si>
  <si>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</si>
  <si>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</si>
  <si>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</si>
  <si>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</si>
  <si>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</si>
  <si>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</si>
  <si>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</si>
  <si>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</si>
  <si>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</si>
  <si>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</si>
  <si>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</si>
  <si>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</si>
  <si>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</si>
  <si>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</si>
  <si>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</si>
  <si>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</si>
  <si>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</si>
  <si>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</si>
  <si>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</si>
  <si>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</si>
  <si>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</si>
  <si>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</si>
  <si>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</si>
  <si>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</si>
  <si>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</si>
  <si>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</si>
  <si>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</si>
  <si>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</si>
  <si>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</si>
  <si>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</si>
  <si>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</si>
  <si>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</si>
  <si>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</si>
  <si>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</si>
  <si>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</si>
  <si>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</si>
  <si>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</si>
  <si>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</si>
  <si>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</si>
  <si>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</si>
  <si>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</si>
  <si>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</si>
  <si>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</si>
  <si>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</si>
  <si>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</si>
  <si>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</si>
  <si>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</si>
  <si>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</si>
  <si>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</si>
  <si>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</si>
  <si>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</si>
  <si>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</si>
  <si>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</si>
  <si>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</si>
  <si>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</si>
  <si>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</si>
  <si>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</si>
  <si>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</si>
  <si>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</si>
  <si>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</si>
  <si>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</si>
  <si>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</si>
  <si>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</si>
  <si>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</si>
  <si>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</si>
  <si>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guidelines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</si>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</sst>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41">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bmj.com/content/bmj/suppl/2005/11/10/331.7525.1107.DC1/adamt1_t5.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0.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4.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35"/>
    <row r="3" spans="1:14" s="313" customFormat="1" x14ac:dyDescent="0.35">
      <c r="A3" s="316" t="s">
        <v>2155</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2083</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35">
      <c r="A20" s="317" t="s">
        <v>2154</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2075</v>
      </c>
    </row>
    <row r="3" spans="2:11" x14ac:dyDescent="0.35">
      <c r="B3" t="s">
        <v>2074</v>
      </c>
    </row>
    <row r="4" spans="2:11" x14ac:dyDescent="0.35">
      <c r="B4" t="s">
        <v>2122</v>
      </c>
    </row>
    <row r="6" spans="2:11" x14ac:dyDescent="0.35">
      <c r="B6" t="s">
        <v>2076</v>
      </c>
    </row>
    <row r="7" spans="2:11" x14ac:dyDescent="0.35">
      <c r="B7" t="s">
        <v>2077</v>
      </c>
    </row>
    <row r="8" spans="2:11" x14ac:dyDescent="0.35">
      <c r="B8" t="s">
        <v>2078</v>
      </c>
    </row>
    <row r="12" spans="2:11" x14ac:dyDescent="0.3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P4"/>
  <sheetViews>
    <sheetView topLeftCell="K1" workbookViewId="0">
      <selection activeCell="O5" sqref="O5"/>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1" width="18.453125" customWidth="1"/>
    <col min="12" max="12" width="16.90625" customWidth="1"/>
    <col min="13" max="15" width="22.26953125" customWidth="1"/>
    <col min="16" max="16" width="31.54296875" bestFit="1" customWidth="1"/>
  </cols>
  <sheetData>
    <row r="1" spans="1:16" s="177" customFormat="1" ht="29" x14ac:dyDescent="0.3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2793</v>
      </c>
      <c r="O1" s="281" t="s">
        <v>2797</v>
      </c>
      <c r="P1" s="281" t="s">
        <v>81</v>
      </c>
    </row>
    <row r="2" spans="1:16" x14ac:dyDescent="0.35">
      <c r="A2" s="58" t="s">
        <v>2635</v>
      </c>
      <c r="B2" s="58">
        <v>48</v>
      </c>
      <c r="C2" s="58">
        <v>32</v>
      </c>
      <c r="D2" s="58">
        <v>2500</v>
      </c>
      <c r="E2" s="58" t="s">
        <v>82</v>
      </c>
      <c r="F2" s="58" t="b">
        <v>1</v>
      </c>
      <c r="G2" s="58" t="b">
        <v>1</v>
      </c>
      <c r="H2" s="58" t="b">
        <v>1</v>
      </c>
      <c r="I2" s="58" t="b">
        <v>1</v>
      </c>
      <c r="J2" s="58" t="b">
        <v>1</v>
      </c>
      <c r="K2" t="s">
        <v>2783</v>
      </c>
      <c r="L2" t="s">
        <v>2152</v>
      </c>
      <c r="M2" t="s">
        <v>2153</v>
      </c>
      <c r="N2" t="s">
        <v>2794</v>
      </c>
      <c r="O2" t="s">
        <v>2176</v>
      </c>
      <c r="P2" s="58"/>
    </row>
    <row r="3" spans="1:16" x14ac:dyDescent="0.35">
      <c r="A3" t="s">
        <v>2784</v>
      </c>
      <c r="B3" s="58">
        <v>48</v>
      </c>
      <c r="C3" s="58">
        <v>32</v>
      </c>
      <c r="D3" s="58">
        <v>2500</v>
      </c>
      <c r="E3" s="58" t="s">
        <v>82</v>
      </c>
      <c r="F3" s="58" t="b">
        <v>1</v>
      </c>
      <c r="G3" s="58" t="b">
        <v>1</v>
      </c>
      <c r="H3" s="58" t="b">
        <v>1</v>
      </c>
      <c r="I3" s="58" t="b">
        <v>1</v>
      </c>
      <c r="J3" s="58" t="b">
        <v>1</v>
      </c>
      <c r="K3" t="s">
        <v>2785</v>
      </c>
      <c r="L3" t="s">
        <v>2152</v>
      </c>
      <c r="M3" t="s">
        <v>2153</v>
      </c>
      <c r="N3" t="s">
        <v>2795</v>
      </c>
      <c r="O3" t="s">
        <v>2177</v>
      </c>
    </row>
    <row r="4" spans="1:16" x14ac:dyDescent="0.35">
      <c r="A4" t="s">
        <v>2791</v>
      </c>
      <c r="B4" s="58">
        <v>48</v>
      </c>
      <c r="C4" s="58">
        <v>32</v>
      </c>
      <c r="D4" s="58">
        <v>2500</v>
      </c>
      <c r="E4" s="58" t="s">
        <v>82</v>
      </c>
      <c r="F4" s="58" t="b">
        <v>1</v>
      </c>
      <c r="G4" s="58" t="b">
        <v>1</v>
      </c>
      <c r="H4" s="58" t="b">
        <v>1</v>
      </c>
      <c r="I4" s="58" t="b">
        <v>1</v>
      </c>
      <c r="J4" s="58" t="b">
        <v>1</v>
      </c>
      <c r="K4" t="s">
        <v>2792</v>
      </c>
      <c r="L4" t="s">
        <v>2152</v>
      </c>
      <c r="M4" t="s">
        <v>2153</v>
      </c>
      <c r="N4" t="s">
        <v>2796</v>
      </c>
      <c r="O4" t="s">
        <v>2178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C1" sqref="C1"/>
    </sheetView>
  </sheetViews>
  <sheetFormatPr defaultColWidth="10" defaultRowHeight="14.5" x14ac:dyDescent="0.35"/>
  <cols>
    <col min="6" max="6" width="13.632812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HLOOKUP(A2,Demographics_Total!$B$2:$CX$4,3,TRUE)</f>
        <v>1794565.7155999995</v>
      </c>
      <c r="C2" s="124">
        <f>HLOOKUP(A2,Demographics_Total!$B$2:$CX$4,2,TRUE)</f>
        <v>1739593.6404000001</v>
      </c>
      <c r="D2" s="124">
        <f>C2+B2</f>
        <v>3534159.3559999997</v>
      </c>
    </row>
    <row r="3" spans="1:7" x14ac:dyDescent="0.35">
      <c r="A3" s="62">
        <v>1</v>
      </c>
      <c r="B3" s="124">
        <f>HLOOKUP(A3,Demographics_Total!$B$2:$CX$4,3,TRUE)</f>
        <v>1729422.9510999999</v>
      </c>
      <c r="C3" s="124">
        <f>HLOOKUP(A3,Demographics_Total!$B$2:$CX$4,2,TRUE)</f>
        <v>1677633.4099000003</v>
      </c>
      <c r="D3" s="124">
        <f t="shared" ref="D3:D66" si="0">C3+B3</f>
        <v>3407056.3610000005</v>
      </c>
      <c r="F3" s="89"/>
    </row>
    <row r="4" spans="1:7" x14ac:dyDescent="0.35">
      <c r="A4" s="62">
        <v>2</v>
      </c>
      <c r="B4" s="124">
        <f>HLOOKUP(A4,Demographics_Total!$B$2:$CX$4,3,TRUE)</f>
        <v>1697431.0311</v>
      </c>
      <c r="C4" s="124">
        <f>HLOOKUP(A4,Demographics_Total!$B$2:$CX$4,2,TRUE)</f>
        <v>1647808.5299000002</v>
      </c>
      <c r="D4" s="124">
        <f t="shared" si="0"/>
        <v>3345239.5610000002</v>
      </c>
      <c r="F4" s="3"/>
    </row>
    <row r="5" spans="1:7" x14ac:dyDescent="0.35">
      <c r="A5" s="62">
        <v>3</v>
      </c>
      <c r="B5" s="124">
        <f>HLOOKUP(A5,Demographics_Total!$B$2:$CX$4,3,TRUE)</f>
        <v>1665439.1111000001</v>
      </c>
      <c r="C5" s="124">
        <f>HLOOKUP(A5,Demographics_Total!$B$2:$CX$4,2,TRUE)</f>
        <v>1617983.6499000001</v>
      </c>
      <c r="D5" s="124">
        <f t="shared" si="0"/>
        <v>3283422.7609999999</v>
      </c>
      <c r="F5" s="3"/>
    </row>
    <row r="6" spans="1:7" x14ac:dyDescent="0.35">
      <c r="A6" s="62">
        <v>4</v>
      </c>
      <c r="B6" s="124">
        <f>HLOOKUP(A6,Demographics_Total!$B$2:$CX$4,3,TRUE)</f>
        <v>1633447.1911000002</v>
      </c>
      <c r="C6" s="124">
        <f>HLOOKUP(A6,Demographics_Total!$B$2:$CX$4,2,TRUE)</f>
        <v>1588158.7699</v>
      </c>
      <c r="D6" s="124">
        <f t="shared" si="0"/>
        <v>3221605.9610000001</v>
      </c>
    </row>
    <row r="7" spans="1:7" x14ac:dyDescent="0.35">
      <c r="A7" s="62">
        <v>5</v>
      </c>
      <c r="B7" s="124">
        <f>HLOOKUP(A7,Demographics_Total!$B$2:$CX$4,3,TRUE)</f>
        <v>1608085.4400000002</v>
      </c>
      <c r="C7" s="124">
        <f>HLOOKUP(A7,Demographics_Total!$B$2:$CX$4,2,TRUE)</f>
        <v>1564760.9599999997</v>
      </c>
      <c r="D7" s="124">
        <f t="shared" si="0"/>
        <v>3172846.4</v>
      </c>
    </row>
    <row r="8" spans="1:7" x14ac:dyDescent="0.35">
      <c r="A8" s="62">
        <v>6</v>
      </c>
      <c r="B8" s="124">
        <f>HLOOKUP(A8,Demographics_Total!$B$2:$CX$4,3,TRUE)</f>
        <v>1576093.5200000003</v>
      </c>
      <c r="C8" s="124">
        <f>HLOOKUP(A8,Demographics_Total!$B$2:$CX$4,2,TRUE)</f>
        <v>1534936.0799999996</v>
      </c>
      <c r="D8" s="124">
        <f t="shared" si="0"/>
        <v>3111029.5999999996</v>
      </c>
    </row>
    <row r="9" spans="1:7" x14ac:dyDescent="0.35">
      <c r="A9" s="62">
        <v>7</v>
      </c>
      <c r="B9" s="124">
        <f>HLOOKUP(A9,Demographics_Total!$B$2:$CX$4,3,TRUE)</f>
        <v>1544101.6</v>
      </c>
      <c r="C9" s="124">
        <f>HLOOKUP(A9,Demographics_Total!$B$2:$CX$4,2,TRUE)</f>
        <v>1505111.2</v>
      </c>
      <c r="D9" s="124">
        <f t="shared" si="0"/>
        <v>3049212.8</v>
      </c>
    </row>
    <row r="10" spans="1:7" x14ac:dyDescent="0.35">
      <c r="A10" s="62">
        <v>8</v>
      </c>
      <c r="B10" s="124">
        <f>HLOOKUP(A10,Demographics_Total!$B$2:$CX$4,3,TRUE)</f>
        <v>1515244.2000000002</v>
      </c>
      <c r="C10" s="124">
        <f>HLOOKUP(A10,Demographics_Total!$B$2:$CX$4,2,TRUE)</f>
        <v>1478254</v>
      </c>
      <c r="D10" s="124">
        <f t="shared" si="0"/>
        <v>2993498.2</v>
      </c>
    </row>
    <row r="11" spans="1:7" x14ac:dyDescent="0.35">
      <c r="A11" s="62">
        <v>9</v>
      </c>
      <c r="B11" s="124">
        <f>HLOOKUP(A11,Demographics_Total!$B$2:$CX$4,3,TRUE)</f>
        <v>1486386.8000000003</v>
      </c>
      <c r="C11" s="124">
        <f>HLOOKUP(A11,Demographics_Total!$B$2:$CX$4,2,TRUE)</f>
        <v>1451396.8</v>
      </c>
      <c r="D11" s="124">
        <f t="shared" si="0"/>
        <v>2937783.6000000006</v>
      </c>
    </row>
    <row r="12" spans="1:7" x14ac:dyDescent="0.35">
      <c r="A12" s="62">
        <v>10</v>
      </c>
      <c r="B12" s="124">
        <f>HLOOKUP(A12,Demographics_Total!$B$2:$CX$4,3,TRUE)</f>
        <v>1457529.4000000004</v>
      </c>
      <c r="C12" s="124">
        <f>HLOOKUP(A12,Demographics_Total!$B$2:$CX$4,2,TRUE)</f>
        <v>1424539.6</v>
      </c>
      <c r="D12" s="124">
        <f t="shared" si="0"/>
        <v>2882069.0000000005</v>
      </c>
    </row>
    <row r="13" spans="1:7" x14ac:dyDescent="0.35">
      <c r="A13" s="62">
        <v>11</v>
      </c>
      <c r="B13" s="124">
        <f>HLOOKUP(A13,Demographics_Total!$B$2:$CX$4,3,TRUE)</f>
        <v>1428672.0000000005</v>
      </c>
      <c r="C13" s="124">
        <f>HLOOKUP(A13,Demographics_Total!$B$2:$CX$4,2,TRUE)</f>
        <v>1397682.4000000001</v>
      </c>
      <c r="D13" s="124">
        <f t="shared" si="0"/>
        <v>2826354.4000000004</v>
      </c>
      <c r="G13" s="124"/>
    </row>
    <row r="14" spans="1:7" x14ac:dyDescent="0.35">
      <c r="A14" s="62">
        <v>12</v>
      </c>
      <c r="B14" s="124">
        <f>HLOOKUP(A14,Demographics_Total!$B$2:$CX$4,3,TRUE)</f>
        <v>1399814.6</v>
      </c>
      <c r="C14" s="124">
        <f>HLOOKUP(A14,Demographics_Total!$B$2:$CX$4,2,TRUE)</f>
        <v>1370825.2</v>
      </c>
      <c r="D14" s="124">
        <f t="shared" si="0"/>
        <v>2770639.8</v>
      </c>
    </row>
    <row r="15" spans="1:7" x14ac:dyDescent="0.35">
      <c r="A15" s="62">
        <v>13</v>
      </c>
      <c r="B15" s="124">
        <f>HLOOKUP(A15,Demographics_Total!$B$2:$CX$4,3,TRUE)</f>
        <v>1381579.56</v>
      </c>
      <c r="C15" s="124">
        <f>HLOOKUP(A15,Demographics_Total!$B$2:$CX$4,2,TRUE)</f>
        <v>1353964.08</v>
      </c>
      <c r="D15" s="124">
        <f t="shared" si="0"/>
        <v>2735543.64</v>
      </c>
    </row>
    <row r="16" spans="1:7" x14ac:dyDescent="0.35">
      <c r="A16" s="62">
        <v>14</v>
      </c>
      <c r="B16" s="124">
        <f>HLOOKUP(A16,Demographics_Total!$B$2:$CX$4,3,TRUE)</f>
        <v>1363344.52</v>
      </c>
      <c r="C16" s="124">
        <f>HLOOKUP(A16,Demographics_Total!$B$2:$CX$4,2,TRUE)</f>
        <v>1337102.9600000002</v>
      </c>
      <c r="D16" s="124">
        <f t="shared" si="0"/>
        <v>2700447.4800000004</v>
      </c>
    </row>
    <row r="17" spans="1:4" x14ac:dyDescent="0.35">
      <c r="A17" s="62">
        <v>15</v>
      </c>
      <c r="B17" s="124">
        <f>HLOOKUP(A17,Demographics_Total!$B$2:$CX$4,3,TRUE)</f>
        <v>1345109.48</v>
      </c>
      <c r="C17" s="124">
        <f>HLOOKUP(A17,Demographics_Total!$B$2:$CX$4,2,TRUE)</f>
        <v>1320241.8400000003</v>
      </c>
      <c r="D17" s="124">
        <f t="shared" si="0"/>
        <v>2665351.3200000003</v>
      </c>
    </row>
    <row r="18" spans="1:4" x14ac:dyDescent="0.35">
      <c r="A18" s="62">
        <v>16</v>
      </c>
      <c r="B18" s="124">
        <f>HLOOKUP(A18,Demographics_Total!$B$2:$CX$4,3,TRUE)</f>
        <v>1326874.44</v>
      </c>
      <c r="C18" s="124">
        <f>HLOOKUP(A18,Demographics_Total!$B$2:$CX$4,2,TRUE)</f>
        <v>1303380.7200000004</v>
      </c>
      <c r="D18" s="124">
        <f t="shared" si="0"/>
        <v>2630255.16</v>
      </c>
    </row>
    <row r="19" spans="1:4" x14ac:dyDescent="0.35">
      <c r="A19" s="62">
        <v>17</v>
      </c>
      <c r="B19" s="124">
        <f>HLOOKUP(A19,Demographics_Total!$B$2:$CX$4,3,TRUE)</f>
        <v>1308639.3999999999</v>
      </c>
      <c r="C19" s="124">
        <f>HLOOKUP(A19,Demographics_Total!$B$2:$CX$4,2,TRUE)</f>
        <v>1286519.6000000001</v>
      </c>
      <c r="D19" s="124">
        <f t="shared" si="0"/>
        <v>2595159</v>
      </c>
    </row>
    <row r="20" spans="1:4" x14ac:dyDescent="0.35">
      <c r="A20" s="62">
        <v>18</v>
      </c>
      <c r="B20" s="124">
        <f>HLOOKUP(A20,Demographics_Total!$B$2:$CX$4,3,TRUE)</f>
        <v>1284138.8399999999</v>
      </c>
      <c r="C20" s="124">
        <f>HLOOKUP(A20,Demographics_Total!$B$2:$CX$4,2,TRUE)</f>
        <v>1261862.6000000001</v>
      </c>
      <c r="D20" s="124">
        <f t="shared" si="0"/>
        <v>2546001.44</v>
      </c>
    </row>
    <row r="21" spans="1:4" x14ac:dyDescent="0.35">
      <c r="A21" s="62">
        <v>19</v>
      </c>
      <c r="B21" s="124">
        <f>HLOOKUP(A21,Demographics_Total!$B$2:$CX$4,3,TRUE)</f>
        <v>1259638.2799999998</v>
      </c>
      <c r="C21" s="124">
        <f>HLOOKUP(A21,Demographics_Total!$B$2:$CX$4,2,TRUE)</f>
        <v>1237205.6000000001</v>
      </c>
      <c r="D21" s="124">
        <f t="shared" si="0"/>
        <v>2496843.88</v>
      </c>
    </row>
    <row r="22" spans="1:4" x14ac:dyDescent="0.35">
      <c r="A22" s="62">
        <v>20</v>
      </c>
      <c r="B22" s="124">
        <f>HLOOKUP(A22,Demographics_Total!$B$2:$CX$4,3,TRUE)</f>
        <v>1235137.7199999997</v>
      </c>
      <c r="C22" s="124">
        <f>HLOOKUP(A22,Demographics_Total!$B$2:$CX$4,2,TRUE)</f>
        <v>1212548.6000000001</v>
      </c>
      <c r="D22" s="124">
        <f t="shared" si="0"/>
        <v>2447686.3199999998</v>
      </c>
    </row>
    <row r="23" spans="1:4" x14ac:dyDescent="0.35">
      <c r="A23" s="62">
        <v>21</v>
      </c>
      <c r="B23" s="124">
        <f>HLOOKUP(A23,Demographics_Total!$B$2:$CX$4,3,TRUE)</f>
        <v>1210637.1599999997</v>
      </c>
      <c r="C23" s="124">
        <f>HLOOKUP(A23,Demographics_Total!$B$2:$CX$4,2,TRUE)</f>
        <v>1187891.6000000001</v>
      </c>
      <c r="D23" s="124">
        <f t="shared" si="0"/>
        <v>2398528.7599999998</v>
      </c>
    </row>
    <row r="24" spans="1:4" x14ac:dyDescent="0.35">
      <c r="A24" s="62">
        <v>22</v>
      </c>
      <c r="B24" s="124">
        <f>HLOOKUP(A24,Demographics_Total!$B$2:$CX$4,3,TRUE)</f>
        <v>1186136.6000000001</v>
      </c>
      <c r="C24" s="124">
        <f>HLOOKUP(A24,Demographics_Total!$B$2:$CX$4,2,TRUE)</f>
        <v>1163234.6000000001</v>
      </c>
      <c r="D24" s="124">
        <f t="shared" si="0"/>
        <v>2349371.2000000002</v>
      </c>
    </row>
    <row r="25" spans="1:4" x14ac:dyDescent="0.35">
      <c r="A25" s="62">
        <v>23</v>
      </c>
      <c r="B25" s="124">
        <f>HLOOKUP(A25,Demographics_Total!$B$2:$CX$4,3,TRUE)</f>
        <v>1144498.8400000001</v>
      </c>
      <c r="C25" s="124">
        <f>HLOOKUP(A25,Demographics_Total!$B$2:$CX$4,2,TRUE)</f>
        <v>1122685.6800000002</v>
      </c>
      <c r="D25" s="124">
        <f t="shared" si="0"/>
        <v>2267184.5200000005</v>
      </c>
    </row>
    <row r="26" spans="1:4" x14ac:dyDescent="0.35">
      <c r="A26" s="62">
        <v>24</v>
      </c>
      <c r="B26" s="124">
        <f>HLOOKUP(A26,Demographics_Total!$B$2:$CX$4,3,TRUE)</f>
        <v>1102861.08</v>
      </c>
      <c r="C26" s="124">
        <f>HLOOKUP(A26,Demographics_Total!$B$2:$CX$4,2,TRUE)</f>
        <v>1082136.7600000002</v>
      </c>
      <c r="D26" s="124">
        <f t="shared" si="0"/>
        <v>2184997.8400000003</v>
      </c>
    </row>
    <row r="27" spans="1:4" x14ac:dyDescent="0.35">
      <c r="A27" s="62">
        <v>25</v>
      </c>
      <c r="B27" s="124">
        <f>HLOOKUP(A27,Demographics_Total!$B$2:$CX$4,3,TRUE)</f>
        <v>1061223.32</v>
      </c>
      <c r="C27" s="124">
        <f>HLOOKUP(A27,Demographics_Total!$B$2:$CX$4,2,TRUE)</f>
        <v>1041587.8400000002</v>
      </c>
      <c r="D27" s="124">
        <f t="shared" si="0"/>
        <v>2102811.16</v>
      </c>
    </row>
    <row r="28" spans="1:4" x14ac:dyDescent="0.35">
      <c r="A28" s="62">
        <v>26</v>
      </c>
      <c r="B28" s="124">
        <f>HLOOKUP(A28,Demographics_Total!$B$2:$CX$4,3,TRUE)</f>
        <v>1019585.56</v>
      </c>
      <c r="C28" s="124">
        <f>HLOOKUP(A28,Demographics_Total!$B$2:$CX$4,2,TRUE)</f>
        <v>1001038.9200000002</v>
      </c>
      <c r="D28" s="124">
        <f t="shared" si="0"/>
        <v>2020624.4800000002</v>
      </c>
    </row>
    <row r="29" spans="1:4" x14ac:dyDescent="0.35">
      <c r="A29" s="62">
        <v>27</v>
      </c>
      <c r="B29" s="124">
        <f>HLOOKUP(A29,Demographics_Total!$B$2:$CX$4,3,TRUE)</f>
        <v>977947.8</v>
      </c>
      <c r="C29" s="124">
        <f>HLOOKUP(A29,Demographics_Total!$B$2:$CX$4,2,TRUE)</f>
        <v>960490</v>
      </c>
      <c r="D29" s="124">
        <f t="shared" si="0"/>
        <v>1938437.8</v>
      </c>
    </row>
    <row r="30" spans="1:4" x14ac:dyDescent="0.35">
      <c r="A30" s="62">
        <v>28</v>
      </c>
      <c r="B30" s="124">
        <f>HLOOKUP(A30,Demographics_Total!$B$2:$CX$4,3,TRUE)</f>
        <v>932812.20000000007</v>
      </c>
      <c r="C30" s="124">
        <f>HLOOKUP(A30,Demographics_Total!$B$2:$CX$4,2,TRUE)</f>
        <v>918693.76</v>
      </c>
      <c r="D30" s="124">
        <f t="shared" si="0"/>
        <v>1851505.96</v>
      </c>
    </row>
    <row r="31" spans="1:4" x14ac:dyDescent="0.35">
      <c r="A31" s="62">
        <v>29</v>
      </c>
      <c r="B31" s="124">
        <f>HLOOKUP(A31,Demographics_Total!$B$2:$CX$4,3,TRUE)</f>
        <v>887676.60000000009</v>
      </c>
      <c r="C31" s="124">
        <f>HLOOKUP(A31,Demographics_Total!$B$2:$CX$4,2,TRUE)</f>
        <v>876897.52</v>
      </c>
      <c r="D31" s="124">
        <f t="shared" si="0"/>
        <v>1764574.12</v>
      </c>
    </row>
    <row r="32" spans="1:4" x14ac:dyDescent="0.35">
      <c r="A32" s="62">
        <v>30</v>
      </c>
      <c r="B32" s="124">
        <f>HLOOKUP(A32,Demographics_Total!$B$2:$CX$4,3,TRUE)</f>
        <v>842541.00000000012</v>
      </c>
      <c r="C32" s="124">
        <f>HLOOKUP(A32,Demographics_Total!$B$2:$CX$4,2,TRUE)</f>
        <v>835101.28</v>
      </c>
      <c r="D32" s="124">
        <f t="shared" si="0"/>
        <v>1677642.2800000003</v>
      </c>
    </row>
    <row r="33" spans="1:4" x14ac:dyDescent="0.35">
      <c r="A33" s="62">
        <v>31</v>
      </c>
      <c r="B33" s="124">
        <f>HLOOKUP(A33,Demographics_Total!$B$2:$CX$4,3,TRUE)</f>
        <v>797405.40000000014</v>
      </c>
      <c r="C33" s="124">
        <f>HLOOKUP(A33,Demographics_Total!$B$2:$CX$4,2,TRUE)</f>
        <v>793305.04</v>
      </c>
      <c r="D33" s="124">
        <f t="shared" si="0"/>
        <v>1590710.4400000002</v>
      </c>
    </row>
    <row r="34" spans="1:4" x14ac:dyDescent="0.35">
      <c r="A34" s="62">
        <v>32</v>
      </c>
      <c r="B34" s="124">
        <f>HLOOKUP(A34,Demographics_Total!$B$2:$CX$4,3,TRUE)</f>
        <v>752269.8</v>
      </c>
      <c r="C34" s="124">
        <f>HLOOKUP(A34,Demographics_Total!$B$2:$CX$4,2,TRUE)</f>
        <v>751508.8</v>
      </c>
      <c r="D34" s="124">
        <f t="shared" si="0"/>
        <v>1503778.6</v>
      </c>
    </row>
    <row r="35" spans="1:4" x14ac:dyDescent="0.35">
      <c r="A35" s="62">
        <v>33</v>
      </c>
      <c r="B35" s="124">
        <f>HLOOKUP(A35,Demographics_Total!$B$2:$CX$4,3,TRUE)</f>
        <v>725461.76</v>
      </c>
      <c r="C35" s="124">
        <f>HLOOKUP(A35,Demographics_Total!$B$2:$CX$4,2,TRUE)</f>
        <v>728520.52</v>
      </c>
      <c r="D35" s="124">
        <f t="shared" si="0"/>
        <v>1453982.28</v>
      </c>
    </row>
    <row r="36" spans="1:4" x14ac:dyDescent="0.35">
      <c r="A36" s="62">
        <v>34</v>
      </c>
      <c r="B36" s="124">
        <f>HLOOKUP(A36,Demographics_Total!$B$2:$CX$4,3,TRUE)</f>
        <v>698653.72</v>
      </c>
      <c r="C36" s="124">
        <f>HLOOKUP(A36,Demographics_Total!$B$2:$CX$4,2,TRUE)</f>
        <v>705532.24</v>
      </c>
      <c r="D36" s="124">
        <f t="shared" si="0"/>
        <v>1404185.96</v>
      </c>
    </row>
    <row r="37" spans="1:4" x14ac:dyDescent="0.35">
      <c r="A37" s="62">
        <v>35</v>
      </c>
      <c r="B37" s="124">
        <f>HLOOKUP(A37,Demographics_Total!$B$2:$CX$4,3,TRUE)</f>
        <v>671845.67999999993</v>
      </c>
      <c r="C37" s="124">
        <f>HLOOKUP(A37,Demographics_Total!$B$2:$CX$4,2,TRUE)</f>
        <v>682543.96</v>
      </c>
      <c r="D37" s="124">
        <f t="shared" si="0"/>
        <v>1354389.64</v>
      </c>
    </row>
    <row r="38" spans="1:4" x14ac:dyDescent="0.35">
      <c r="A38" s="62">
        <v>36</v>
      </c>
      <c r="B38" s="124">
        <f>HLOOKUP(A38,Demographics_Total!$B$2:$CX$4,3,TRUE)</f>
        <v>645037.6399999999</v>
      </c>
      <c r="C38" s="124">
        <f>HLOOKUP(A38,Demographics_Total!$B$2:$CX$4,2,TRUE)</f>
        <v>659555.67999999993</v>
      </c>
      <c r="D38" s="124">
        <f t="shared" si="0"/>
        <v>1304593.3199999998</v>
      </c>
    </row>
    <row r="39" spans="1:4" x14ac:dyDescent="0.35">
      <c r="A39" s="62">
        <v>37</v>
      </c>
      <c r="B39" s="124">
        <f>HLOOKUP(A39,Demographics_Total!$B$2:$CX$4,3,TRUE)</f>
        <v>618229.6</v>
      </c>
      <c r="C39" s="124">
        <f>HLOOKUP(A39,Demographics_Total!$B$2:$CX$4,2,TRUE)</f>
        <v>636567.4</v>
      </c>
      <c r="D39" s="124">
        <f t="shared" si="0"/>
        <v>1254797</v>
      </c>
    </row>
    <row r="40" spans="1:4" x14ac:dyDescent="0.35">
      <c r="A40" s="62">
        <v>38</v>
      </c>
      <c r="B40" s="124">
        <f>HLOOKUP(A40,Demographics_Total!$B$2:$CX$4,3,TRUE)</f>
        <v>592404.6</v>
      </c>
      <c r="C40" s="124">
        <f>HLOOKUP(A40,Demographics_Total!$B$2:$CX$4,2,TRUE)</f>
        <v>608790.80000000005</v>
      </c>
      <c r="D40" s="124">
        <f t="shared" si="0"/>
        <v>1201195.3999999999</v>
      </c>
    </row>
    <row r="41" spans="1:4" x14ac:dyDescent="0.35">
      <c r="A41" s="62">
        <v>39</v>
      </c>
      <c r="B41" s="124">
        <f>HLOOKUP(A41,Demographics_Total!$B$2:$CX$4,3,TRUE)</f>
        <v>566579.6</v>
      </c>
      <c r="C41" s="124">
        <f>HLOOKUP(A41,Demographics_Total!$B$2:$CX$4,2,TRUE)</f>
        <v>581014.20000000007</v>
      </c>
      <c r="D41" s="124">
        <f t="shared" si="0"/>
        <v>1147593.8</v>
      </c>
    </row>
    <row r="42" spans="1:4" x14ac:dyDescent="0.35">
      <c r="A42" s="62">
        <v>40</v>
      </c>
      <c r="B42" s="124">
        <f>HLOOKUP(A42,Demographics_Total!$B$2:$CX$4,3,TRUE)</f>
        <v>540754.6</v>
      </c>
      <c r="C42" s="124">
        <f>HLOOKUP(A42,Demographics_Total!$B$2:$CX$4,2,TRUE)</f>
        <v>553237.60000000009</v>
      </c>
      <c r="D42" s="124">
        <f t="shared" si="0"/>
        <v>1093992.2000000002</v>
      </c>
    </row>
    <row r="43" spans="1:4" x14ac:dyDescent="0.35">
      <c r="A43" s="62">
        <v>41</v>
      </c>
      <c r="B43" s="124">
        <f>HLOOKUP(A43,Demographics_Total!$B$2:$CX$4,3,TRUE)</f>
        <v>514929.6</v>
      </c>
      <c r="C43" s="124">
        <f>HLOOKUP(A43,Demographics_Total!$B$2:$CX$4,2,TRUE)</f>
        <v>525461.00000000012</v>
      </c>
      <c r="D43" s="124">
        <f t="shared" si="0"/>
        <v>1040390.6000000001</v>
      </c>
    </row>
    <row r="44" spans="1:4" x14ac:dyDescent="0.35">
      <c r="A44" s="62">
        <v>42</v>
      </c>
      <c r="B44" s="124">
        <f>HLOOKUP(A44,Demographics_Total!$B$2:$CX$4,3,TRUE)</f>
        <v>489104.6</v>
      </c>
      <c r="C44" s="124">
        <f>HLOOKUP(A44,Demographics_Total!$B$2:$CX$4,2,TRUE)</f>
        <v>497684.4</v>
      </c>
      <c r="D44" s="124">
        <f t="shared" si="0"/>
        <v>986789</v>
      </c>
    </row>
    <row r="45" spans="1:4" x14ac:dyDescent="0.35">
      <c r="A45" s="62">
        <v>43</v>
      </c>
      <c r="B45" s="124">
        <f>HLOOKUP(A45,Demographics_Total!$B$2:$CX$4,3,TRUE)</f>
        <v>474142.88</v>
      </c>
      <c r="C45" s="124">
        <f>HLOOKUP(A45,Demographics_Total!$B$2:$CX$4,2,TRUE)</f>
        <v>479476.64</v>
      </c>
      <c r="D45" s="124">
        <f t="shared" si="0"/>
        <v>953619.52</v>
      </c>
    </row>
    <row r="46" spans="1:4" x14ac:dyDescent="0.35">
      <c r="A46" s="62">
        <v>44</v>
      </c>
      <c r="B46" s="124">
        <f>HLOOKUP(A46,Demographics_Total!$B$2:$CX$4,3,TRUE)</f>
        <v>459181.16000000003</v>
      </c>
      <c r="C46" s="124">
        <f>HLOOKUP(A46,Demographics_Total!$B$2:$CX$4,2,TRUE)</f>
        <v>461268.88</v>
      </c>
      <c r="D46" s="124">
        <f t="shared" si="0"/>
        <v>920450.04</v>
      </c>
    </row>
    <row r="47" spans="1:4" x14ac:dyDescent="0.35">
      <c r="A47" s="62">
        <v>45</v>
      </c>
      <c r="B47" s="124">
        <f>HLOOKUP(A47,Demographics_Total!$B$2:$CX$4,3,TRUE)</f>
        <v>444219.44000000006</v>
      </c>
      <c r="C47" s="124">
        <f>HLOOKUP(A47,Demographics_Total!$B$2:$CX$4,2,TRUE)</f>
        <v>443061.12</v>
      </c>
      <c r="D47" s="124">
        <f t="shared" si="0"/>
        <v>887280.56</v>
      </c>
    </row>
    <row r="48" spans="1:4" x14ac:dyDescent="0.35">
      <c r="A48" s="62">
        <v>46</v>
      </c>
      <c r="B48" s="124">
        <f>HLOOKUP(A48,Demographics_Total!$B$2:$CX$4,3,TRUE)</f>
        <v>429257.72000000009</v>
      </c>
      <c r="C48" s="124">
        <f>HLOOKUP(A48,Demographics_Total!$B$2:$CX$4,2,TRUE)</f>
        <v>424853.36</v>
      </c>
      <c r="D48" s="124">
        <f t="shared" si="0"/>
        <v>854111.08000000007</v>
      </c>
    </row>
    <row r="49" spans="1:4" x14ac:dyDescent="0.35">
      <c r="A49" s="62">
        <v>47</v>
      </c>
      <c r="B49" s="124">
        <f>HLOOKUP(A49,Demographics_Total!$B$2:$CX$4,3,TRUE)</f>
        <v>414296</v>
      </c>
      <c r="C49" s="124">
        <f>HLOOKUP(A49,Demographics_Total!$B$2:$CX$4,2,TRUE)</f>
        <v>406645.6</v>
      </c>
      <c r="D49" s="124">
        <f t="shared" si="0"/>
        <v>820941.6</v>
      </c>
    </row>
    <row r="50" spans="1:4" x14ac:dyDescent="0.35">
      <c r="A50" s="62">
        <v>48</v>
      </c>
      <c r="B50" s="124">
        <f>HLOOKUP(A50,Demographics_Total!$B$2:$CX$4,3,TRUE)</f>
        <v>394148.36</v>
      </c>
      <c r="C50" s="124">
        <f>HLOOKUP(A50,Demographics_Total!$B$2:$CX$4,2,TRUE)</f>
        <v>391754.76</v>
      </c>
      <c r="D50" s="124">
        <f t="shared" si="0"/>
        <v>785903.12</v>
      </c>
    </row>
    <row r="51" spans="1:4" x14ac:dyDescent="0.35">
      <c r="A51" s="62">
        <v>49</v>
      </c>
      <c r="B51" s="124">
        <f>HLOOKUP(A51,Demographics_Total!$B$2:$CX$4,3,TRUE)</f>
        <v>374000.72</v>
      </c>
      <c r="C51" s="124">
        <f>HLOOKUP(A51,Demographics_Total!$B$2:$CX$4,2,TRUE)</f>
        <v>376863.92000000004</v>
      </c>
      <c r="D51" s="124">
        <f t="shared" si="0"/>
        <v>750864.64</v>
      </c>
    </row>
    <row r="52" spans="1:4" x14ac:dyDescent="0.35">
      <c r="A52" s="62">
        <v>50</v>
      </c>
      <c r="B52" s="124">
        <f>HLOOKUP(A52,Demographics_Total!$B$2:$CX$4,3,TRUE)</f>
        <v>353853.07999999996</v>
      </c>
      <c r="C52" s="124">
        <f>HLOOKUP(A52,Demographics_Total!$B$2:$CX$4,2,TRUE)</f>
        <v>361973.08000000007</v>
      </c>
      <c r="D52" s="124">
        <f t="shared" si="0"/>
        <v>715826.16</v>
      </c>
    </row>
    <row r="53" spans="1:4" x14ac:dyDescent="0.35">
      <c r="A53" s="62">
        <v>51</v>
      </c>
      <c r="B53" s="124">
        <f>HLOOKUP(A53,Demographics_Total!$B$2:$CX$4,3,TRUE)</f>
        <v>333705.43999999994</v>
      </c>
      <c r="C53" s="124">
        <f>HLOOKUP(A53,Demographics_Total!$B$2:$CX$4,2,TRUE)</f>
        <v>347082.24000000011</v>
      </c>
      <c r="D53" s="124">
        <f t="shared" si="0"/>
        <v>680787.68</v>
      </c>
    </row>
    <row r="54" spans="1:4" x14ac:dyDescent="0.35">
      <c r="A54" s="62">
        <v>52</v>
      </c>
      <c r="B54" s="124">
        <f>HLOOKUP(A54,Demographics_Total!$B$2:$CX$4,3,TRUE)</f>
        <v>313557.8</v>
      </c>
      <c r="C54" s="124">
        <f>HLOOKUP(A54,Demographics_Total!$B$2:$CX$4,2,TRUE)</f>
        <v>332191.40000000002</v>
      </c>
      <c r="D54" s="124">
        <f t="shared" si="0"/>
        <v>645749.19999999995</v>
      </c>
    </row>
    <row r="55" spans="1:4" x14ac:dyDescent="0.35">
      <c r="A55" s="62">
        <v>53</v>
      </c>
      <c r="B55" s="124">
        <f>HLOOKUP(A55,Demographics_Total!$B$2:$CX$4,3,TRUE)</f>
        <v>297206.32</v>
      </c>
      <c r="C55" s="124">
        <f>HLOOKUP(A55,Demographics_Total!$B$2:$CX$4,2,TRUE)</f>
        <v>318405.84000000003</v>
      </c>
      <c r="D55" s="124">
        <f t="shared" si="0"/>
        <v>615612.16000000003</v>
      </c>
    </row>
    <row r="56" spans="1:4" x14ac:dyDescent="0.35">
      <c r="A56" s="62">
        <v>54</v>
      </c>
      <c r="B56" s="124">
        <f>HLOOKUP(A56,Demographics_Total!$B$2:$CX$4,3,TRUE)</f>
        <v>280854.84000000003</v>
      </c>
      <c r="C56" s="124">
        <f>HLOOKUP(A56,Demographics_Total!$B$2:$CX$4,2,TRUE)</f>
        <v>304620.28000000003</v>
      </c>
      <c r="D56" s="124">
        <f t="shared" si="0"/>
        <v>585475.12000000011</v>
      </c>
    </row>
    <row r="57" spans="1:4" x14ac:dyDescent="0.35">
      <c r="A57" s="62">
        <v>55</v>
      </c>
      <c r="B57" s="124">
        <f>HLOOKUP(A57,Demographics_Total!$B$2:$CX$4,3,TRUE)</f>
        <v>264503.36000000004</v>
      </c>
      <c r="C57" s="124">
        <f>HLOOKUP(A57,Demographics_Total!$B$2:$CX$4,2,TRUE)</f>
        <v>290834.72000000003</v>
      </c>
      <c r="D57" s="124">
        <f t="shared" si="0"/>
        <v>555338.08000000007</v>
      </c>
    </row>
    <row r="58" spans="1:4" x14ac:dyDescent="0.35">
      <c r="A58" s="62">
        <v>56</v>
      </c>
      <c r="B58" s="124">
        <f>HLOOKUP(A58,Demographics_Total!$B$2:$CX$4,3,TRUE)</f>
        <v>248151.88000000003</v>
      </c>
      <c r="C58" s="124">
        <f>HLOOKUP(A58,Demographics_Total!$B$2:$CX$4,2,TRUE)</f>
        <v>277049.16000000003</v>
      </c>
      <c r="D58" s="124">
        <f t="shared" si="0"/>
        <v>525201.04</v>
      </c>
    </row>
    <row r="59" spans="1:4" x14ac:dyDescent="0.35">
      <c r="A59" s="62">
        <v>57</v>
      </c>
      <c r="B59" s="124">
        <f>HLOOKUP(A59,Demographics_Total!$B$2:$CX$4,3,TRUE)</f>
        <v>231800.4</v>
      </c>
      <c r="C59" s="124">
        <f>HLOOKUP(A59,Demographics_Total!$B$2:$CX$4,2,TRUE)</f>
        <v>263263.59999999998</v>
      </c>
      <c r="D59" s="124">
        <f t="shared" si="0"/>
        <v>495064</v>
      </c>
    </row>
    <row r="60" spans="1:4" x14ac:dyDescent="0.35">
      <c r="A60" s="62">
        <v>58</v>
      </c>
      <c r="B60" s="124">
        <f>HLOOKUP(A60,Demographics_Total!$B$2:$CX$4,3,TRUE)</f>
        <v>223304.08</v>
      </c>
      <c r="C60" s="124">
        <f>HLOOKUP(A60,Demographics_Total!$B$2:$CX$4,2,TRUE)</f>
        <v>254997.68</v>
      </c>
      <c r="D60" s="124">
        <f t="shared" si="0"/>
        <v>478301.76</v>
      </c>
    </row>
    <row r="61" spans="1:4" x14ac:dyDescent="0.35">
      <c r="A61" s="62">
        <v>59</v>
      </c>
      <c r="B61" s="124">
        <f>HLOOKUP(A61,Demographics_Total!$B$2:$CX$4,3,TRUE)</f>
        <v>214807.75999999998</v>
      </c>
      <c r="C61" s="124">
        <f>HLOOKUP(A61,Demographics_Total!$B$2:$CX$4,2,TRUE)</f>
        <v>246731.76</v>
      </c>
      <c r="D61" s="124">
        <f t="shared" si="0"/>
        <v>461539.52</v>
      </c>
    </row>
    <row r="62" spans="1:4" x14ac:dyDescent="0.35">
      <c r="A62" s="62">
        <v>60</v>
      </c>
      <c r="B62" s="124">
        <f>HLOOKUP(A62,Demographics_Total!$B$2:$CX$4,3,TRUE)</f>
        <v>206311.43999999997</v>
      </c>
      <c r="C62" s="124">
        <f>HLOOKUP(A62,Demographics_Total!$B$2:$CX$4,2,TRUE)</f>
        <v>238465.84000000003</v>
      </c>
      <c r="D62" s="124">
        <f t="shared" si="0"/>
        <v>444777.28</v>
      </c>
    </row>
    <row r="63" spans="1:4" x14ac:dyDescent="0.35">
      <c r="A63" s="62">
        <v>61</v>
      </c>
      <c r="B63" s="124">
        <f>HLOOKUP(A63,Demographics_Total!$B$2:$CX$4,3,TRUE)</f>
        <v>197815.11999999997</v>
      </c>
      <c r="C63" s="124">
        <f>HLOOKUP(A63,Demographics_Total!$B$2:$CX$4,2,TRUE)</f>
        <v>230199.92000000004</v>
      </c>
      <c r="D63" s="124">
        <f t="shared" si="0"/>
        <v>428015.04000000004</v>
      </c>
    </row>
    <row r="64" spans="1:4" x14ac:dyDescent="0.35">
      <c r="A64" s="62">
        <v>62</v>
      </c>
      <c r="B64" s="124">
        <f>HLOOKUP(A64,Demographics_Total!$B$2:$CX$4,3,TRUE)</f>
        <v>189318.8</v>
      </c>
      <c r="C64" s="124">
        <f>HLOOKUP(A64,Demographics_Total!$B$2:$CX$4,2,TRUE)</f>
        <v>221934</v>
      </c>
      <c r="D64" s="124">
        <f t="shared" si="0"/>
        <v>411252.8</v>
      </c>
    </row>
    <row r="65" spans="1:4" x14ac:dyDescent="0.35">
      <c r="A65" s="62">
        <v>63</v>
      </c>
      <c r="B65" s="124">
        <f>HLOOKUP(A65,Demographics_Total!$B$2:$CX$4,3,TRUE)</f>
        <v>180884.91999999998</v>
      </c>
      <c r="C65" s="124">
        <f>HLOOKUP(A65,Demographics_Total!$B$2:$CX$4,2,TRUE)</f>
        <v>210848.92</v>
      </c>
      <c r="D65" s="124">
        <f t="shared" si="0"/>
        <v>391733.83999999997</v>
      </c>
    </row>
    <row r="66" spans="1:4" x14ac:dyDescent="0.35">
      <c r="A66" s="62">
        <v>64</v>
      </c>
      <c r="B66" s="124">
        <f>HLOOKUP(A66,Demographics_Total!$B$2:$CX$4,3,TRUE)</f>
        <v>172451.03999999998</v>
      </c>
      <c r="C66" s="124">
        <f>HLOOKUP(A66,Demographics_Total!$B$2:$CX$4,2,TRUE)</f>
        <v>199763.84000000003</v>
      </c>
      <c r="D66" s="124">
        <f t="shared" si="0"/>
        <v>372214.88</v>
      </c>
    </row>
    <row r="67" spans="1:4" x14ac:dyDescent="0.35">
      <c r="A67" s="62">
        <v>65</v>
      </c>
      <c r="B67" s="124">
        <f>HLOOKUP(A67,Demographics_Total!$B$2:$CX$4,3,TRUE)</f>
        <v>164017.15999999997</v>
      </c>
      <c r="C67" s="124">
        <f>HLOOKUP(A67,Demographics_Total!$B$2:$CX$4,2,TRUE)</f>
        <v>188678.76000000004</v>
      </c>
      <c r="D67" s="124">
        <f t="shared" ref="D67:D102" si="1">C67+B67</f>
        <v>352695.92000000004</v>
      </c>
    </row>
    <row r="68" spans="1:4" x14ac:dyDescent="0.35">
      <c r="A68" s="62">
        <v>66</v>
      </c>
      <c r="B68" s="124">
        <f>HLOOKUP(A68,Demographics_Total!$B$2:$CX$4,3,TRUE)</f>
        <v>155583.27999999997</v>
      </c>
      <c r="C68" s="124">
        <f>HLOOKUP(A68,Demographics_Total!$B$2:$CX$4,2,TRUE)</f>
        <v>177593.68000000005</v>
      </c>
      <c r="D68" s="124">
        <f t="shared" si="1"/>
        <v>333176.96000000002</v>
      </c>
    </row>
    <row r="69" spans="1:4" x14ac:dyDescent="0.35">
      <c r="A69" s="62">
        <v>67</v>
      </c>
      <c r="B69" s="124">
        <f>HLOOKUP(A69,Demographics_Total!$B$2:$CX$4,3,TRUE)</f>
        <v>147149.4</v>
      </c>
      <c r="C69" s="124">
        <f>HLOOKUP(A69,Demographics_Total!$B$2:$CX$4,2,TRUE)</f>
        <v>166508.6</v>
      </c>
      <c r="D69" s="124">
        <f t="shared" si="1"/>
        <v>313658</v>
      </c>
    </row>
    <row r="70" spans="1:4" x14ac:dyDescent="0.35">
      <c r="A70" s="62">
        <v>68</v>
      </c>
      <c r="B70" s="124">
        <f>HLOOKUP(A70,Demographics_Total!$B$2:$CX$4,3,TRUE)</f>
        <v>139314.47999999998</v>
      </c>
      <c r="C70" s="124">
        <f>HLOOKUP(A70,Demographics_Total!$B$2:$CX$4,2,TRUE)</f>
        <v>159149.32</v>
      </c>
      <c r="D70" s="124">
        <f t="shared" si="1"/>
        <v>298463.8</v>
      </c>
    </row>
    <row r="71" spans="1:4" x14ac:dyDescent="0.35">
      <c r="A71" s="62">
        <v>69</v>
      </c>
      <c r="B71" s="124">
        <f>HLOOKUP(A71,Demographics_Total!$B$2:$CX$4,3,TRUE)</f>
        <v>131479.56</v>
      </c>
      <c r="C71" s="124">
        <f>HLOOKUP(A71,Demographics_Total!$B$2:$CX$4,2,TRUE)</f>
        <v>151790.04</v>
      </c>
      <c r="D71" s="124">
        <f t="shared" si="1"/>
        <v>283269.59999999998</v>
      </c>
    </row>
    <row r="72" spans="1:4" x14ac:dyDescent="0.35">
      <c r="A72" s="62">
        <v>70</v>
      </c>
      <c r="B72" s="124">
        <f>HLOOKUP(A72,Demographics_Total!$B$2:$CX$4,3,TRUE)</f>
        <v>123644.64</v>
      </c>
      <c r="C72" s="124">
        <f>HLOOKUP(A72,Demographics_Total!$B$2:$CX$4,2,TRUE)</f>
        <v>144430.76</v>
      </c>
      <c r="D72" s="124">
        <f t="shared" si="1"/>
        <v>268075.40000000002</v>
      </c>
    </row>
    <row r="73" spans="1:4" x14ac:dyDescent="0.35">
      <c r="A73" s="62">
        <v>71</v>
      </c>
      <c r="B73" s="124">
        <f>HLOOKUP(A73,Demographics_Total!$B$2:$CX$4,3,TRUE)</f>
        <v>115809.72</v>
      </c>
      <c r="C73" s="124">
        <f>HLOOKUP(A73,Demographics_Total!$B$2:$CX$4,2,TRUE)</f>
        <v>137071.48000000001</v>
      </c>
      <c r="D73" s="124">
        <f t="shared" si="1"/>
        <v>252881.2</v>
      </c>
    </row>
    <row r="74" spans="1:4" x14ac:dyDescent="0.35">
      <c r="A74" s="62">
        <v>72</v>
      </c>
      <c r="B74" s="124">
        <f>HLOOKUP(A74,Demographics_Total!$B$2:$CX$4,3,TRUE)</f>
        <v>107974.8</v>
      </c>
      <c r="C74" s="124">
        <f>HLOOKUP(A74,Demographics_Total!$B$2:$CX$4,2,TRUE)</f>
        <v>129712.2</v>
      </c>
      <c r="D74" s="124">
        <f t="shared" si="1"/>
        <v>237687</v>
      </c>
    </row>
    <row r="75" spans="1:4" x14ac:dyDescent="0.35">
      <c r="A75" s="62">
        <v>73</v>
      </c>
      <c r="B75" s="124">
        <f>HLOOKUP(A75,Demographics_Total!$B$2:$CX$4,3,TRUE)</f>
        <v>99988.12</v>
      </c>
      <c r="C75" s="124">
        <f>HLOOKUP(A75,Demographics_Total!$B$2:$CX$4,2,TRUE)</f>
        <v>119798.8</v>
      </c>
      <c r="D75" s="124">
        <f t="shared" si="1"/>
        <v>219786.91999999998</v>
      </c>
    </row>
    <row r="76" spans="1:4" x14ac:dyDescent="0.35">
      <c r="A76" s="62">
        <v>74</v>
      </c>
      <c r="B76" s="124">
        <f>HLOOKUP(A76,Demographics_Total!$B$2:$CX$4,3,TRUE)</f>
        <v>92001.439999999988</v>
      </c>
      <c r="C76" s="124">
        <f>HLOOKUP(A76,Demographics_Total!$B$2:$CX$4,2,TRUE)</f>
        <v>109885.40000000001</v>
      </c>
      <c r="D76" s="124">
        <f t="shared" si="1"/>
        <v>201886.84</v>
      </c>
    </row>
    <row r="77" spans="1:4" x14ac:dyDescent="0.35">
      <c r="A77" s="62">
        <v>75</v>
      </c>
      <c r="B77" s="124">
        <f>HLOOKUP(A77,Demographics_Total!$B$2:$CX$4,3,TRUE)</f>
        <v>84014.75999999998</v>
      </c>
      <c r="C77" s="124">
        <f>HLOOKUP(A77,Demographics_Total!$B$2:$CX$4,2,TRUE)</f>
        <v>99972.000000000015</v>
      </c>
      <c r="D77" s="124">
        <f t="shared" si="1"/>
        <v>183986.76</v>
      </c>
    </row>
    <row r="78" spans="1:4" x14ac:dyDescent="0.35">
      <c r="A78" s="62">
        <v>76</v>
      </c>
      <c r="B78" s="124">
        <f>HLOOKUP(A78,Demographics_Total!$B$2:$CX$4,3,TRUE)</f>
        <v>76028.079999999973</v>
      </c>
      <c r="C78" s="124">
        <f>HLOOKUP(A78,Demographics_Total!$B$2:$CX$4,2,TRUE)</f>
        <v>90058.60000000002</v>
      </c>
      <c r="D78" s="124">
        <f t="shared" si="1"/>
        <v>166086.68</v>
      </c>
    </row>
    <row r="79" spans="1:4" x14ac:dyDescent="0.35">
      <c r="A79" s="62">
        <v>77</v>
      </c>
      <c r="B79" s="124">
        <f>HLOOKUP(A79,Demographics_Total!$B$2:$CX$4,3,TRUE)</f>
        <v>68041.399999999994</v>
      </c>
      <c r="C79" s="124">
        <f>HLOOKUP(A79,Demographics_Total!$B$2:$CX$4,2,TRUE)</f>
        <v>80145.2</v>
      </c>
      <c r="D79" s="124">
        <f t="shared" si="1"/>
        <v>148186.59999999998</v>
      </c>
    </row>
    <row r="80" spans="1:4" x14ac:dyDescent="0.35">
      <c r="A80" s="62">
        <v>78</v>
      </c>
      <c r="B80" s="124">
        <f>HLOOKUP(A80,Demographics_Total!$B$2:$CX$4,3,TRUE)</f>
        <v>60781.165599999993</v>
      </c>
      <c r="C80" s="124">
        <f>HLOOKUP(A80,Demographics_Total!$B$2:$CX$4,2,TRUE)</f>
        <v>71829.171999999991</v>
      </c>
      <c r="D80" s="124">
        <f t="shared" si="1"/>
        <v>132610.33759999997</v>
      </c>
    </row>
    <row r="81" spans="1:4" x14ac:dyDescent="0.35">
      <c r="A81" s="62">
        <v>79</v>
      </c>
      <c r="B81" s="124">
        <f>HLOOKUP(A81,Demographics_Total!$B$2:$CX$4,3,TRUE)</f>
        <v>53520.931199999992</v>
      </c>
      <c r="C81" s="124">
        <f>HLOOKUP(A81,Demographics_Total!$B$2:$CX$4,2,TRUE)</f>
        <v>63513.143999999993</v>
      </c>
      <c r="D81" s="124">
        <f t="shared" si="1"/>
        <v>117034.07519999999</v>
      </c>
    </row>
    <row r="82" spans="1:4" x14ac:dyDescent="0.35">
      <c r="A82" s="62">
        <v>80</v>
      </c>
      <c r="B82" s="124">
        <f>HLOOKUP(A82,Demographics_Total!$B$2:$CX$4,3,TRUE)</f>
        <v>46260.696799999991</v>
      </c>
      <c r="C82" s="124">
        <f>HLOOKUP(A82,Demographics_Total!$B$2:$CX$4,2,TRUE)</f>
        <v>55197.115999999995</v>
      </c>
      <c r="D82" s="124">
        <f t="shared" si="1"/>
        <v>101457.81279999999</v>
      </c>
    </row>
    <row r="83" spans="1:4" x14ac:dyDescent="0.35">
      <c r="A83" s="62">
        <v>81</v>
      </c>
      <c r="B83" s="124">
        <f>HLOOKUP(A83,Demographics_Total!$B$2:$CX$4,3,TRUE)</f>
        <v>39000.462399999989</v>
      </c>
      <c r="C83" s="124">
        <f>HLOOKUP(A83,Demographics_Total!$B$2:$CX$4,2,TRUE)</f>
        <v>46881.087999999996</v>
      </c>
      <c r="D83" s="124">
        <f t="shared" si="1"/>
        <v>85881.550399999978</v>
      </c>
    </row>
    <row r="84" spans="1:4" x14ac:dyDescent="0.35">
      <c r="A84" s="62">
        <v>82</v>
      </c>
      <c r="B84" s="124">
        <f>HLOOKUP(A84,Demographics_Total!$B$2:$CX$4,3,TRUE)</f>
        <v>31740.227999999996</v>
      </c>
      <c r="C84" s="124">
        <f>HLOOKUP(A84,Demographics_Total!$B$2:$CX$4,2,TRUE)</f>
        <v>38565.06</v>
      </c>
      <c r="D84" s="124">
        <f t="shared" si="1"/>
        <v>70305.288</v>
      </c>
    </row>
    <row r="85" spans="1:4" x14ac:dyDescent="0.35">
      <c r="A85" s="62">
        <v>83</v>
      </c>
      <c r="B85" s="124">
        <f>HLOOKUP(A85,Demographics_Total!$B$2:$CX$4,3,TRUE)</f>
        <v>27871.876799999998</v>
      </c>
      <c r="C85" s="124">
        <f>HLOOKUP(A85,Demographics_Total!$B$2:$CX$4,2,TRUE)</f>
        <v>33970.112000000001</v>
      </c>
      <c r="D85" s="124">
        <f t="shared" si="1"/>
        <v>61841.988799999999</v>
      </c>
    </row>
    <row r="86" spans="1:4" x14ac:dyDescent="0.35">
      <c r="A86" s="62">
        <v>84</v>
      </c>
      <c r="B86" s="124">
        <f>HLOOKUP(A86,Demographics_Total!$B$2:$CX$4,3,TRUE)</f>
        <v>24003.525600000001</v>
      </c>
      <c r="C86" s="124">
        <f>HLOOKUP(A86,Demographics_Total!$B$2:$CX$4,2,TRUE)</f>
        <v>29375.164000000001</v>
      </c>
      <c r="D86" s="124">
        <f t="shared" si="1"/>
        <v>53378.689599999998</v>
      </c>
    </row>
    <row r="87" spans="1:4" x14ac:dyDescent="0.35">
      <c r="A87" s="62">
        <v>85</v>
      </c>
      <c r="B87" s="124">
        <f>HLOOKUP(A87,Demographics_Total!$B$2:$CX$4,3,TRUE)</f>
        <v>20135.174400000004</v>
      </c>
      <c r="C87" s="124">
        <f>HLOOKUP(A87,Demographics_Total!$B$2:$CX$4,2,TRUE)</f>
        <v>24780.216</v>
      </c>
      <c r="D87" s="124">
        <f t="shared" si="1"/>
        <v>44915.390400000004</v>
      </c>
    </row>
    <row r="88" spans="1:4" x14ac:dyDescent="0.35">
      <c r="A88" s="62">
        <v>86</v>
      </c>
      <c r="B88" s="124">
        <f>HLOOKUP(A88,Demographics_Total!$B$2:$CX$4,3,TRUE)</f>
        <v>16266.823200000004</v>
      </c>
      <c r="C88" s="124">
        <f>HLOOKUP(A88,Demographics_Total!$B$2:$CX$4,2,TRUE)</f>
        <v>20185.268</v>
      </c>
      <c r="D88" s="124">
        <f t="shared" si="1"/>
        <v>36452.091200000003</v>
      </c>
    </row>
    <row r="89" spans="1:4" x14ac:dyDescent="0.35">
      <c r="A89" s="62">
        <v>87</v>
      </c>
      <c r="B89" s="124">
        <f>HLOOKUP(A89,Demographics_Total!$B$2:$CX$4,3,TRUE)</f>
        <v>12398.472000000002</v>
      </c>
      <c r="C89" s="124">
        <f>HLOOKUP(A89,Demographics_Total!$B$2:$CX$4,2,TRUE)</f>
        <v>15590.320000000002</v>
      </c>
      <c r="D89" s="124">
        <f t="shared" si="1"/>
        <v>27988.792000000001</v>
      </c>
    </row>
    <row r="90" spans="1:4" x14ac:dyDescent="0.35">
      <c r="A90" s="62">
        <v>88</v>
      </c>
      <c r="B90" s="124">
        <f>HLOOKUP(A90,Demographics_Total!$B$2:$CX$4,3,TRUE)</f>
        <v>10380.9876</v>
      </c>
      <c r="C90" s="124">
        <f>HLOOKUP(A90,Demographics_Total!$B$2:$CX$4,2,TRUE)</f>
        <v>13146.116000000002</v>
      </c>
      <c r="D90" s="124">
        <f t="shared" si="1"/>
        <v>23527.103600000002</v>
      </c>
    </row>
    <row r="91" spans="1:4" x14ac:dyDescent="0.35">
      <c r="A91" s="62">
        <v>89</v>
      </c>
      <c r="B91" s="124">
        <f>HLOOKUP(A91,Demographics_Total!$B$2:$CX$4,3,TRUE)</f>
        <v>8363.5031999999992</v>
      </c>
      <c r="C91" s="124">
        <f>HLOOKUP(A91,Demographics_Total!$B$2:$CX$4,2,TRUE)</f>
        <v>10701.912</v>
      </c>
      <c r="D91" s="124">
        <f t="shared" si="1"/>
        <v>19065.415199999999</v>
      </c>
    </row>
    <row r="92" spans="1:4" x14ac:dyDescent="0.35">
      <c r="A92" s="62">
        <v>90</v>
      </c>
      <c r="B92" s="124">
        <f>HLOOKUP(A92,Demographics_Total!$B$2:$CX$4,3,TRUE)</f>
        <v>6346.0187999999989</v>
      </c>
      <c r="C92" s="124">
        <f>HLOOKUP(A92,Demographics_Total!$B$2:$CX$4,2,TRUE)</f>
        <v>8257.7079999999987</v>
      </c>
      <c r="D92" s="124">
        <f t="shared" si="1"/>
        <v>14603.726799999997</v>
      </c>
    </row>
    <row r="93" spans="1:4" x14ac:dyDescent="0.35">
      <c r="A93" s="62">
        <v>91</v>
      </c>
      <c r="B93" s="124">
        <f>HLOOKUP(A93,Demographics_Total!$B$2:$CX$4,3,TRUE)</f>
        <v>4328.5343999999986</v>
      </c>
      <c r="C93" s="124">
        <f>HLOOKUP(A93,Demographics_Total!$B$2:$CX$4,2,TRUE)</f>
        <v>5813.5039999999981</v>
      </c>
      <c r="D93" s="124">
        <f t="shared" si="1"/>
        <v>10142.038399999998</v>
      </c>
    </row>
    <row r="94" spans="1:4" x14ac:dyDescent="0.35">
      <c r="A94" s="62">
        <v>92</v>
      </c>
      <c r="B94" s="124">
        <f>HLOOKUP(A94,Demographics_Total!$B$2:$CX$4,3,TRUE)</f>
        <v>2311.0499999999997</v>
      </c>
      <c r="C94" s="124">
        <f>HLOOKUP(A94,Demographics_Total!$B$2:$CX$4,2,TRUE)</f>
        <v>3369.2999999999997</v>
      </c>
      <c r="D94" s="124">
        <f t="shared" si="1"/>
        <v>5680.3499999999995</v>
      </c>
    </row>
    <row r="95" spans="1:4" x14ac:dyDescent="0.35">
      <c r="A95" s="62">
        <v>93</v>
      </c>
      <c r="B95" s="124">
        <f>HLOOKUP(A95,Demographics_Total!$B$2:$CX$4,3,TRUE)</f>
        <v>1879.9759999999997</v>
      </c>
      <c r="C95" s="124">
        <f>HLOOKUP(A95,Demographics_Total!$B$2:$CX$4,2,TRUE)</f>
        <v>2775.0623999999998</v>
      </c>
      <c r="D95" s="124">
        <f t="shared" si="1"/>
        <v>4655.0383999999995</v>
      </c>
    </row>
    <row r="96" spans="1:4" x14ac:dyDescent="0.35">
      <c r="A96" s="62">
        <v>94</v>
      </c>
      <c r="B96" s="124">
        <f>HLOOKUP(A96,Demographics_Total!$B$2:$CX$4,3,TRUE)</f>
        <v>1448.9019999999996</v>
      </c>
      <c r="C96" s="124">
        <f>HLOOKUP(A96,Demographics_Total!$B$2:$CX$4,2,TRUE)</f>
        <v>2180.8247999999999</v>
      </c>
      <c r="D96" s="124">
        <f t="shared" si="1"/>
        <v>3629.7267999999995</v>
      </c>
    </row>
    <row r="97" spans="1:4" x14ac:dyDescent="0.35">
      <c r="A97" s="62">
        <v>95</v>
      </c>
      <c r="B97" s="124">
        <f>HLOOKUP(A97,Demographics_Total!$B$2:$CX$4,3,TRUE)</f>
        <v>1017.8279999999996</v>
      </c>
      <c r="C97" s="124">
        <f>HLOOKUP(A97,Demographics_Total!$B$2:$CX$4,2,TRUE)</f>
        <v>1586.5871999999999</v>
      </c>
      <c r="D97" s="124">
        <f t="shared" si="1"/>
        <v>2604.4151999999995</v>
      </c>
    </row>
    <row r="98" spans="1:4" x14ac:dyDescent="0.35">
      <c r="A98" s="62">
        <v>96</v>
      </c>
      <c r="B98" s="124">
        <f>HLOOKUP(A98,Demographics_Total!$B$2:$CX$4,3,TRUE)</f>
        <v>586.75399999999968</v>
      </c>
      <c r="C98" s="124">
        <f>HLOOKUP(A98,Demographics_Total!$B$2:$CX$4,2,TRUE)</f>
        <v>992.34960000000001</v>
      </c>
      <c r="D98" s="124">
        <f t="shared" si="1"/>
        <v>1579.1035999999997</v>
      </c>
    </row>
    <row r="99" spans="1:4" x14ac:dyDescent="0.35">
      <c r="A99" s="62">
        <v>97</v>
      </c>
      <c r="B99" s="124">
        <f>HLOOKUP(A99,Demographics_Total!$B$2:$CX$4,3,TRUE)</f>
        <v>155.68</v>
      </c>
      <c r="C99" s="124">
        <f>HLOOKUP(A99,Demographics_Total!$B$2:$CX$4,2,TRUE)</f>
        <v>398.11199999999997</v>
      </c>
      <c r="D99" s="124">
        <f t="shared" si="1"/>
        <v>553.79199999999992</v>
      </c>
    </row>
    <row r="100" spans="1:4" x14ac:dyDescent="0.35">
      <c r="A100" s="62">
        <v>98</v>
      </c>
      <c r="B100" s="124">
        <f>HLOOKUP(A100,Demographics_Total!$B$2:$CX$4,3,TRUE)</f>
        <v>164.12</v>
      </c>
      <c r="C100" s="124">
        <f>HLOOKUP(A100,Demographics_Total!$B$2:$CX$4,2,TRUE)</f>
        <v>353.07466666666664</v>
      </c>
      <c r="D100" s="124">
        <f t="shared" si="1"/>
        <v>517.19466666666665</v>
      </c>
    </row>
    <row r="101" spans="1:4" x14ac:dyDescent="0.35">
      <c r="A101" s="62">
        <v>99</v>
      </c>
      <c r="B101" s="124">
        <f>HLOOKUP(A101,Demographics_Total!$B$2:$CX$4,3,TRUE)</f>
        <v>172.56</v>
      </c>
      <c r="C101" s="124">
        <f>HLOOKUP(A101,Demographics_Total!$B$2:$CX$4,2,TRUE)</f>
        <v>308.03733333333332</v>
      </c>
      <c r="D101" s="124">
        <f t="shared" si="1"/>
        <v>480.59733333333332</v>
      </c>
    </row>
    <row r="102" spans="1:4" x14ac:dyDescent="0.3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4.5" x14ac:dyDescent="0.35"/>
  <cols>
    <col min="1" max="1" width="27.54296875" customWidth="1"/>
  </cols>
  <sheetData>
    <row r="1" spans="1:3" x14ac:dyDescent="0.35">
      <c r="A1" t="s">
        <v>1970</v>
      </c>
      <c r="B1" t="s">
        <v>1066</v>
      </c>
      <c r="C1" t="s">
        <v>1971</v>
      </c>
    </row>
    <row r="2" spans="1:3" x14ac:dyDescent="0.35">
      <c r="A2" t="s">
        <v>1972</v>
      </c>
      <c r="B2" s="293">
        <v>0.12</v>
      </c>
    </row>
    <row r="3" spans="1:3" x14ac:dyDescent="0.35">
      <c r="A3" t="s">
        <v>1973</v>
      </c>
      <c r="B3" s="293">
        <v>0.12</v>
      </c>
    </row>
    <row r="4" spans="1:3" x14ac:dyDescent="0.35">
      <c r="A4" t="s">
        <v>1974</v>
      </c>
      <c r="B4" s="59">
        <v>0.1</v>
      </c>
    </row>
    <row r="5" spans="1:3" x14ac:dyDescent="0.35">
      <c r="A5" t="s">
        <v>1975</v>
      </c>
      <c r="B5" s="293">
        <v>0.13500000000000001</v>
      </c>
      <c r="C5" s="293">
        <v>1.35</v>
      </c>
    </row>
    <row r="6" spans="1:3" x14ac:dyDescent="0.35">
      <c r="A6" t="s">
        <v>1976</v>
      </c>
      <c r="B6" s="293">
        <v>0.22</v>
      </c>
      <c r="C6" s="293">
        <v>1.6</v>
      </c>
    </row>
    <row r="7" spans="1:3" x14ac:dyDescent="0.35">
      <c r="A7" t="s">
        <v>1977</v>
      </c>
      <c r="B7" s="59">
        <v>0.1</v>
      </c>
      <c r="C7" s="59">
        <v>2</v>
      </c>
    </row>
    <row r="8" spans="1:3" x14ac:dyDescent="0.35">
      <c r="A8" t="s">
        <v>1978</v>
      </c>
      <c r="B8" s="59">
        <v>0.25</v>
      </c>
    </row>
    <row r="9" spans="1:3" x14ac:dyDescent="0.35">
      <c r="A9" t="s">
        <v>1979</v>
      </c>
      <c r="B9" s="59">
        <v>0.1</v>
      </c>
    </row>
    <row r="10" spans="1:3" x14ac:dyDescent="0.35">
      <c r="A10" t="s">
        <v>1980</v>
      </c>
      <c r="B10" s="59">
        <f>(32-28)/32</f>
        <v>0.125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G10" sqref="G10"/>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36328125" bestFit="1" customWidth="1"/>
    <col min="11" max="11" width="15.36328125" customWidth="1"/>
    <col min="12" max="12" width="26" bestFit="1" customWidth="1"/>
    <col min="13" max="13" width="28.08984375" bestFit="1" customWidth="1"/>
    <col min="14" max="28" width="6.1796875" customWidth="1"/>
  </cols>
  <sheetData>
    <row r="1" spans="1:14" x14ac:dyDescent="0.3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35">
      <c r="A6" s="199" t="s">
        <v>2071</v>
      </c>
      <c r="B6" s="307">
        <f>AVERAGE('AgeSpecific Fertility'!E3:F3)/1000</f>
        <v>0.19850000000000001</v>
      </c>
      <c r="C6" s="307">
        <f>AVERAGE('AgeSpecific Fertility'!E9:F9)</f>
        <v>0.98627198435950747</v>
      </c>
    </row>
    <row r="7" spans="1:14" x14ac:dyDescent="0.35">
      <c r="A7" s="199" t="s">
        <v>2072</v>
      </c>
      <c r="B7" s="307">
        <f>AVERAGE('AgeSpecific Fertility'!G3:H3)/1000</f>
        <v>0.14050000000000001</v>
      </c>
      <c r="C7" s="307">
        <f>AVERAGE('AgeSpecific Fertility'!G9:H9)</f>
        <v>0.95003364224192177</v>
      </c>
    </row>
    <row r="8" spans="1:14" x14ac:dyDescent="0.35">
      <c r="A8" s="199" t="s">
        <v>2073</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3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35">
      <c r="A15" s="310" t="s">
        <v>133</v>
      </c>
      <c r="B15" s="307">
        <f>'mort adult f'!I275/(60-15)</f>
        <v>3.9443060860274208</v>
      </c>
      <c r="C15" s="310">
        <f>'mort adult f'!BM272</f>
        <v>0.98007627674588871</v>
      </c>
      <c r="D15" s="276"/>
      <c r="E15" s="277"/>
      <c r="F15" s="276"/>
      <c r="G15" s="277"/>
      <c r="H15" s="277"/>
      <c r="J15" s="86" t="s">
        <v>2097</v>
      </c>
      <c r="K15" s="86"/>
    </row>
    <row r="16" spans="1:14" x14ac:dyDescent="0.35">
      <c r="A16" s="310" t="s">
        <v>134</v>
      </c>
      <c r="B16" s="307">
        <f>'mort adult m'!I275/(60-15)</f>
        <v>5.1027857526880149</v>
      </c>
      <c r="C16" s="310">
        <f>'mort adult m'!BM272</f>
        <v>0.98481071022469158</v>
      </c>
      <c r="D16" s="276"/>
      <c r="E16" s="277"/>
      <c r="F16" s="276"/>
      <c r="G16" s="277"/>
      <c r="H16" s="277"/>
      <c r="J16" s="86" t="s">
        <v>2097</v>
      </c>
      <c r="K16" s="86"/>
    </row>
    <row r="17" spans="1:14" x14ac:dyDescent="0.3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3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3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3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3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3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35">
      <c r="A23" s="234" t="s">
        <v>2098</v>
      </c>
      <c r="B23" s="294">
        <f>'Age band mort calcs'!B15</f>
        <v>4.6410387643786963</v>
      </c>
      <c r="C23" s="234">
        <f>C15</f>
        <v>0.98007627674588871</v>
      </c>
      <c r="K23" t="s">
        <v>2135</v>
      </c>
    </row>
    <row r="24" spans="1:14" x14ac:dyDescent="0.35">
      <c r="A24" s="234" t="s">
        <v>2110</v>
      </c>
      <c r="B24" s="294">
        <f>'Age band mort calcs'!B16</f>
        <v>7.8897658994437831</v>
      </c>
      <c r="C24" s="234">
        <f>C23</f>
        <v>0.98007627674588871</v>
      </c>
      <c r="K24" t="s">
        <v>2135</v>
      </c>
    </row>
    <row r="25" spans="1:14" x14ac:dyDescent="0.35">
      <c r="A25" s="234" t="s">
        <v>2094</v>
      </c>
      <c r="B25" s="294">
        <f>'Age band mort calcs'!B17</f>
        <v>22.091344518442593</v>
      </c>
      <c r="C25" s="234">
        <f>C24</f>
        <v>0.98007627674588871</v>
      </c>
      <c r="K25" t="s">
        <v>2135</v>
      </c>
    </row>
    <row r="26" spans="1:14" x14ac:dyDescent="0.35">
      <c r="A26" s="234" t="s">
        <v>2095</v>
      </c>
      <c r="B26" s="294">
        <f>'Age band mort calcs'!B18</f>
        <v>243.00478970286852</v>
      </c>
      <c r="C26" s="234">
        <f>C25</f>
        <v>0.98007627674588871</v>
      </c>
      <c r="K26" t="s">
        <v>2135</v>
      </c>
    </row>
    <row r="27" spans="1:14" x14ac:dyDescent="0.35">
      <c r="A27" s="234" t="s">
        <v>2116</v>
      </c>
      <c r="B27" s="234">
        <f>'Age band mort calcs'!B21</f>
        <v>6.3527026636382198</v>
      </c>
      <c r="C27" s="234">
        <f>C16</f>
        <v>0.98481071022469158</v>
      </c>
      <c r="K27" t="s">
        <v>2135</v>
      </c>
    </row>
    <row r="28" spans="1:14" x14ac:dyDescent="0.35">
      <c r="A28" s="234" t="s">
        <v>2117</v>
      </c>
      <c r="B28" s="234">
        <f>'Age band mort calcs'!B22</f>
        <v>12.070135060912618</v>
      </c>
      <c r="C28" s="234">
        <f>C27</f>
        <v>0.98481071022469158</v>
      </c>
      <c r="K28" t="s">
        <v>2135</v>
      </c>
    </row>
    <row r="29" spans="1:14" x14ac:dyDescent="0.35">
      <c r="A29" s="234" t="s">
        <v>2092</v>
      </c>
      <c r="B29" s="234">
        <f>'Age band mort calcs'!B23</f>
        <v>31.382351158372806</v>
      </c>
      <c r="C29" s="234">
        <f>C28</f>
        <v>0.98481071022469158</v>
      </c>
      <c r="K29" t="s">
        <v>2135</v>
      </c>
    </row>
    <row r="30" spans="1:14" x14ac:dyDescent="0.35">
      <c r="A30" s="234" t="s">
        <v>2093</v>
      </c>
      <c r="B30" s="234">
        <f>'Age band mort calcs'!B24</f>
        <v>273.02645507784337</v>
      </c>
      <c r="C30" s="234">
        <f>C29</f>
        <v>0.98481071022469158</v>
      </c>
      <c r="K30" t="s">
        <v>2135</v>
      </c>
    </row>
    <row r="31" spans="1:14" x14ac:dyDescent="0.35">
      <c r="A31" s="234"/>
      <c r="B31" s="234"/>
      <c r="C31" s="23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H3" sqref="H3"/>
    </sheetView>
  </sheetViews>
  <sheetFormatPr defaultRowHeight="14.5" x14ac:dyDescent="0.35"/>
  <cols>
    <col min="2" max="7" width="12.7265625" customWidth="1"/>
    <col min="8" max="8" width="12.7265625" style="176" customWidth="1"/>
  </cols>
  <sheetData>
    <row r="1" spans="1:8" x14ac:dyDescent="0.35">
      <c r="A1" t="s">
        <v>267</v>
      </c>
      <c r="B1" t="s">
        <v>268</v>
      </c>
      <c r="C1" t="s">
        <v>269</v>
      </c>
      <c r="D1" t="s">
        <v>270</v>
      </c>
      <c r="E1" t="s">
        <v>271</v>
      </c>
      <c r="F1" t="s">
        <v>272</v>
      </c>
      <c r="G1" t="s">
        <v>191</v>
      </c>
      <c r="H1" s="176" t="s">
        <v>273</v>
      </c>
    </row>
    <row r="2" spans="1:8" x14ac:dyDescent="0.3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x14ac:dyDescent="0.3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x14ac:dyDescent="0.3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x14ac:dyDescent="0.3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x14ac:dyDescent="0.3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x14ac:dyDescent="0.3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x14ac:dyDescent="0.3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x14ac:dyDescent="0.3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x14ac:dyDescent="0.3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x14ac:dyDescent="0.3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x14ac:dyDescent="0.3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x14ac:dyDescent="0.3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2"/>
  <sheetViews>
    <sheetView workbookViewId="0">
      <selection activeCell="N7" sqref="N7"/>
    </sheetView>
  </sheetViews>
  <sheetFormatPr defaultRowHeight="14.5" x14ac:dyDescent="0.35"/>
  <cols>
    <col min="1" max="1" width="13.54296875" customWidth="1"/>
    <col min="2" max="2" width="31.453125" bestFit="1" customWidth="1"/>
    <col min="3" max="3" width="11.26953125" bestFit="1" customWidth="1"/>
    <col min="10" max="10" width="7.36328125" customWidth="1"/>
  </cols>
  <sheetData>
    <row r="1" spans="1:9" x14ac:dyDescent="0.35">
      <c r="A1" t="s">
        <v>286</v>
      </c>
      <c r="B1" t="s">
        <v>101</v>
      </c>
      <c r="C1" t="s">
        <v>287</v>
      </c>
      <c r="D1" t="s">
        <v>288</v>
      </c>
      <c r="E1" t="s">
        <v>289</v>
      </c>
      <c r="F1" t="s">
        <v>290</v>
      </c>
      <c r="G1" t="s">
        <v>291</v>
      </c>
      <c r="H1" t="s">
        <v>2068</v>
      </c>
      <c r="I1" t="s">
        <v>2069</v>
      </c>
    </row>
    <row r="2" spans="1:9" x14ac:dyDescent="0.35">
      <c r="A2" t="s">
        <v>2171</v>
      </c>
      <c r="B2" t="s">
        <v>2173</v>
      </c>
      <c r="C2" t="s">
        <v>293</v>
      </c>
      <c r="D2">
        <v>-7</v>
      </c>
      <c r="E2">
        <v>-5</v>
      </c>
      <c r="F2">
        <v>-3</v>
      </c>
      <c r="G2">
        <v>-1</v>
      </c>
    </row>
    <row r="3" spans="1:9" x14ac:dyDescent="0.35">
      <c r="A3" t="s">
        <v>2204</v>
      </c>
      <c r="B3" t="s">
        <v>2179</v>
      </c>
      <c r="C3" t="s">
        <v>293</v>
      </c>
      <c r="D3">
        <v>-4</v>
      </c>
    </row>
    <row r="4" spans="1:9" x14ac:dyDescent="0.35">
      <c r="A4" t="s">
        <v>2185</v>
      </c>
      <c r="B4" t="s">
        <v>2182</v>
      </c>
      <c r="C4" t="s">
        <v>293</v>
      </c>
      <c r="D4">
        <v>0</v>
      </c>
    </row>
    <row r="5" spans="1:9" x14ac:dyDescent="0.35">
      <c r="A5" t="s">
        <v>2187</v>
      </c>
      <c r="B5" t="s">
        <v>2183</v>
      </c>
      <c r="C5" t="s">
        <v>293</v>
      </c>
      <c r="D5">
        <v>0</v>
      </c>
    </row>
    <row r="6" spans="1:9" x14ac:dyDescent="0.35">
      <c r="A6" t="s">
        <v>2186</v>
      </c>
      <c r="B6" t="s">
        <v>2181</v>
      </c>
      <c r="C6" t="s">
        <v>293</v>
      </c>
      <c r="D6">
        <v>0</v>
      </c>
    </row>
    <row r="7" spans="1:9" x14ac:dyDescent="0.35">
      <c r="A7" t="s">
        <v>2641</v>
      </c>
      <c r="B7" t="s">
        <v>295</v>
      </c>
      <c r="C7" t="s">
        <v>293</v>
      </c>
      <c r="D7">
        <v>0</v>
      </c>
      <c r="E7">
        <v>1</v>
      </c>
    </row>
    <row r="8" spans="1:9" x14ac:dyDescent="0.35">
      <c r="A8" t="s">
        <v>2197</v>
      </c>
      <c r="B8" t="s">
        <v>297</v>
      </c>
      <c r="C8" t="s">
        <v>293</v>
      </c>
      <c r="D8">
        <v>1</v>
      </c>
      <c r="E8">
        <v>2</v>
      </c>
    </row>
    <row r="9" spans="1:9" x14ac:dyDescent="0.35">
      <c r="A9" t="s">
        <v>2198</v>
      </c>
      <c r="B9" t="s">
        <v>2193</v>
      </c>
      <c r="C9" t="s">
        <v>293</v>
      </c>
      <c r="D9">
        <v>1</v>
      </c>
    </row>
    <row r="10" spans="1:9" x14ac:dyDescent="0.35">
      <c r="A10" t="s">
        <v>2268</v>
      </c>
      <c r="B10" t="s">
        <v>178</v>
      </c>
      <c r="C10" t="s">
        <v>293</v>
      </c>
      <c r="D10" s="5">
        <v>4</v>
      </c>
      <c r="E10" s="5">
        <v>6</v>
      </c>
      <c r="F10" s="5">
        <v>9</v>
      </c>
      <c r="G10" s="5">
        <v>12</v>
      </c>
    </row>
    <row r="11" spans="1:9" x14ac:dyDescent="0.35">
      <c r="A11" t="s">
        <v>2269</v>
      </c>
      <c r="B11" t="s">
        <v>181</v>
      </c>
      <c r="C11" t="s">
        <v>293</v>
      </c>
      <c r="D11">
        <v>15</v>
      </c>
    </row>
    <row r="12" spans="1:9" x14ac:dyDescent="0.35">
      <c r="A12" t="s">
        <v>2232</v>
      </c>
      <c r="B12" t="s">
        <v>2230</v>
      </c>
      <c r="C12" t="s">
        <v>293</v>
      </c>
      <c r="D12" s="5">
        <v>6</v>
      </c>
      <c r="E12" s="5">
        <v>8</v>
      </c>
      <c r="F12" s="5">
        <v>10</v>
      </c>
      <c r="I12" s="234"/>
    </row>
    <row r="13" spans="1:9" x14ac:dyDescent="0.35">
      <c r="A13" t="s">
        <v>2682</v>
      </c>
      <c r="B13" t="s">
        <v>2316</v>
      </c>
      <c r="C13" t="s">
        <v>191</v>
      </c>
      <c r="D13">
        <v>0</v>
      </c>
      <c r="E13" s="5">
        <v>3</v>
      </c>
    </row>
    <row r="14" spans="1:9" x14ac:dyDescent="0.35">
      <c r="A14" t="s">
        <v>2646</v>
      </c>
      <c r="B14" t="s">
        <v>2226</v>
      </c>
      <c r="C14" t="s">
        <v>191</v>
      </c>
      <c r="D14">
        <v>0</v>
      </c>
      <c r="E14" s="5">
        <v>1</v>
      </c>
      <c r="F14" s="5">
        <v>2</v>
      </c>
      <c r="G14" s="5">
        <v>3</v>
      </c>
    </row>
    <row r="15" spans="1:9" x14ac:dyDescent="0.35">
      <c r="A15" t="s">
        <v>2647</v>
      </c>
      <c r="B15" t="s">
        <v>2225</v>
      </c>
      <c r="C15" t="s">
        <v>191</v>
      </c>
      <c r="D15">
        <v>0</v>
      </c>
      <c r="E15" s="5">
        <v>1</v>
      </c>
    </row>
    <row r="16" spans="1:9" x14ac:dyDescent="0.35">
      <c r="A16" t="s">
        <v>2364</v>
      </c>
      <c r="B16" t="s">
        <v>2369</v>
      </c>
      <c r="C16" t="s">
        <v>69</v>
      </c>
      <c r="D16">
        <v>0</v>
      </c>
    </row>
    <row r="17" spans="1:4" x14ac:dyDescent="0.35">
      <c r="A17" t="s">
        <v>2365</v>
      </c>
      <c r="B17" t="s">
        <v>2370</v>
      </c>
      <c r="C17" t="s">
        <v>69</v>
      </c>
      <c r="D17">
        <v>0</v>
      </c>
    </row>
    <row r="18" spans="1:4" x14ac:dyDescent="0.35">
      <c r="A18" t="s">
        <v>2368</v>
      </c>
      <c r="B18" t="s">
        <v>2371</v>
      </c>
      <c r="C18" t="s">
        <v>69</v>
      </c>
      <c r="D18">
        <v>0</v>
      </c>
    </row>
    <row r="19" spans="1:4" x14ac:dyDescent="0.35">
      <c r="A19" t="s">
        <v>2366</v>
      </c>
      <c r="B19" t="s">
        <v>2372</v>
      </c>
      <c r="C19" t="s">
        <v>69</v>
      </c>
      <c r="D19">
        <v>0</v>
      </c>
    </row>
    <row r="20" spans="1:4" x14ac:dyDescent="0.35">
      <c r="A20" t="s">
        <v>2367</v>
      </c>
      <c r="B20" t="s">
        <v>2373</v>
      </c>
      <c r="C20" t="s">
        <v>69</v>
      </c>
      <c r="D20">
        <v>0</v>
      </c>
    </row>
    <row r="21" spans="1:4" x14ac:dyDescent="0.35">
      <c r="A21" t="s">
        <v>2383</v>
      </c>
      <c r="B21" t="s">
        <v>2385</v>
      </c>
      <c r="C21" t="s">
        <v>273</v>
      </c>
      <c r="D21">
        <v>0</v>
      </c>
    </row>
    <row r="22" spans="1:4" x14ac:dyDescent="0.35">
      <c r="A22" t="s">
        <v>2384</v>
      </c>
      <c r="B22" t="s">
        <v>2386</v>
      </c>
      <c r="C22" t="s">
        <v>273</v>
      </c>
      <c r="D2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85"/>
  <sheetViews>
    <sheetView zoomScale="70" zoomScaleNormal="70" workbookViewId="0">
      <pane ySplit="1" topLeftCell="A159" activePane="bottomLeft" state="frozen"/>
      <selection activeCell="O195" sqref="O195"/>
      <selection pane="bottomLeft" activeCell="F181" sqref="F181"/>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25" t="s">
        <v>2787</v>
      </c>
      <c r="B1" s="325" t="s">
        <v>2788</v>
      </c>
      <c r="C1" s="325" t="s">
        <v>1017</v>
      </c>
      <c r="D1" s="325" t="s">
        <v>2789</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2180</v>
      </c>
      <c r="D4" s="353">
        <v>3</v>
      </c>
      <c r="E4" s="64" t="s">
        <v>2185</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5" t="s">
        <v>2169</v>
      </c>
      <c r="B5" s="355" t="s">
        <v>2170</v>
      </c>
      <c r="C5" s="356" t="s">
        <v>2180</v>
      </c>
      <c r="D5" s="353">
        <v>4</v>
      </c>
      <c r="E5" s="64" t="s">
        <v>2186</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5" t="s">
        <v>2169</v>
      </c>
      <c r="B6" s="355" t="s">
        <v>2170</v>
      </c>
      <c r="C6" s="356" t="s">
        <v>2180</v>
      </c>
      <c r="D6" s="353">
        <v>5</v>
      </c>
      <c r="E6" s="64" t="s">
        <v>2187</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National</v>
      </c>
      <c r="L6" s="195">
        <f>IF(VLOOKUP($E6,TaskValues_ref!$E:$Z,11,FALSE)=0,"",VLOOKUP($E6,TaskValues_ref!$E:$Z,11,FALSE))</f>
        <v>0.15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5" t="s">
        <v>2169</v>
      </c>
      <c r="B7" s="355" t="s">
        <v>2170</v>
      </c>
      <c r="C7" s="356" t="s">
        <v>2180</v>
      </c>
      <c r="D7" s="353">
        <v>6</v>
      </c>
      <c r="E7" s="64" t="s">
        <v>2188</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National</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2191</v>
      </c>
      <c r="D8" s="353">
        <v>7</v>
      </c>
      <c r="E8" s="64" t="s">
        <v>2197</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5" t="s">
        <v>2169</v>
      </c>
      <c r="B9" s="355" t="s">
        <v>2170</v>
      </c>
      <c r="C9" s="356" t="s">
        <v>2191</v>
      </c>
      <c r="D9" s="353">
        <v>8</v>
      </c>
      <c r="E9" s="64" t="s">
        <v>2198</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National</v>
      </c>
      <c r="L9" s="195">
        <f>IF(VLOOKUP($E9,TaskValues_ref!$E:$Z,11,FALSE)=0,"",VLOOKUP($E9,TaskValues_ref!$E:$Z,11,FALSE))</f>
        <v>0.14810999999999999</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5" t="s">
        <v>2169</v>
      </c>
      <c r="B10" s="355" t="s">
        <v>2170</v>
      </c>
      <c r="C10" s="356" t="s">
        <v>2191</v>
      </c>
      <c r="D10" s="353">
        <v>9</v>
      </c>
      <c r="E10" s="64" t="s">
        <v>2199</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5" t="s">
        <v>2169</v>
      </c>
      <c r="B11" s="355" t="s">
        <v>2170</v>
      </c>
      <c r="C11" s="356" t="s">
        <v>2191</v>
      </c>
      <c r="D11" s="353">
        <v>10</v>
      </c>
      <c r="E11" s="64" t="s">
        <v>2200</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0.16600000000000001</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5" t="s">
        <v>2169</v>
      </c>
      <c r="B12" s="355" t="s">
        <v>2170</v>
      </c>
      <c r="C12" s="356" t="s">
        <v>2191</v>
      </c>
      <c r="D12" s="353">
        <v>11</v>
      </c>
      <c r="E12" s="64" t="s">
        <v>2208</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0.16600000000000001</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5" t="s">
        <v>2169</v>
      </c>
      <c r="B13" s="355" t="s">
        <v>2170</v>
      </c>
      <c r="C13" s="356" t="s">
        <v>2212</v>
      </c>
      <c r="D13" s="353">
        <v>12</v>
      </c>
      <c r="E13" s="64" t="s">
        <v>2213</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National</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5" t="s">
        <v>2170</v>
      </c>
      <c r="C14" s="356" t="s">
        <v>2212</v>
      </c>
      <c r="D14" s="353">
        <v>13</v>
      </c>
      <c r="E14" s="64" t="s">
        <v>2779</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National</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5" t="s">
        <v>2169</v>
      </c>
      <c r="B15" s="355" t="s">
        <v>2170</v>
      </c>
      <c r="C15" s="356" t="s">
        <v>2212</v>
      </c>
      <c r="D15" s="353">
        <v>14</v>
      </c>
      <c r="E15" s="64" t="s">
        <v>2780</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National</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5" t="s">
        <v>2169</v>
      </c>
      <c r="B16" s="356" t="s">
        <v>2219</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National</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5" t="s">
        <v>2169</v>
      </c>
      <c r="B17" s="356" t="s">
        <v>2219</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2169</v>
      </c>
      <c r="B18" s="356" t="s">
        <v>2219</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National</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2169</v>
      </c>
      <c r="B19" s="356" t="s">
        <v>2219</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National</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2169</v>
      </c>
      <c r="B20" s="356" t="s">
        <v>2219</v>
      </c>
      <c r="C20" s="356"/>
      <c r="D20" s="353">
        <v>19</v>
      </c>
      <c r="E20" s="64" t="s">
        <v>2231</v>
      </c>
      <c r="F20" s="319" t="str">
        <f>VLOOKUP(E20,TaskValues_ref!E:F,2,FALSE)</f>
        <v>Pneumonia/fever</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National</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2219</v>
      </c>
      <c r="C21" s="356"/>
      <c r="D21" s="353">
        <v>19</v>
      </c>
      <c r="E21" s="64" t="s">
        <v>2233</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2169</v>
      </c>
      <c r="B22" s="356" t="s">
        <v>2219</v>
      </c>
      <c r="C22" s="356"/>
      <c r="D22" s="353">
        <v>19</v>
      </c>
      <c r="E22" s="64" t="s">
        <v>2234</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0.46089999999999998</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5" t="s">
        <v>2169</v>
      </c>
      <c r="B23" s="356" t="s">
        <v>2219</v>
      </c>
      <c r="C23" s="356"/>
      <c r="D23" s="353">
        <v>20</v>
      </c>
      <c r="E23" s="64" t="str">
        <f>_xlfn.CONCAT("FH.MN.",D23)</f>
        <v>FH.MN.20</v>
      </c>
      <c r="F23" s="319" t="str">
        <f>VLOOKUP(E23,TaskValues_ref!E:F,2,FALSE)</f>
        <v>IMNCI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National</v>
      </c>
      <c r="L23" s="195" t="str">
        <f>IF(VLOOKUP($E23,TaskValues_ref!$E:$Z,11,FALSE)=0,"",VLOOKUP($E23,TaskValues_ref!$E:$Z,11,FALSE))</f>
        <v/>
      </c>
      <c r="M23" s="321" t="str">
        <f>IF(VLOOKUP($E23,TaskValues_ref!$E:$Z,13,FALSE)=0,"",VLOOKUP($E23,TaskValues_ref!$E:$Z,13,FALSE))</f>
        <v/>
      </c>
      <c r="N23" s="89">
        <f>IF(VLOOKUP($E23,TaskValues_ref!$E:$Z,15,FALSE)=0,"",VLOOKUP($E23,TaskValues_ref!$E:$Z,15,FALSE))</f>
        <v>1</v>
      </c>
      <c r="O23">
        <f>IF(VLOOKUP($E23,TaskValues_ref!$E:$Z,16,FALSE)=0,"",VLOOKUP($E23,TaskValues_ref!$E:$Z,16,FALSE))</f>
        <v>1</v>
      </c>
      <c r="P23" t="str">
        <f>IF(VLOOKUP($E23,TaskValues_ref!$E:$Z,17,FALSE)=0,"",VLOOKUP($E23,TaskValues_ref!$E:$Z,17,FALSE))</f>
        <v/>
      </c>
      <c r="Q23">
        <f>IF(VLOOKUP($E23,TaskValues_ref!$E:$Z,18,FALSE)=0,"",VLOOKUP($E23,TaskValues_ref!$E:$Z,18,FALSE))</f>
        <v>15</v>
      </c>
      <c r="R23" t="str">
        <f>IF(VLOOKUP($E23,TaskValues_ref!$E:$Z,19,FALSE)=0,"",VLOOKUP($E23,TaskValues_ref!$E:$Z,19,FALSE))</f>
        <v/>
      </c>
      <c r="S23" t="str">
        <f>IF(VLOOKUP($E23,TaskValues_ref!$E:$Z,20,FALSE)=0,"",VLOOKUP($E23,TaskValues_ref!$E:$Z,20,FALSE))</f>
        <v/>
      </c>
    </row>
    <row r="24" spans="1:19" x14ac:dyDescent="0.35">
      <c r="A24" s="355" t="s">
        <v>2169</v>
      </c>
      <c r="B24" s="356" t="s">
        <v>2219</v>
      </c>
      <c r="C24" s="356"/>
      <c r="D24" s="353">
        <v>21</v>
      </c>
      <c r="E24" s="64" t="s">
        <v>2232</v>
      </c>
      <c r="F24" s="319" t="str">
        <f>VLOOKUP(E24,TaskValues_ref!E:F,2,FALSE)</f>
        <v>Well child check &amp; growth monitoring</v>
      </c>
      <c r="G24" s="321" t="str">
        <f>VLOOKUP($E24,TaskValues_ref!$E:$Z,3,FALSE)</f>
        <v>Clinical</v>
      </c>
      <c r="H24" s="321" t="str">
        <f>VLOOKUP($E24,TaskValues_ref!$E:$Z,4,FALSE)</f>
        <v>Preventive</v>
      </c>
      <c r="I24" s="321" t="str">
        <f>VLOOKUP($E24,TaskValues_ref!$E:$Z,5,FALSE)</f>
        <v>Nutrition</v>
      </c>
      <c r="J24" s="320" t="str">
        <f>VLOOKUP($E24,TaskValues_ref!$E:$Z,6,FALSE)</f>
        <v>1-4</v>
      </c>
      <c r="K24" s="321" t="str">
        <f>VLOOKUP($E24,TaskValues_ref!$E:$Z,10,FALSE)</f>
        <v>National</v>
      </c>
      <c r="L24" s="195">
        <f>IF(VLOOKUP($E24,TaskValues_ref!$E:$Z,11,FALSE)=0,"",VLOOKUP($E24,TaskValues_ref!$E:$Z,11,FALSE))</f>
        <v>1</v>
      </c>
      <c r="M24" s="321" t="str">
        <f>IF(VLOOKUP($E24,TaskValues_ref!$E:$Z,13,FALSE)=0,"",VLOOKUP($E24,TaskValues_ref!$E:$Z,13,FALSE))</f>
        <v/>
      </c>
      <c r="N24" s="89">
        <f>IF(VLOOKUP($E24,TaskValues_ref!$E:$Z,15,FALSE)=0,"",VLOOKUP($E24,TaskValues_ref!$E:$Z,15,FALSE))</f>
        <v>1</v>
      </c>
      <c r="O24">
        <f>IF(VLOOKUP($E24,TaskValues_ref!$E:$Z,16,FALSE)=0,"",VLOOKUP($E24,TaskValues_ref!$E:$Z,16,FALSE))</f>
        <v>3</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2169</v>
      </c>
      <c r="B25" s="356" t="s">
        <v>2219</v>
      </c>
      <c r="C25" s="356"/>
      <c r="D25" s="353">
        <v>21</v>
      </c>
      <c r="E25" s="64" t="str">
        <f t="shared" ref="E25:E32" si="0">_xlfn.CONCAT("FH.MN.",D25)</f>
        <v>FH.MN.21</v>
      </c>
      <c r="F25" s="319" t="str">
        <f>VLOOKUP(E25,TaskValues_ref!E:F,2,FALSE)</f>
        <v>Treat severe malnutrition</v>
      </c>
      <c r="G25" s="321" t="str">
        <f>VLOOKUP($E25,TaskValues_ref!$E:$Z,3,FALSE)</f>
        <v>Clinical</v>
      </c>
      <c r="H25" s="321" t="str">
        <f>VLOOKUP($E25,TaskValues_ref!$E:$Z,4,FALSE)</f>
        <v>Acute</v>
      </c>
      <c r="I25" s="321" t="str">
        <f>VLOOKUP($E25,TaskValues_ref!$E:$Z,5,FALSE)</f>
        <v>Nutrition</v>
      </c>
      <c r="J25" s="320" t="str">
        <f>VLOOKUP($E25,TaskValues_ref!$E:$Z,6,FALSE)</f>
        <v>1-4</v>
      </c>
      <c r="K25" s="321" t="str">
        <f>VLOOKUP($E25,TaskValues_ref!$E:$Z,10,FALSE)</f>
        <v>National</v>
      </c>
      <c r="L25" s="195">
        <f>IF(VLOOKUP($E25,TaskValues_ref!$E:$Z,11,FALSE)=0,"",VLOOKUP($E25,TaskValues_ref!$E:$Z,11,FALSE))</f>
        <v>4.8500000000000001E-2</v>
      </c>
      <c r="M25" s="321" t="str">
        <f>IF(VLOOKUP($E25,TaskValues_ref!$E:$Z,13,FALSE)=0,"",VLOOKUP($E25,TaskValues_ref!$E:$Z,13,FALSE))</f>
        <v/>
      </c>
      <c r="N25" s="89">
        <f>IF(VLOOKUP($E25,TaskValues_ref!$E:$Z,15,FALSE)=0,"",VLOOKUP($E25,TaskValues_ref!$E:$Z,15,FALSE))</f>
        <v>0.98</v>
      </c>
      <c r="O25">
        <f>IF(VLOOKUP($E25,TaskValues_ref!$E:$Z,16,FALSE)=0,"",VLOOKUP($E25,TaskValues_ref!$E:$Z,16,FALSE))</f>
        <v>4</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5" t="s">
        <v>2169</v>
      </c>
      <c r="B26" s="356" t="s">
        <v>2219</v>
      </c>
      <c r="C26" s="356"/>
      <c r="D26" s="353">
        <v>22</v>
      </c>
      <c r="E26" s="64" t="str">
        <f t="shared" si="0"/>
        <v>FH.MN.22</v>
      </c>
      <c r="F26" s="319" t="str">
        <f>VLOOKUP(E26,TaskValues_ref!E:F,2,FALSE)</f>
        <v>Treat moderate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National</v>
      </c>
      <c r="L26" s="195">
        <f>IF(VLOOKUP($E26,TaskValues_ref!$E:$Z,11,FALSE)=0,"",VLOOKUP($E26,TaskValues_ref!$E:$Z,11,FALSE))</f>
        <v>0.48499999999999999</v>
      </c>
      <c r="M26" s="321" t="str">
        <f>IF(VLOOKUP($E26,TaskValues_ref!$E:$Z,13,FALSE)=0,"",VLOOKUP($E26,TaskValues_ref!$E:$Z,13,FALSE))</f>
        <v/>
      </c>
      <c r="N26" s="89">
        <f>IF(VLOOKUP($E26,TaskValues_ref!$E:$Z,15,FALSE)=0,"",VLOOKUP($E26,TaskValues_ref!$E:$Z,15,FALSE))</f>
        <v>0.98</v>
      </c>
      <c r="O26">
        <f>IF(VLOOKUP($E26,TaskValues_ref!$E:$Z,16,FALSE)=0,"",VLOOKUP($E26,TaskValues_ref!$E:$Z,16,FALSE))</f>
        <v>2</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5" t="s">
        <v>2169</v>
      </c>
      <c r="B27" s="356" t="s">
        <v>2219</v>
      </c>
      <c r="C27" s="356"/>
      <c r="D27" s="353">
        <v>23</v>
      </c>
      <c r="E27" s="64" t="str">
        <f t="shared" si="0"/>
        <v>FH.MN.23</v>
      </c>
      <c r="F27" s="319" t="str">
        <f>VLOOKUP(E27,TaskValues_ref!E:F,2,FALSE)</f>
        <v>Deworming &amp; VitA</v>
      </c>
      <c r="G27" s="321" t="str">
        <f>VLOOKUP($E27,TaskValues_ref!$E:$Z,3,FALSE)</f>
        <v>Clinical</v>
      </c>
      <c r="H27" s="321" t="str">
        <f>VLOOKUP($E27,TaskValues_ref!$E:$Z,4,FALSE)</f>
        <v>Preventive</v>
      </c>
      <c r="I27" s="321" t="str">
        <f>VLOOKUP($E27,TaskValues_ref!$E:$Z,5,FALSE)</f>
        <v>Nutrition</v>
      </c>
      <c r="J27" s="320" t="str">
        <f>VLOOKUP($E27,TaskValues_ref!$E:$Z,6,FALSE)</f>
        <v>1-4</v>
      </c>
      <c r="K27" s="321" t="str">
        <f>VLOOKUP($E27,TaskValues_ref!$E:$Z,10,FALSE)</f>
        <v>National</v>
      </c>
      <c r="L27" s="195">
        <f>IF(VLOOKUP($E27,TaskValues_ref!$E:$Z,11,FALSE)=0,"",VLOOKUP($E27,TaskValues_ref!$E:$Z,11,FALSE))</f>
        <v>1</v>
      </c>
      <c r="M27" s="321" t="str">
        <f>IF(VLOOKUP($E27,TaskValues_ref!$E:$Z,13,FALSE)=0,"",VLOOKUP($E27,TaskValues_ref!$E:$Z,13,FALSE))</f>
        <v/>
      </c>
      <c r="N27" s="89">
        <f>IF(VLOOKUP($E27,TaskValues_ref!$E:$Z,15,FALSE)=0,"",VLOOKUP($E27,TaskValues_ref!$E:$Z,15,FALSE))</f>
        <v>1</v>
      </c>
      <c r="O27" t="str">
        <f>IF(VLOOKUP($E27,TaskValues_ref!$E:$Z,16,FALSE)=0,"",VLOOKUP($E27,TaskValues_ref!$E:$Z,16,FALSE))</f>
        <v/>
      </c>
      <c r="P27">
        <f>IF(VLOOKUP($E27,TaskValues_ref!$E:$Z,17,FALSE)=0,"",VLOOKUP($E27,TaskValues_ref!$E:$Z,17,FALSE))</f>
        <v>2</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5" t="s">
        <v>2169</v>
      </c>
      <c r="B28" s="356" t="s">
        <v>2219</v>
      </c>
      <c r="C28" s="356"/>
      <c r="D28" s="353">
        <v>24</v>
      </c>
      <c r="E28" s="64" t="str">
        <f t="shared" si="0"/>
        <v>FH.MN.24</v>
      </c>
      <c r="F28" s="319" t="str">
        <f>VLOOKUP(E28,TaskValues_ref!E:F,2,FALSE)</f>
        <v>Paediatric palliative</v>
      </c>
      <c r="G28" s="321" t="str">
        <f>VLOOKUP($E28,TaskValues_ref!$E:$Z,3,FALSE)</f>
        <v>Clinical</v>
      </c>
      <c r="H28" s="321" t="str">
        <f>VLOOKUP($E28,TaskValues_ref!$E:$Z,4,FALSE)</f>
        <v>Acute</v>
      </c>
      <c r="I28" s="321" t="str">
        <f>VLOOKUP($E28,TaskValues_ref!$E:$Z,5,FALSE)</f>
        <v>Sick child</v>
      </c>
      <c r="J28" s="320" t="str">
        <f>VLOOKUP($E28,TaskValues_ref!$E:$Z,6,FALSE)</f>
        <v>1-4</v>
      </c>
      <c r="K28" s="321" t="str">
        <f>VLOOKUP($E28,TaskValues_ref!$E:$Z,10,FALSE)</f>
        <v>National</v>
      </c>
      <c r="L28" s="195">
        <f>IF(VLOOKUP($E28,TaskValues_ref!$E:$Z,11,FALSE)=0,"",VLOOKUP($E28,TaskValues_ref!$E:$Z,11,FALSE))</f>
        <v>3.5500000000000006E-3</v>
      </c>
      <c r="M28" s="321" t="str">
        <f>IF(VLOOKUP($E28,TaskValues_ref!$E:$Z,13,FALSE)=0,"",VLOOKUP($E28,TaskValues_ref!$E:$Z,13,FALSE))</f>
        <v/>
      </c>
      <c r="N28" s="89">
        <f>IF(VLOOKUP($E28,TaskValues_ref!$E:$Z,15,FALSE)=0,"",VLOOKUP($E28,TaskValues_ref!$E:$Z,15,FALSE))</f>
        <v>0.95480225988700573</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2169</v>
      </c>
      <c r="B29" s="356" t="s">
        <v>2219</v>
      </c>
      <c r="C29" s="356"/>
      <c r="D29" s="353">
        <v>25</v>
      </c>
      <c r="E29" s="64" t="str">
        <f t="shared" si="0"/>
        <v>FH.MN.25</v>
      </c>
      <c r="F29" s="319" t="str">
        <f>VLOOKUP(E29,TaskValues_ref!E:F,2,FALSE)</f>
        <v>Pharyngitis, tonsillitis, sinusitis</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National</v>
      </c>
      <c r="L29" s="195" t="str">
        <f>IF(VLOOKUP($E29,TaskValues_ref!$E:$Z,11,FALSE)=0,"",VLOOKUP($E29,TaskValues_ref!$E:$Z,11,FALSE))</f>
        <v/>
      </c>
      <c r="M29" s="321" t="str">
        <f>IF(VLOOKUP($E29,TaskValues_ref!$E:$Z,13,FALSE)=0,"",VLOOKUP($E29,TaskValues_ref!$E:$Z,13,FALSE))</f>
        <v/>
      </c>
      <c r="N29" s="89">
        <f>IF(VLOOKUP($E29,TaskValues_ref!$E:$Z,15,FALSE)=0,"",VLOOKUP($E29,TaskValues_ref!$E:$Z,15,FALSE))</f>
        <v>0.98</v>
      </c>
      <c r="O29">
        <f>IF(VLOOKUP($E29,TaskValues_ref!$E:$Z,16,FALSE)=0,"",VLOOKUP($E29,TaskValues_ref!$E:$Z,16,FALSE))</f>
        <v>1</v>
      </c>
      <c r="P29" t="str">
        <f>IF(VLOOKUP($E29,TaskValues_ref!$E:$Z,17,FALSE)=0,"",VLOOKUP($E29,TaskValues_ref!$E:$Z,17,FALSE))</f>
        <v/>
      </c>
      <c r="Q29">
        <f>IF(VLOOKUP($E29,TaskValues_ref!$E:$Z,18,FALSE)=0,"",VLOOKUP($E29,TaskValues_ref!$E:$Z,18,FALSE))</f>
        <v>10</v>
      </c>
      <c r="R29" t="str">
        <f>IF(VLOOKUP($E29,TaskValues_ref!$E:$Z,19,FALSE)=0,"",VLOOKUP($E29,TaskValues_ref!$E:$Z,19,FALSE))</f>
        <v/>
      </c>
      <c r="S29" t="str">
        <f>IF(VLOOKUP($E29,TaskValues_ref!$E:$Z,20,FALSE)=0,"",VLOOKUP($E29,TaskValues_ref!$E:$Z,20,FALSE))</f>
        <v/>
      </c>
    </row>
    <row r="30" spans="1:19" x14ac:dyDescent="0.35">
      <c r="A30" s="355" t="s">
        <v>2169</v>
      </c>
      <c r="B30" s="356" t="s">
        <v>2219</v>
      </c>
      <c r="C30" s="356"/>
      <c r="D30" s="353">
        <v>28</v>
      </c>
      <c r="E30" s="64" t="str">
        <f t="shared" si="0"/>
        <v>FH.MN.28</v>
      </c>
      <c r="F30" s="319" t="str">
        <f>VLOOKUP(E30,TaskValues_ref!E:F,2,FALSE)</f>
        <v>Scabies</v>
      </c>
      <c r="G30" s="321" t="str">
        <f>VLOOKUP($E30,TaskValues_ref!$E:$Z,3,FALSE)</f>
        <v>Clinical</v>
      </c>
      <c r="H30" s="321" t="str">
        <f>VLOOKUP($E30,TaskValues_ref!$E:$Z,4,FALSE)</f>
        <v>Acute</v>
      </c>
      <c r="I30" s="321" t="str">
        <f>VLOOKUP($E30,TaskValues_ref!$E:$Z,5,FALSE)</f>
        <v>Sick child</v>
      </c>
      <c r="J30" s="320" t="str">
        <f>VLOOKUP($E30,TaskValues_ref!$E:$Z,6,FALSE)</f>
        <v>15 yo</v>
      </c>
      <c r="K30" s="321" t="str">
        <f>VLOOKUP($E30,TaskValues_ref!$E:$Z,10,FALSE)</f>
        <v>National</v>
      </c>
      <c r="L30" s="195">
        <f>IF(VLOOKUP($E30,TaskValues_ref!$E:$Z,11,FALSE)=0,"",VLOOKUP($E30,TaskValues_ref!$E:$Z,11,FALSE))</f>
        <v>0.14499999999999999</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5" t="s">
        <v>2169</v>
      </c>
      <c r="B31" s="356" t="s">
        <v>2219</v>
      </c>
      <c r="C31" s="356"/>
      <c r="D31" s="353">
        <v>29</v>
      </c>
      <c r="E31" s="64" t="str">
        <f t="shared" si="0"/>
        <v>FH.MN.29</v>
      </c>
      <c r="F31" s="319" t="str">
        <f>VLOOKUP(E31,TaskValues_ref!E:F,2,FALSE)</f>
        <v>Child abuse</v>
      </c>
      <c r="G31" s="321" t="str">
        <f>VLOOKUP($E31,TaskValues_ref!$E:$Z,3,FALSE)</f>
        <v>Non-clinical</v>
      </c>
      <c r="H31" s="321" t="str">
        <f>VLOOKUP($E31,TaskValues_ref!$E:$Z,4,FALSE)</f>
        <v>Public Health</v>
      </c>
      <c r="I31" s="321" t="str">
        <f>VLOOKUP($E31,TaskValues_ref!$E:$Z,5,FALSE)</f>
        <v>-</v>
      </c>
      <c r="J31" s="320" t="str">
        <f>VLOOKUP($E31,TaskValues_ref!$E:$Z,6,FALSE)</f>
        <v>18 yo adults</v>
      </c>
      <c r="K31" s="321" t="str">
        <f>VLOOKUP($E31,TaskValues_ref!$E:$Z,10,FALSE)</f>
        <v>National</v>
      </c>
      <c r="L31" s="195">
        <f>IF(VLOOKUP($E31,TaskValues_ref!$E:$Z,11,FALSE)=0,"",VLOOKUP($E31,TaskValues_ref!$E:$Z,11,FALSE))</f>
        <v>0.1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f>IF(VLOOKUP($E31,TaskValues_ref!$E:$Z,18,FALSE)=0,"",VLOOKUP($E31,TaskValues_ref!$E:$Z,18,FALSE))</f>
        <v>15</v>
      </c>
      <c r="R31" t="str">
        <f>IF(VLOOKUP($E31,TaskValues_ref!$E:$Z,19,FALSE)=0,"",VLOOKUP($E31,TaskValues_ref!$E:$Z,19,FALSE))</f>
        <v/>
      </c>
      <c r="S31" t="str">
        <f>IF(VLOOKUP($E31,TaskValues_ref!$E:$Z,20,FALSE)=0,"",VLOOKUP($E31,TaskValues_ref!$E:$Z,20,FALSE))</f>
        <v/>
      </c>
    </row>
    <row r="32" spans="1:19" x14ac:dyDescent="0.35">
      <c r="A32" s="355" t="s">
        <v>2169</v>
      </c>
      <c r="B32" s="356" t="s">
        <v>2219</v>
      </c>
      <c r="C32" s="356"/>
      <c r="D32" s="353">
        <v>30</v>
      </c>
      <c r="E32" s="64" t="str">
        <f t="shared" si="0"/>
        <v>FH.MN.30</v>
      </c>
      <c r="F32" s="319" t="str">
        <f>VLOOKUP(E32,TaskValues_ref!E:F,2,FALSE)</f>
        <v>Social services</v>
      </c>
      <c r="G32" s="321" t="str">
        <f>VLOOKUP($E32,TaskValues_ref!$E:$Z,3,FALSE)</f>
        <v>Non-clinical</v>
      </c>
      <c r="H32" s="321" t="str">
        <f>VLOOKUP($E32,TaskValues_ref!$E:$Z,4,FALSE)</f>
        <v>Public Health</v>
      </c>
      <c r="I32" s="321" t="str">
        <f>VLOOKUP($E32,TaskValues_ref!$E:$Z,5,FALSE)</f>
        <v>-</v>
      </c>
      <c r="J32" s="320" t="str">
        <f>VLOOKUP($E32,TaskValues_ref!$E:$Z,6,FALSE)</f>
        <v>1-18</v>
      </c>
      <c r="K32" s="321" t="str">
        <f>VLOOKUP($E32,TaskValues_ref!$E:$Z,10,FALSE)</f>
        <v>National</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2169</v>
      </c>
      <c r="B33" s="356" t="s">
        <v>2243</v>
      </c>
      <c r="C33" s="356"/>
      <c r="D33" s="353">
        <v>31</v>
      </c>
      <c r="E33" s="64" t="s">
        <v>2261</v>
      </c>
      <c r="F33" s="319" t="str">
        <f>VLOOKUP(E33,TaskValues_ref!E:F,2,FALSE)</f>
        <v>Promotion of immunization</v>
      </c>
      <c r="G33" s="321" t="str">
        <f>VLOOKUP($E33,TaskValues_ref!$E:$Z,3,FALSE)</f>
        <v>Non-clinical</v>
      </c>
      <c r="H33" s="321" t="str">
        <f>VLOOKUP($E33,TaskValues_ref!$E:$Z,4,FALSE)</f>
        <v>Public Health</v>
      </c>
      <c r="I33" s="321" t="str">
        <f>VLOOKUP($E33,TaskValues_ref!$E:$Z,5,FALSE)</f>
        <v>Immunization</v>
      </c>
      <c r="J33" s="320" t="str">
        <f>VLOOKUP($E33,TaskValues_ref!$E:$Z,6,FALSE)</f>
        <v>-</v>
      </c>
      <c r="K33" s="321" t="str">
        <f>VLOOKUP($E33,TaskValues_ref!$E:$Z,10,FALSE)</f>
        <v>National</v>
      </c>
      <c r="L33" s="195" t="str">
        <f>IF(VLOOKUP($E33,TaskValues_ref!$E:$Z,11,FALSE)=0,"",VLOOKUP($E33,TaskValues_ref!$E:$Z,11,FALSE))</f>
        <v/>
      </c>
      <c r="M33" s="321"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35">
      <c r="A34" s="355" t="s">
        <v>2169</v>
      </c>
      <c r="B34" s="356" t="s">
        <v>2243</v>
      </c>
      <c r="C34" s="356"/>
      <c r="D34" s="353">
        <v>32</v>
      </c>
      <c r="E34" s="64" t="s">
        <v>2267</v>
      </c>
      <c r="F34" s="319" t="str">
        <f>VLOOKUP(E34,TaskValues_ref!E:F,2,FALSE)</f>
        <v>RI birth</v>
      </c>
      <c r="G34" s="321" t="str">
        <f>VLOOKUP($E34,TaskValues_ref!$E:$Z,3,FALSE)</f>
        <v>Clinical</v>
      </c>
      <c r="H34" s="321" t="str">
        <f>VLOOKUP($E34,TaskValues_ref!$E:$Z,4,FALSE)</f>
        <v>Preventive</v>
      </c>
      <c r="I34" s="321" t="str">
        <f>VLOOKUP($E34,TaskValues_ref!$E:$Z,5,FALSE)</f>
        <v>Immunization</v>
      </c>
      <c r="J34" s="320" t="str">
        <f>VLOOKUP($E34,TaskValues_ref!$E:$Z,6,FALSE)</f>
        <v>births</v>
      </c>
      <c r="K34" s="321" t="str">
        <f>VLOOKUP($E34,TaskValues_ref!$E:$Z,10,FALSE)</f>
        <v>National</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2243</v>
      </c>
      <c r="C35" s="356"/>
      <c r="D35" s="353">
        <v>32</v>
      </c>
      <c r="E35" s="64" t="s">
        <v>2268</v>
      </c>
      <c r="F35" s="319" t="str">
        <f>VLOOKUP(E35,TaskValues_ref!E:F,2,FALSE)</f>
        <v>RI 1st year</v>
      </c>
      <c r="G35" s="321" t="str">
        <f>VLOOKUP($E35,TaskValues_ref!$E:$Z,3,FALSE)</f>
        <v>Clinical</v>
      </c>
      <c r="H35" s="321" t="str">
        <f>VLOOKUP($E35,TaskValues_ref!$E:$Z,4,FALSE)</f>
        <v>Preventive</v>
      </c>
      <c r="I35" s="321" t="str">
        <f>VLOOKUP($E35,TaskValues_ref!$E:$Z,5,FALSE)</f>
        <v>Immunization</v>
      </c>
      <c r="J35" s="320" t="str">
        <f>VLOOKUP($E35,TaskValues_ref!$E:$Z,6,FALSE)</f>
        <v>1 yo</v>
      </c>
      <c r="K35" s="321" t="str">
        <f>VLOOKUP($E35,TaskValues_ref!$E:$Z,10,FALSE)</f>
        <v>National</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f>IF(VLOOKUP($E35,TaskValues_ref!$E:$Z,16,FALSE)=0,"",VLOOKUP($E35,TaskValues_ref!$E:$Z,16,FALSE))</f>
        <v>4</v>
      </c>
      <c r="P35" t="str">
        <f>IF(VLOOKUP($E35,TaskValues_ref!$E:$Z,17,FALSE)=0,"",VLOOKUP($E35,TaskValues_ref!$E:$Z,17,FALSE))</f>
        <v/>
      </c>
      <c r="Q35">
        <f>IF(VLOOKUP($E35,TaskValues_ref!$E:$Z,18,FALSE)=0,"",VLOOKUP($E35,TaskValues_ref!$E:$Z,18,FALSE))</f>
        <v>5</v>
      </c>
      <c r="R35" t="str">
        <f>IF(VLOOKUP($E35,TaskValues_ref!$E:$Z,19,FALSE)=0,"",VLOOKUP($E35,TaskValues_ref!$E:$Z,19,FALSE))</f>
        <v/>
      </c>
      <c r="S35" t="str">
        <f>IF(VLOOKUP($E35,TaskValues_ref!$E:$Z,20,FALSE)=0,"",VLOOKUP($E35,TaskValues_ref!$E:$Z,20,FALSE))</f>
        <v/>
      </c>
    </row>
    <row r="36" spans="1:19" x14ac:dyDescent="0.35">
      <c r="A36" s="355" t="s">
        <v>2169</v>
      </c>
      <c r="B36" s="356" t="s">
        <v>2243</v>
      </c>
      <c r="C36" s="356"/>
      <c r="D36" s="353">
        <v>32</v>
      </c>
      <c r="E36" s="64" t="s">
        <v>2269</v>
      </c>
      <c r="F36" s="319" t="str">
        <f>VLOOKUP(E36,TaskValues_ref!E:F,2,FALSE)</f>
        <v>RI 2nd year</v>
      </c>
      <c r="G36" s="321" t="str">
        <f>VLOOKUP($E36,TaskValues_ref!$E:$Z,3,FALSE)</f>
        <v>Clinical</v>
      </c>
      <c r="H36" s="321" t="str">
        <f>VLOOKUP($E36,TaskValues_ref!$E:$Z,4,FALSE)</f>
        <v>Preventive</v>
      </c>
      <c r="I36" s="321" t="str">
        <f>VLOOKUP($E36,TaskValues_ref!$E:$Z,5,FALSE)</f>
        <v>Immunization</v>
      </c>
      <c r="J36" s="320" t="str">
        <f>VLOOKUP($E36,TaskValues_ref!$E:$Z,6,FALSE)</f>
        <v>2 yo</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1</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5" t="s">
        <v>2169</v>
      </c>
      <c r="B37" s="356" t="s">
        <v>2243</v>
      </c>
      <c r="C37" s="356"/>
      <c r="D37" s="353">
        <v>32</v>
      </c>
      <c r="E37" s="64" t="s">
        <v>2270</v>
      </c>
      <c r="F37" s="319" t="str">
        <f>VLOOKUP(E37,TaskValues_ref!E:F,2,FALSE)</f>
        <v>RI Td CBA</v>
      </c>
      <c r="G37" s="321" t="str">
        <f>VLOOKUP($E37,TaskValues_ref!$E:$Z,3,FALSE)</f>
        <v>Clinical</v>
      </c>
      <c r="H37" s="321" t="str">
        <f>VLOOKUP($E37,TaskValues_ref!$E:$Z,4,FALSE)</f>
        <v>Preventive</v>
      </c>
      <c r="I37" s="321" t="str">
        <f>VLOOKUP($E37,TaskValues_ref!$E:$Z,5,FALSE)</f>
        <v>Immunization</v>
      </c>
      <c r="J37" s="320" t="str">
        <f>VLOOKUP($E37,TaskValues_ref!$E:$Z,6,FALSE)</f>
        <v>births</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2</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2169</v>
      </c>
      <c r="B38" s="356" t="s">
        <v>2243</v>
      </c>
      <c r="C38" s="356"/>
      <c r="D38" s="353">
        <v>33</v>
      </c>
      <c r="E38" s="64" t="s">
        <v>2262</v>
      </c>
      <c r="F38" s="319" t="str">
        <f>VLOOKUP(E38,TaskValues_ref!E:F,2,FALSE)</f>
        <v>SIAs</v>
      </c>
      <c r="G38" s="321" t="str">
        <f>VLOOKUP($E38,TaskValues_ref!$E:$Z,3,FALSE)</f>
        <v>Clinical</v>
      </c>
      <c r="H38" s="321" t="str">
        <f>VLOOKUP($E38,TaskValues_ref!$E:$Z,4,FALSE)</f>
        <v>Preventive</v>
      </c>
      <c r="I38" s="321" t="str">
        <f>VLOOKUP($E38,TaskValues_ref!$E:$Z,5,FALSE)</f>
        <v>Immunization</v>
      </c>
      <c r="J38" s="320" t="str">
        <f>VLOOKUP($E38,TaskValues_ref!$E:$Z,6,FALSE)</f>
        <v>1-4</v>
      </c>
      <c r="K38" s="321" t="str">
        <f>VLOOKUP($E38,TaskValues_ref!$E:$Z,10,FALSE)</f>
        <v>National</v>
      </c>
      <c r="L38" s="195">
        <f>IF(VLOOKUP($E38,TaskValues_ref!$E:$Z,11,FALSE)=0,"",VLOOKUP($E38,TaskValues_ref!$E:$Z,11,FALSE))</f>
        <v>1</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f>IF(VLOOKUP($E38,TaskValues_ref!$E:$Z,17,FALSE)=0,"",VLOOKUP($E38,TaskValues_ref!$E:$Z,17,FALSE))</f>
        <v>1</v>
      </c>
      <c r="Q38">
        <f>IF(VLOOKUP($E38,TaskValues_ref!$E:$Z,18,FALSE)=0,"",VLOOKUP($E38,TaskValues_ref!$E:$Z,18,FALSE))</f>
        <v>2</v>
      </c>
      <c r="R38" t="str">
        <f>IF(VLOOKUP($E38,TaskValues_ref!$E:$Z,19,FALSE)=0,"",VLOOKUP($E38,TaskValues_ref!$E:$Z,19,FALSE))</f>
        <v/>
      </c>
      <c r="S38" t="str">
        <f>IF(VLOOKUP($E38,TaskValues_ref!$E:$Z,20,FALSE)=0,"",VLOOKUP($E38,TaskValues_ref!$E:$Z,20,FALSE))</f>
        <v/>
      </c>
    </row>
    <row r="39" spans="1:19" x14ac:dyDescent="0.35">
      <c r="A39" s="355" t="s">
        <v>2169</v>
      </c>
      <c r="B39" s="356" t="s">
        <v>2243</v>
      </c>
      <c r="C39" s="356"/>
      <c r="D39" s="353">
        <v>34</v>
      </c>
      <c r="E39" s="64" t="s">
        <v>2263</v>
      </c>
      <c r="F39" s="319" t="str">
        <f>VLOOKUP(E39,TaskValues_ref!E:F,2,FALSE)</f>
        <v>RI adverse effects</v>
      </c>
      <c r="G39" s="321" t="str">
        <f>VLOOKUP($E39,TaskValues_ref!$E:$Z,3,FALSE)</f>
        <v>Clinical</v>
      </c>
      <c r="H39" s="321" t="str">
        <f>VLOOKUP($E39,TaskValues_ref!$E:$Z,4,FALSE)</f>
        <v>Acute</v>
      </c>
      <c r="I39" s="321" t="str">
        <f>VLOOKUP($E39,TaskValues_ref!$E:$Z,5,FALSE)</f>
        <v>Immunization</v>
      </c>
      <c r="J39" s="320" t="str">
        <f>VLOOKUP($E39,TaskValues_ref!$E:$Z,6,FALSE)</f>
        <v>-</v>
      </c>
      <c r="K39" s="321" t="str">
        <f>VLOOKUP($E39,TaskValues_ref!$E:$Z,10,FALSE)</f>
        <v>National</v>
      </c>
      <c r="L39" s="195">
        <f>IF(VLOOKUP($E39,TaskValues_ref!$E:$Z,11,FALSE)=0,"",VLOOKUP($E39,TaskValues_ref!$E:$Z,11,FALSE))</f>
        <v>1.4999999999999999E-2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5</v>
      </c>
      <c r="R39" t="str">
        <f>IF(VLOOKUP($E39,TaskValues_ref!$E:$Z,19,FALSE)=0,"",VLOOKUP($E39,TaskValues_ref!$E:$Z,19,FALSE))</f>
        <v/>
      </c>
      <c r="S39" t="str">
        <f>IF(VLOOKUP($E39,TaskValues_ref!$E:$Z,20,FALSE)=0,"",VLOOKUP($E39,TaskValues_ref!$E:$Z,20,FALSE))</f>
        <v/>
      </c>
    </row>
    <row r="40" spans="1:19" x14ac:dyDescent="0.35">
      <c r="A40" s="355" t="s">
        <v>2169</v>
      </c>
      <c r="B40" s="356" t="s">
        <v>2243</v>
      </c>
      <c r="C40" s="356"/>
      <c r="D40" s="353">
        <v>35</v>
      </c>
      <c r="E40" s="64" t="s">
        <v>2264</v>
      </c>
      <c r="F40" s="319" t="str">
        <f>VLOOKUP(E40,TaskValues_ref!E:F,2,FALSE)</f>
        <v>Outbreak detection &amp; response</v>
      </c>
      <c r="G40" s="321" t="str">
        <f>VLOOKUP($E40,TaskValues_ref!$E:$Z,3,FALSE)</f>
        <v>Non-clinical</v>
      </c>
      <c r="H40" s="321" t="str">
        <f>VLOOKUP($E40,TaskValues_ref!$E:$Z,4,FALSE)</f>
        <v>Public Health</v>
      </c>
      <c r="I40" s="321" t="str">
        <f>VLOOKUP($E40,TaskValues_ref!$E:$Z,5,FALSE)</f>
        <v>Immunization</v>
      </c>
      <c r="J40" s="320" t="str">
        <f>VLOOKUP($E40,TaskValues_ref!$E:$Z,6,FALSE)</f>
        <v>-</v>
      </c>
      <c r="K40" s="321" t="str">
        <f>VLOOKUP($E40,TaskValues_ref!$E:$Z,10,FALSE)</f>
        <v>National</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2169</v>
      </c>
      <c r="B41" s="356" t="s">
        <v>2243</v>
      </c>
      <c r="C41" s="356"/>
      <c r="D41" s="353">
        <v>36</v>
      </c>
      <c r="E41" s="64" t="s">
        <v>2265</v>
      </c>
      <c r="F41" s="319" t="str">
        <f>VLOOKUP(E41,TaskValues_ref!E:F,2,FALSE)</f>
        <v>Mobiliation &amp; promotion of EPI</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2169</v>
      </c>
      <c r="B42" s="356" t="s">
        <v>2243</v>
      </c>
      <c r="C42" s="356"/>
      <c r="D42" s="353">
        <v>37</v>
      </c>
      <c r="E42" s="64" t="s">
        <v>2266</v>
      </c>
      <c r="F42" s="319" t="str">
        <f>VLOOKUP(E42,TaskValues_ref!E:F,2,FALSE)</f>
        <v>VPD surveillance</v>
      </c>
      <c r="G42" s="321" t="str">
        <f>VLOOKUP($E42,TaskValues_ref!$E:$Z,3,FALSE)</f>
        <v>Non-productive</v>
      </c>
      <c r="H42" s="321" t="str">
        <f>VLOOKUP($E42,TaskValues_ref!$E:$Z,4,FALSE)</f>
        <v>Public Health</v>
      </c>
      <c r="I42" s="321" t="str">
        <f>VLOOKUP($E42,TaskValues_ref!$E:$Z,5,FALSE)</f>
        <v>Immunization</v>
      </c>
      <c r="J42" s="320" t="str">
        <f>VLOOKUP($E42,TaskValues_ref!$E:$Z,6,FALSE)</f>
        <v>-</v>
      </c>
      <c r="K42" s="321" t="str">
        <f>VLOOKUP($E42,TaskValues_ref!$E:$Z,10,FALSE)</f>
        <v>National</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5" t="s">
        <v>2169</v>
      </c>
      <c r="B43" s="356" t="s">
        <v>2274</v>
      </c>
      <c r="C43" s="356"/>
      <c r="D43" s="353">
        <v>38</v>
      </c>
      <c r="E43" s="64" t="s">
        <v>2302</v>
      </c>
      <c r="F43" s="319" t="str">
        <f>VLOOKUP(E43,TaskValues_ref!E:F,2,FALSE)</f>
        <v>FP consult first time</v>
      </c>
      <c r="G43" s="321" t="str">
        <f>VLOOKUP($E43,TaskValues_ref!$E:$Z,3,FALSE)</f>
        <v>Clinical</v>
      </c>
      <c r="H43" s="321" t="str">
        <f>VLOOKUP($E43,TaskValues_ref!$E:$Z,4,FALSE)</f>
        <v>Preventive</v>
      </c>
      <c r="I43" s="321" t="str">
        <f>VLOOKUP($E43,TaskValues_ref!$E:$Z,5,FALSE)</f>
        <v>Family planning</v>
      </c>
      <c r="J43" s="320" t="str">
        <f>VLOOKUP($E43,TaskValues_ref!$E:$Z,6,FALSE)</f>
        <v>18 yo women</v>
      </c>
      <c r="K43" s="321" t="str">
        <f>VLOOKUP($E43,TaskValues_ref!$E:$Z,10,FALSE)</f>
        <v>National</v>
      </c>
      <c r="L43" s="195">
        <f>IF(VLOOKUP($E43,TaskValues_ref!$E:$Z,11,FALSE)=0,"",VLOOKUP($E43,TaskValues_ref!$E:$Z,11,FALSE))</f>
        <v>0.58399999999999996</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15</v>
      </c>
      <c r="R43" t="str">
        <f>IF(VLOOKUP($E43,TaskValues_ref!$E:$Z,19,FALSE)=0,"",VLOOKUP($E43,TaskValues_ref!$E:$Z,19,FALSE))</f>
        <v/>
      </c>
      <c r="S43" t="str">
        <f>IF(VLOOKUP($E43,TaskValues_ref!$E:$Z,20,FALSE)=0,"",VLOOKUP($E43,TaskValues_ref!$E:$Z,20,FALSE))</f>
        <v/>
      </c>
    </row>
    <row r="44" spans="1:19" x14ac:dyDescent="0.35">
      <c r="A44" s="355" t="s">
        <v>2169</v>
      </c>
      <c r="B44" s="356" t="s">
        <v>2274</v>
      </c>
      <c r="C44" s="356"/>
      <c r="D44" s="353">
        <v>38</v>
      </c>
      <c r="E44" s="64" t="s">
        <v>2303</v>
      </c>
      <c r="F44" s="319" t="str">
        <f>VLOOKUP(E44,TaskValues_ref!E:F,2,FALSE)</f>
        <v>FP consult postpartum</v>
      </c>
      <c r="G44" s="321" t="str">
        <f>VLOOKUP($E44,TaskValues_ref!$E:$Z,3,FALSE)</f>
        <v>Clinical</v>
      </c>
      <c r="H44" s="321" t="str">
        <f>VLOOKUP($E44,TaskValues_ref!$E:$Z,4,FALSE)</f>
        <v>Preventive</v>
      </c>
      <c r="I44" s="321" t="str">
        <f>VLOOKUP($E44,TaskValues_ref!$E:$Z,5,FALSE)</f>
        <v>Family planning</v>
      </c>
      <c r="J44" s="320" t="str">
        <f>VLOOKUP($E44,TaskValues_ref!$E:$Z,6,FALSE)</f>
        <v>births</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5" t="s">
        <v>2169</v>
      </c>
      <c r="B45" s="356" t="s">
        <v>2274</v>
      </c>
      <c r="C45" s="356"/>
      <c r="D45" s="353">
        <v>38</v>
      </c>
      <c r="E45" s="64" t="s">
        <v>2304</v>
      </c>
      <c r="F45" s="319" t="str">
        <f>VLOOKUP(E45,TaskValues_ref!E:F,2,FALSE)</f>
        <v>FP consult switch</v>
      </c>
      <c r="G45" s="321" t="str">
        <f>VLOOKUP($E45,TaskValues_ref!$E:$Z,3,FALSE)</f>
        <v>Clinical</v>
      </c>
      <c r="H45" s="321" t="str">
        <f>VLOOKUP($E45,TaskValues_ref!$E:$Z,4,FALSE)</f>
        <v>Preventive</v>
      </c>
      <c r="I45" s="321" t="str">
        <f>VLOOKUP($E45,TaskValues_ref!$E:$Z,5,FALSE)</f>
        <v>Family planning</v>
      </c>
      <c r="J45" s="320" t="str">
        <f>VLOOKUP($E45,TaskValues_ref!$E:$Z,6,FALSE)</f>
        <v>women 15-49</v>
      </c>
      <c r="K45" s="321" t="str">
        <f>VLOOKUP($E45,TaskValues_ref!$E:$Z,10,FALSE)</f>
        <v>National</v>
      </c>
      <c r="L45" s="195">
        <f>IF(VLOOKUP($E45,TaskValues_ref!$E:$Z,11,FALSE)=0,"",VLOOKUP($E45,TaskValues_ref!$E:$Z,11,FALSE))</f>
        <v>5.0116865018980945E-2</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5" t="s">
        <v>2169</v>
      </c>
      <c r="B46" s="356" t="s">
        <v>2274</v>
      </c>
      <c r="C46" s="356"/>
      <c r="D46" s="353">
        <v>38</v>
      </c>
      <c r="E46" s="64" t="s">
        <v>2305</v>
      </c>
      <c r="F46" s="319" t="str">
        <f>VLOOKUP(E46,TaskValues_ref!E:F,2,FALSE)</f>
        <v>FP consult discontinue</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National</v>
      </c>
      <c r="L46" s="195">
        <f>IF(VLOOKUP($E46,TaskValues_ref!$E:$Z,11,FALSE)=0,"",VLOOKUP($E46,TaskValues_ref!$E:$Z,11,FALSE))</f>
        <v>0.26812151014720248</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5" t="s">
        <v>2169</v>
      </c>
      <c r="B47" s="356" t="s">
        <v>2274</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National</v>
      </c>
      <c r="L47" s="195">
        <f>IF(VLOOKUP($E47,TaskValues_ref!$E:$Z,11,FALSE)=0,"",VLOOKUP($E47,TaskValues_ref!$E:$Z,11,FALSE))</f>
        <v>0.40457124527547378</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5" t="s">
        <v>2169</v>
      </c>
      <c r="B48" s="356" t="s">
        <v>2274</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National</v>
      </c>
      <c r="L48" s="195">
        <f>IF(VLOOKUP($E48,TaskValues_ref!$E:$Z,11,FALSE)=0,"",VLOOKUP($E48,TaskValues_ref!$E:$Z,11,FALSE))</f>
        <v>0.16460099968756312</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5" t="s">
        <v>2169</v>
      </c>
      <c r="B49" s="356" t="s">
        <v>2274</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National</v>
      </c>
      <c r="L49" s="195">
        <f>IF(VLOOKUP($E49,TaskValues_ref!$E:$Z,11,FALSE)=0,"",VLOOKUP($E49,TaskValues_ref!$E:$Z,11,FALSE))</f>
        <v>0.16460099968756312</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5" t="s">
        <v>2169</v>
      </c>
      <c r="B50" s="356" t="s">
        <v>2274</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National</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5" t="s">
        <v>2169</v>
      </c>
      <c r="B51" s="356" t="s">
        <v>2274</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National</v>
      </c>
      <c r="L51" s="195">
        <f>IF(VLOOKUP($E51,TaskValues_ref!$E:$Z,11,FALSE)=0,"",VLOOKUP($E51,TaskValues_ref!$E:$Z,11,FALSE))</f>
        <v>9.6000000000000002E-2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5" t="s">
        <v>2169</v>
      </c>
      <c r="B52" s="356" t="s">
        <v>2274</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National</v>
      </c>
      <c r="L52" s="195">
        <f>IF(VLOOKUP($E52,TaskValues_ref!$E:$Z,11,FALSE)=0,"",VLOOKUP($E52,TaskValues_ref!$E:$Z,11,FALSE))</f>
        <v>9.6000000000000002E-2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5" t="s">
        <v>2169</v>
      </c>
      <c r="B53" s="356" t="s">
        <v>2274</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National</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2169</v>
      </c>
      <c r="B54" s="356" t="s">
        <v>2274</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5" t="s">
        <v>2169</v>
      </c>
      <c r="B55" s="356" t="s">
        <v>2274</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National</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2169</v>
      </c>
      <c r="B56" s="356" t="s">
        <v>2274</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National</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2169</v>
      </c>
      <c r="B57" s="356" t="s">
        <v>2274</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2169</v>
      </c>
      <c r="B58" s="356" t="s">
        <v>2274</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2274</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2274</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2274</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2169</v>
      </c>
      <c r="B62" s="356" t="s">
        <v>2274</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National</v>
      </c>
      <c r="L62" s="195">
        <f>IF(VLOOKUP($E62,TaskValues_ref!$E:$Z,11,FALSE)=0,"",VLOOKUP($E62,TaskValues_ref!$E:$Z,11,FALSE))</f>
        <v>3.8294117647058828E-3</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5" t="s">
        <v>2169</v>
      </c>
      <c r="B63" s="356" t="s">
        <v>2274</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National</v>
      </c>
      <c r="L63" s="195">
        <f>IF(VLOOKUP($E63,TaskValues_ref!$E:$Z,11,FALSE)=0,"",VLOOKUP($E63,TaskValues_ref!$E:$Z,11,FALSE))</f>
        <v>3.8294117647058828E-3</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5" t="s">
        <v>2169</v>
      </c>
      <c r="B64" s="356" t="s">
        <v>2274</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National</v>
      </c>
      <c r="L64" s="195">
        <f>IF(VLOOKUP($E64,TaskValues_ref!$E:$Z,11,FALSE)=0,"",VLOOKUP($E64,TaskValues_ref!$E:$Z,11,FALSE))</f>
        <v>3.8294117647058828E-3</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5" t="s">
        <v>2169</v>
      </c>
      <c r="B65" s="356" t="s">
        <v>2274</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National</v>
      </c>
      <c r="L65" s="195">
        <f>IF(VLOOKUP($E65,TaskValues_ref!$E:$Z,11,FALSE)=0,"",VLOOKUP($E65,TaskValues_ref!$E:$Z,11,FALSE))</f>
        <v>3.8294117647058828E-3</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5" t="s">
        <v>2169</v>
      </c>
      <c r="B66" s="356" t="s">
        <v>2274</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National</v>
      </c>
      <c r="L66" s="195">
        <f>IF(VLOOKUP($E66,TaskValues_ref!$E:$Z,11,FALSE)=0,"",VLOOKUP($E66,TaskValues_ref!$E:$Z,11,FALSE))</f>
        <v>0.37019999999999997</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5" t="s">
        <v>2169</v>
      </c>
      <c r="B67" s="356" t="s">
        <v>2274</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5" t="s">
        <v>2169</v>
      </c>
      <c r="B68" s="356" t="s">
        <v>2274</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5" t="s">
        <v>2169</v>
      </c>
      <c r="B69" s="356" t="s">
        <v>2274</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National</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5" t="s">
        <v>2169</v>
      </c>
      <c r="B70" s="356" t="s">
        <v>2274</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National</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National</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53"/>
      <c r="E76" s="265" t="s">
        <v>2632</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National</v>
      </c>
      <c r="L76" s="195">
        <f>IF(VLOOKUP($E76,TaskValues_ref!$E:$Z,11,FALSE)=0,"",VLOOKUP($E76,TaskValues_ref!$E:$Z,11,FALSE))</f>
        <v>0.03</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53"/>
      <c r="E77" s="265" t="s">
        <v>2545</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National</v>
      </c>
      <c r="L77" s="195">
        <f>IF(VLOOKUP($E77,TaskValues_ref!$E:$Z,11,FALSE)=0,"",VLOOKUP($E77,TaskValues_ref!$E:$Z,11,FALSE))</f>
        <v>0.02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53"/>
      <c r="E78" s="265" t="s">
        <v>2546</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National</v>
      </c>
      <c r="L78" s="195">
        <f>IF(VLOOKUP($E78,TaskValues_ref!$E:$Z,11,FALSE)=0,"",VLOOKUP($E78,TaskValues_ref!$E:$Z,11,FALSE))</f>
        <v>0.01</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5" t="s">
        <v>2169</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National</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5" t="s">
        <v>2169</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5" t="s">
        <v>2169</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National</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5" t="s">
        <v>2169</v>
      </c>
      <c r="B90" s="356" t="s">
        <v>70</v>
      </c>
      <c r="C90" s="356"/>
      <c r="D90" s="372">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National</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5" t="s">
        <v>2169</v>
      </c>
      <c r="B91" s="356" t="s">
        <v>70</v>
      </c>
      <c r="C91" s="356"/>
      <c r="D91" s="372">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5" t="s">
        <v>2169</v>
      </c>
      <c r="B92" s="356" t="s">
        <v>70</v>
      </c>
      <c r="C92" s="356"/>
      <c r="D92" s="372">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National</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5" t="s">
        <v>2169</v>
      </c>
      <c r="B93" s="356" t="s">
        <v>70</v>
      </c>
      <c r="C93" s="356"/>
      <c r="D93" s="372">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5" t="s">
        <v>2169</v>
      </c>
      <c r="B94" s="356" t="s">
        <v>70</v>
      </c>
      <c r="C94" s="356"/>
      <c r="D94" s="372">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National</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5" t="s">
        <v>2169</v>
      </c>
      <c r="B95" s="356" t="s">
        <v>70</v>
      </c>
      <c r="C95" s="356"/>
      <c r="D95" s="372">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National</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2347</v>
      </c>
      <c r="B96" s="357" t="s">
        <v>2345</v>
      </c>
      <c r="C96" s="357" t="s">
        <v>2346</v>
      </c>
      <c r="E96" s="64" t="s">
        <v>2555</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National</v>
      </c>
      <c r="L96" s="195">
        <f>IF(VLOOKUP($E96,TaskValues_ref!$E:$Z,11,FALSE)=0,"",VLOOKUP($E96,TaskValues_ref!$E:$Z,11,FALSE))</f>
        <v>3.9E-2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7" t="s">
        <v>2347</v>
      </c>
      <c r="B97" s="357" t="s">
        <v>2345</v>
      </c>
      <c r="C97" s="357" t="s">
        <v>2346</v>
      </c>
      <c r="E97" s="64" t="s">
        <v>2556</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National</v>
      </c>
      <c r="L97" s="195">
        <f>IF(VLOOKUP($E97,TaskValues_ref!$E:$Z,11,FALSE)=0,"",VLOOKUP($E97,TaskValues_ref!$E:$Z,11,FALSE))</f>
        <v>3.5999999999999997E-2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7" t="s">
        <v>2347</v>
      </c>
      <c r="B98" s="357" t="s">
        <v>2345</v>
      </c>
      <c r="C98" s="357" t="s">
        <v>2346</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National</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7" t="s">
        <v>2347</v>
      </c>
      <c r="B99" s="357" t="s">
        <v>2345</v>
      </c>
      <c r="C99" s="357" t="s">
        <v>2346</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National</v>
      </c>
      <c r="L99" s="195">
        <f>IF(VLOOKUP($E99,TaskValues_ref!$E:$Z,11,FALSE)=0,"",VLOOKUP($E99,TaskValues_ref!$E:$Z,11,FALSE))</f>
        <v>2.0926851436312916E-4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7" t="s">
        <v>2347</v>
      </c>
      <c r="B100" s="357" t="s">
        <v>2345</v>
      </c>
      <c r="C100" s="357" t="s">
        <v>2346</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National</v>
      </c>
      <c r="L100" s="195">
        <f>IF(VLOOKUP($E100,TaskValues_ref!$E:$Z,11,FALSE)=0,"",VLOOKUP($E100,TaskValues_ref!$E:$Z,11,FALSE))</f>
        <v>2.0926851436312916E-4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7" t="s">
        <v>2347</v>
      </c>
      <c r="B101" s="357" t="s">
        <v>2345</v>
      </c>
      <c r="C101" s="357" t="s">
        <v>2346</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National</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7" t="s">
        <v>2347</v>
      </c>
      <c r="B102" s="357" t="s">
        <v>2345</v>
      </c>
      <c r="C102" s="357" t="s">
        <v>2346</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National</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7" t="s">
        <v>2347</v>
      </c>
      <c r="B103" s="357" t="s">
        <v>2345</v>
      </c>
      <c r="C103" s="357" t="s">
        <v>2346</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National</v>
      </c>
      <c r="L103" s="195">
        <f>IF(VLOOKUP($E103,TaskValues_ref!$E:$Z,11,FALSE)=0,"",VLOOKUP($E103,TaskValues_ref!$E:$Z,11,FALSE))</f>
        <v>2.0926851436312916E-4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7" t="s">
        <v>2347</v>
      </c>
      <c r="B104" s="357" t="s">
        <v>2345</v>
      </c>
      <c r="C104" s="357" t="s">
        <v>2346</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National</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7" t="s">
        <v>2347</v>
      </c>
      <c r="B105" s="357" t="s">
        <v>2345</v>
      </c>
      <c r="C105" s="357" t="s">
        <v>2346</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National</v>
      </c>
      <c r="L105" s="195">
        <f>IF(VLOOKUP($E105,TaskValues_ref!$E:$Z,11,FALSE)=0,"",VLOOKUP($E105,TaskValues_ref!$E:$Z,11,FALSE))</f>
        <v>8.6196653346653357E-3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7" t="s">
        <v>2347</v>
      </c>
      <c r="B106" s="357" t="s">
        <v>2345</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National</v>
      </c>
      <c r="L106" s="195">
        <f>IF(VLOOKUP($E106,TaskValues_ref!$E:$Z,11,FALSE)=0,"",VLOOKUP($E106,TaskValues_ref!$E:$Z,11,FALSE))</f>
        <v>0.21739130434782611</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35">
      <c r="A107" s="357" t="s">
        <v>2347</v>
      </c>
      <c r="B107" s="357" t="s">
        <v>2345</v>
      </c>
      <c r="C107" s="357" t="s">
        <v>69</v>
      </c>
      <c r="D107" s="66">
        <v>103</v>
      </c>
      <c r="E107" s="64" t="s">
        <v>2364</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National</v>
      </c>
      <c r="L107" s="195">
        <f>IF(VLOOKUP($E107,TaskValues_ref!$E:$Z,11,FALSE)=0,"",VLOOKUP($E107,TaskValues_ref!$E:$Z,11,FALSE))</f>
        <v>1.7047868186433539E-2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7" t="s">
        <v>2347</v>
      </c>
      <c r="B108" s="357" t="s">
        <v>2345</v>
      </c>
      <c r="C108" s="357" t="s">
        <v>69</v>
      </c>
      <c r="D108" s="66">
        <v>103</v>
      </c>
      <c r="E108" s="64" t="s">
        <v>2365</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National</v>
      </c>
      <c r="L108" s="195">
        <f>IF(VLOOKUP($E108,TaskValues_ref!$E:$Z,11,FALSE)=0,"",VLOOKUP($E108,TaskValues_ref!$E:$Z,11,FALSE))</f>
        <v>1.7047868186433539E-2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7" t="s">
        <v>2347</v>
      </c>
      <c r="B109" s="357" t="s">
        <v>2345</v>
      </c>
      <c r="C109" s="357" t="s">
        <v>69</v>
      </c>
      <c r="D109" s="66">
        <v>103</v>
      </c>
      <c r="E109" s="64" t="s">
        <v>2368</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National</v>
      </c>
      <c r="L109" s="195">
        <f>IF(VLOOKUP($E109,TaskValues_ref!$E:$Z,11,FALSE)=0,"",VLOOKUP($E109,TaskValues_ref!$E:$Z,11,FALSE))</f>
        <v>1.894207576270393E-2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7" t="s">
        <v>2347</v>
      </c>
      <c r="B110" s="357" t="s">
        <v>2345</v>
      </c>
      <c r="C110" s="357" t="s">
        <v>69</v>
      </c>
      <c r="D110" s="66">
        <v>104</v>
      </c>
      <c r="E110" s="64" t="s">
        <v>2366</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National</v>
      </c>
      <c r="L110" s="195">
        <f>IF(VLOOKUP($E110,TaskValues_ref!$E:$Z,11,FALSE)=0,"",VLOOKUP($E110,TaskValues_ref!$E:$Z,11,FALSE))</f>
        <v>1.8942075762703931E-3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7" t="s">
        <v>2347</v>
      </c>
      <c r="B111" s="357" t="s">
        <v>2345</v>
      </c>
      <c r="C111" s="357" t="s">
        <v>69</v>
      </c>
      <c r="D111" s="66">
        <v>104</v>
      </c>
      <c r="E111" s="64" t="s">
        <v>2367</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National</v>
      </c>
      <c r="L111" s="195">
        <f>IF(VLOOKUP($E111,TaskValues_ref!$E:$Z,11,FALSE)=0,"",VLOOKUP($E111,TaskValues_ref!$E:$Z,11,FALSE))</f>
        <v>1.8942075762703931E-3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7" t="s">
        <v>2347</v>
      </c>
      <c r="B112" s="357" t="s">
        <v>2345</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National</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7" t="s">
        <v>2347</v>
      </c>
      <c r="B113" s="357" t="s">
        <v>2345</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National</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2347</v>
      </c>
      <c r="B114" s="357" t="s">
        <v>2345</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National</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7" t="s">
        <v>2347</v>
      </c>
      <c r="B115" s="357" t="s">
        <v>2345</v>
      </c>
      <c r="C115" s="357" t="s">
        <v>2377</v>
      </c>
      <c r="D115" s="66">
        <v>108</v>
      </c>
      <c r="E115" s="64" t="s">
        <v>2383</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National</v>
      </c>
      <c r="L115" s="195">
        <f>IF(VLOOKUP($E115,TaskValues_ref!$E:$Z,11,FALSE)=0,"",VLOOKUP($E115,TaskValues_ref!$E:$Z,11,FALSE))</f>
        <v>1.2945230835262726E-3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7" t="s">
        <v>2347</v>
      </c>
      <c r="B116" s="357" t="s">
        <v>2345</v>
      </c>
      <c r="C116" s="357" t="s">
        <v>2377</v>
      </c>
      <c r="D116" s="66">
        <v>108</v>
      </c>
      <c r="E116" s="64" t="s">
        <v>2384</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National</v>
      </c>
      <c r="L116" s="195">
        <f>IF(VLOOKUP($E116,TaskValues_ref!$E:$Z,11,FALSE)=0,"",VLOOKUP($E116,TaskValues_ref!$E:$Z,11,FALSE))</f>
        <v>1.2945230835262726E-3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2347</v>
      </c>
      <c r="B117" s="357" t="s">
        <v>2345</v>
      </c>
      <c r="C117" s="357" t="s">
        <v>2377</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National</v>
      </c>
      <c r="L117" s="195">
        <f>IF(VLOOKUP($E117,TaskValues_ref!$E:$Z,11,FALSE)=0,"",VLOOKUP($E117,TaskValues_ref!$E:$Z,11,FALSE))</f>
        <v>1.2945230835262726E-3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7" t="s">
        <v>2347</v>
      </c>
      <c r="B118" s="357" t="s">
        <v>2345</v>
      </c>
      <c r="C118" s="357" t="s">
        <v>2377</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National</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7" t="s">
        <v>2347</v>
      </c>
      <c r="B119" s="357" t="s">
        <v>2388</v>
      </c>
      <c r="C119" s="357" t="s">
        <v>2389</v>
      </c>
      <c r="D119" s="66">
        <v>112</v>
      </c>
      <c r="E119" s="64" t="s">
        <v>2393</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National</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7" t="s">
        <v>2347</v>
      </c>
      <c r="B120" s="357" t="s">
        <v>2388</v>
      </c>
      <c r="C120" s="357" t="s">
        <v>2389</v>
      </c>
      <c r="D120" s="66">
        <v>113</v>
      </c>
      <c r="E120" s="64" t="s">
        <v>2394</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2347</v>
      </c>
      <c r="B121" s="357" t="s">
        <v>2388</v>
      </c>
      <c r="C121" s="357" t="s">
        <v>2389</v>
      </c>
      <c r="D121" s="66">
        <v>114</v>
      </c>
      <c r="E121" s="64" t="s">
        <v>2395</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2347</v>
      </c>
      <c r="B122" s="357" t="s">
        <v>2388</v>
      </c>
      <c r="C122" s="357" t="s">
        <v>2396</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National</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7" t="s">
        <v>2347</v>
      </c>
      <c r="B123" s="357" t="s">
        <v>2388</v>
      </c>
      <c r="C123" s="357" t="s">
        <v>2396</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National</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7" t="s">
        <v>2347</v>
      </c>
      <c r="B124" s="357" t="s">
        <v>2388</v>
      </c>
      <c r="C124" s="357" t="s">
        <v>2396</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2347</v>
      </c>
      <c r="B125" s="357" t="s">
        <v>2388</v>
      </c>
      <c r="C125" s="357" t="s">
        <v>2396</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National</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2347</v>
      </c>
      <c r="B126" s="357" t="s">
        <v>2388</v>
      </c>
      <c r="C126" s="357" t="s">
        <v>2396</v>
      </c>
      <c r="D126" s="66">
        <v>119</v>
      </c>
      <c r="E126" s="64" t="str">
        <f>_xlfn.CONCAT("DPC.Cncr.",D126)</f>
        <v>DPC.Cncr.119</v>
      </c>
      <c r="F126" s="319" t="str">
        <f>VLOOKUP(E126,TaskValues_ref!E:F,2,FALSE)</f>
        <v>Palliative care for cancer</v>
      </c>
      <c r="G126" s="321" t="str">
        <f>VLOOKUP($E126,TaskValues_ref!$E:$Z,3,FALSE)</f>
        <v>Clinical</v>
      </c>
      <c r="H126" s="321" t="str">
        <f>VLOOKUP($E126,TaskValues_ref!$E:$Z,4,FALSE)</f>
        <v>Acute</v>
      </c>
      <c r="I126" s="321" t="str">
        <f>VLOOKUP($E126,TaskValues_ref!$E:$Z,5,FALSE)</f>
        <v>NCDs</v>
      </c>
      <c r="J126" s="320" t="str">
        <f>VLOOKUP($E126,TaskValues_ref!$E:$Z,6,FALSE)</f>
        <v>adults 18+</v>
      </c>
      <c r="K126" s="321" t="str">
        <f>VLOOKUP($E126,TaskValues_ref!$E:$Z,10,FALSE)</f>
        <v>National</v>
      </c>
      <c r="L126" s="195">
        <f>IF(VLOOKUP($E126,TaskValues_ref!$E:$Z,11,FALSE)=0,"",VLOOKUP($E126,TaskValues_ref!$E:$Z,11,FALSE))</f>
        <v>4.5114286321434503E-4</v>
      </c>
      <c r="M126" s="321">
        <f>IF(VLOOKUP($E126,TaskValues_ref!$E:$Z,13,FALSE)=0,"",VLOOKUP($E126,TaskValues_ref!$E:$Z,13,FALSE))</f>
        <v>0.5</v>
      </c>
      <c r="N126" s="89">
        <f>IF(VLOOKUP($E126,TaskValues_ref!$E:$Z,15,FALSE)=0,"",VLOOKUP($E126,TaskValues_ref!$E:$Z,15,FALSE))</f>
        <v>1.01</v>
      </c>
      <c r="O126">
        <f>IF(VLOOKUP($E126,TaskValues_ref!$E:$Z,16,FALSE)=0,"",VLOOKUP($E126,TaskValues_ref!$E:$Z,16,FALSE))</f>
        <v>6</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7" t="s">
        <v>2347</v>
      </c>
      <c r="B127" s="357" t="s">
        <v>2388</v>
      </c>
      <c r="C127" s="357" t="s">
        <v>2403</v>
      </c>
      <c r="D127" s="66">
        <v>120</v>
      </c>
      <c r="E127" s="64" t="str">
        <f>_xlfn.CONCAT("DPC.Hyp.",D127)</f>
        <v>DPC.Hyp.120</v>
      </c>
      <c r="F127" s="319" t="str">
        <f>VLOOKUP(E127,TaskValues_ref!E:F,2,FALSE)</f>
        <v>Lifestyle counseling</v>
      </c>
      <c r="G127" s="321" t="str">
        <f>VLOOKUP($E127,TaskValues_ref!$E:$Z,3,FALSE)</f>
        <v>Clinical</v>
      </c>
      <c r="H127" s="321" t="str">
        <f>VLOOKUP($E127,TaskValues_ref!$E:$Z,4,FALSE)</f>
        <v>Preventive</v>
      </c>
      <c r="I127" s="321" t="str">
        <f>VLOOKUP($E127,TaskValues_ref!$E:$Z,5,FALSE)</f>
        <v>NCDs</v>
      </c>
      <c r="J127" s="320" t="str">
        <f>VLOOKUP($E127,TaskValues_ref!$E:$Z,6,FALSE)</f>
        <v>50 yo adults</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t="str">
        <f>IF(VLOOKUP($E127,TaskValues_ref!$E:$Z,16,FALSE)=0,"",VLOOKUP($E127,TaskValues_ref!$E:$Z,16,FALSE))</f>
        <v/>
      </c>
      <c r="P127">
        <f>IF(VLOOKUP($E127,TaskValues_ref!$E:$Z,17,FALSE)=0,"",VLOOKUP($E127,TaskValues_ref!$E:$Z,17,FALSE))</f>
        <v>1</v>
      </c>
      <c r="Q127">
        <f>IF(VLOOKUP($E127,TaskValues_ref!$E:$Z,18,FALSE)=0,"",VLOOKUP($E127,TaskValues_ref!$E:$Z,18,FALSE))</f>
        <v>10</v>
      </c>
      <c r="R127" t="str">
        <f>IF(VLOOKUP($E127,TaskValues_ref!$E:$Z,19,FALSE)=0,"",VLOOKUP($E127,TaskValues_ref!$E:$Z,19,FALSE))</f>
        <v/>
      </c>
      <c r="S127" t="str">
        <f>IF(VLOOKUP($E127,TaskValues_ref!$E:$Z,20,FALSE)=0,"",VLOOKUP($E127,TaskValues_ref!$E:$Z,20,FALSE))</f>
        <v/>
      </c>
    </row>
    <row r="128" spans="1:19" x14ac:dyDescent="0.35">
      <c r="A128" s="357" t="s">
        <v>2347</v>
      </c>
      <c r="B128" s="357" t="s">
        <v>2388</v>
      </c>
      <c r="C128" s="357" t="s">
        <v>2403</v>
      </c>
      <c r="D128" s="66">
        <v>121</v>
      </c>
      <c r="E128" s="64" t="str">
        <f>_xlfn.CONCAT("DPC.Hyp.",D128)</f>
        <v>DPC.Hyp.121</v>
      </c>
      <c r="F128" s="319" t="str">
        <f>VLOOKUP(E128,TaskValues_ref!E:F,2,FALSE)</f>
        <v>Hypertension screening</v>
      </c>
      <c r="G128" s="321" t="str">
        <f>VLOOKUP($E128,TaskValues_ref!$E:$Z,3,FALSE)</f>
        <v>Clinical</v>
      </c>
      <c r="H128" s="321" t="str">
        <f>VLOOKUP($E128,TaskValues_ref!$E:$Z,4,FALSE)</f>
        <v>Preventive</v>
      </c>
      <c r="I128" s="321" t="str">
        <f>VLOOKUP($E128,TaskValues_ref!$E:$Z,5,FALSE)</f>
        <v>NCDs</v>
      </c>
      <c r="J128" s="320" t="str">
        <f>VLOOKUP($E128,TaskValues_ref!$E:$Z,6,FALSE)</f>
        <v>50 yo adults</v>
      </c>
      <c r="K128" s="321" t="str">
        <f>VLOOKUP($E128,TaskValues_ref!$E:$Z,10,FALSE)</f>
        <v>National</v>
      </c>
      <c r="L128" s="195">
        <f>IF(VLOOKUP($E128,TaskValues_ref!$E:$Z,11,FALSE)=0,"",VLOOKUP($E128,TaskValues_ref!$E:$Z,11,FALSE))</f>
        <v>0.19600000000000001</v>
      </c>
      <c r="M128" s="321" t="str">
        <f>IF(VLOOKUP($E128,TaskValues_ref!$E:$Z,13,FALSE)=0,"",VLOOKUP($E128,TaskValues_ref!$E:$Z,13,FALSE))</f>
        <v/>
      </c>
      <c r="N128" s="89">
        <f>IF(VLOOKUP($E128,TaskValues_ref!$E:$Z,15,FALSE)=0,"",VLOOKUP($E128,TaskValues_ref!$E:$Z,15,FALSE))</f>
        <v>1.0149999999999999</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7" t="s">
        <v>2347</v>
      </c>
      <c r="B129" s="357" t="s">
        <v>2388</v>
      </c>
      <c r="C129" s="357" t="s">
        <v>2403</v>
      </c>
      <c r="D129" s="66">
        <v>122</v>
      </c>
      <c r="E129" s="64" t="str">
        <f>_xlfn.CONCAT("DPC.Hyp.",D129)</f>
        <v>DPC.Hyp.122</v>
      </c>
      <c r="F129" s="319" t="str">
        <f>VLOOKUP(E129,TaskValues_ref!E:F,2,FALSE)</f>
        <v>Hypertension routine care</v>
      </c>
      <c r="G129" s="321" t="str">
        <f>VLOOKUP($E129,TaskValues_ref!$E:$Z,3,FALSE)</f>
        <v>Clinical</v>
      </c>
      <c r="H129" s="321" t="str">
        <f>VLOOKUP($E129,TaskValues_ref!$E:$Z,4,FALSE)</f>
        <v>Acute</v>
      </c>
      <c r="I129" s="321" t="str">
        <f>VLOOKUP($E129,TaskValues_ref!$E:$Z,5,FALSE)</f>
        <v>NCDs</v>
      </c>
      <c r="J129" s="320" t="str">
        <f>VLOOKUP($E129,TaskValues_ref!$E:$Z,6,FALSE)</f>
        <v>adults 18+</v>
      </c>
      <c r="K129" s="321" t="str">
        <f>VLOOKUP($E129,TaskValues_ref!$E:$Z,10,FALSE)</f>
        <v>National</v>
      </c>
      <c r="L129" s="195">
        <f>IF(VLOOKUP($E129,TaskValues_ref!$E:$Z,11,FALSE)=0,"",VLOOKUP($E129,TaskValues_ref!$E:$Z,11,FALSE))</f>
        <v>0.19600000000000001</v>
      </c>
      <c r="M129" s="321" t="str">
        <f>IF(VLOOKUP($E129,TaskValues_ref!$E:$Z,13,FALSE)=0,"",VLOOKUP($E129,TaskValues_ref!$E:$Z,13,FALSE))</f>
        <v/>
      </c>
      <c r="N129" s="89">
        <f>IF(VLOOKUP($E129,TaskValues_ref!$E:$Z,15,FALSE)=0,"",VLOOKUP($E129,TaskValues_ref!$E:$Z,15,FALSE))</f>
        <v>1.0149999999999999</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7" t="s">
        <v>2347</v>
      </c>
      <c r="B130" s="357" t="s">
        <v>2388</v>
      </c>
      <c r="C130" s="357" t="s">
        <v>524</v>
      </c>
      <c r="D130" s="66">
        <v>123</v>
      </c>
      <c r="E130" s="64" t="str">
        <f>_xlfn.CONCAT("DPC.Dbt.",D130)</f>
        <v>DPC.Dbt.123</v>
      </c>
      <c r="F130" s="319" t="str">
        <f>VLOOKUP(E130,TaskValues_ref!E:F,2,FALSE)</f>
        <v>Lifestyle counseling</v>
      </c>
      <c r="G130" s="321" t="str">
        <f>VLOOKUP($E130,TaskValues_ref!$E:$Z,3,FALSE)</f>
        <v>Clinical</v>
      </c>
      <c r="H130" s="321" t="str">
        <f>VLOOKUP($E130,TaskValues_ref!$E:$Z,4,FALSE)</f>
        <v>Preventive</v>
      </c>
      <c r="I130" s="321" t="str">
        <f>VLOOKUP($E130,TaskValues_ref!$E:$Z,5,FALSE)</f>
        <v>NCDs</v>
      </c>
      <c r="J130" s="320" t="str">
        <f>VLOOKUP($E130,TaskValues_ref!$E:$Z,6,FALSE)</f>
        <v>50 yo adults</v>
      </c>
      <c r="K130" s="321" t="str">
        <f>VLOOKUP($E130,TaskValues_ref!$E:$Z,10,FALSE)</f>
        <v>National</v>
      </c>
      <c r="L130" s="195" t="str">
        <f>IF(VLOOKUP($E130,TaskValues_ref!$E:$Z,11,FALSE)=0,"",VLOOKUP($E130,TaskValues_ref!$E:$Z,11,FALSE))</f>
        <v/>
      </c>
      <c r="M130" s="321"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10</v>
      </c>
      <c r="R130" t="str">
        <f>IF(VLOOKUP($E130,TaskValues_ref!$E:$Z,19,FALSE)=0,"",VLOOKUP($E130,TaskValues_ref!$E:$Z,19,FALSE))</f>
        <v/>
      </c>
      <c r="S130" t="str">
        <f>IF(VLOOKUP($E130,TaskValues_ref!$E:$Z,20,FALSE)=0,"",VLOOKUP($E130,TaskValues_ref!$E:$Z,20,FALSE))</f>
        <v/>
      </c>
    </row>
    <row r="131" spans="1:19" x14ac:dyDescent="0.35">
      <c r="A131" s="357" t="s">
        <v>2347</v>
      </c>
      <c r="B131" s="357" t="s">
        <v>2388</v>
      </c>
      <c r="C131" s="357" t="s">
        <v>524</v>
      </c>
      <c r="D131" s="66">
        <v>124</v>
      </c>
      <c r="E131" s="64" t="str">
        <f>_xlfn.CONCAT("DPC.Dbt.",D131)</f>
        <v>DPC.Dbt.124</v>
      </c>
      <c r="F131" s="319" t="str">
        <f>VLOOKUP(E131,TaskValues_ref!E:F,2,FALSE)</f>
        <v>Screening for type 2 diabetes</v>
      </c>
      <c r="G131" s="321" t="str">
        <f>VLOOKUP($E131,TaskValues_ref!$E:$Z,3,FALSE)</f>
        <v>Clinical</v>
      </c>
      <c r="H131" s="321" t="str">
        <f>VLOOKUP($E131,TaskValues_ref!$E:$Z,4,FALSE)</f>
        <v>Preventive</v>
      </c>
      <c r="I131" s="321" t="str">
        <f>VLOOKUP($E131,TaskValues_ref!$E:$Z,5,FALSE)</f>
        <v>NCDs</v>
      </c>
      <c r="J131" s="320" t="str">
        <f>VLOOKUP($E131,TaskValues_ref!$E:$Z,6,FALSE)</f>
        <v>50 yo adults</v>
      </c>
      <c r="K131" s="321" t="str">
        <f>VLOOKUP($E131,TaskValues_ref!$E:$Z,10,FALSE)</f>
        <v>National</v>
      </c>
      <c r="L131" s="195">
        <f>IF(VLOOKUP($E131,TaskValues_ref!$E:$Z,11,FALSE)=0,"",VLOOKUP($E131,TaskValues_ref!$E:$Z,11,FALSE))</f>
        <v>2.56464E-2</v>
      </c>
      <c r="M131" s="321" t="str">
        <f>IF(VLOOKUP($E131,TaskValues_ref!$E:$Z,13,FALSE)=0,"",VLOOKUP($E131,TaskValues_ref!$E:$Z,13,FALSE))</f>
        <v/>
      </c>
      <c r="N131" s="89">
        <f>IF(VLOOKUP($E131,TaskValues_ref!$E:$Z,15,FALSE)=0,"",VLOOKUP($E131,TaskValues_ref!$E:$Z,15,FALSE))</f>
        <v>1.0149999999999999</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2347</v>
      </c>
      <c r="B132" s="357" t="s">
        <v>2388</v>
      </c>
      <c r="C132" s="357" t="s">
        <v>524</v>
      </c>
      <c r="D132" s="66">
        <v>125</v>
      </c>
      <c r="E132" s="64" t="str">
        <f>_xlfn.CONCAT("DPC.Dbt.",D132)</f>
        <v>DPC.Dbt.125</v>
      </c>
      <c r="F132" s="319" t="str">
        <f>VLOOKUP(E132,TaskValues_ref!E:F,2,FALSE)</f>
        <v>Diabetes routine care</v>
      </c>
      <c r="G132" s="321" t="str">
        <f>VLOOKUP($E132,TaskValues_ref!$E:$Z,3,FALSE)</f>
        <v>Clinical</v>
      </c>
      <c r="H132" s="321" t="str">
        <f>VLOOKUP($E132,TaskValues_ref!$E:$Z,4,FALSE)</f>
        <v>Acute</v>
      </c>
      <c r="I132" s="321" t="str">
        <f>VLOOKUP($E132,TaskValues_ref!$E:$Z,5,FALSE)</f>
        <v>NCDs</v>
      </c>
      <c r="J132" s="320" t="str">
        <f>VLOOKUP($E132,TaskValues_ref!$E:$Z,6,FALSE)</f>
        <v>adults 18+</v>
      </c>
      <c r="K132" s="321" t="str">
        <f>VLOOKUP($E132,TaskValues_ref!$E:$Z,10,FALSE)</f>
        <v>National</v>
      </c>
      <c r="L132" s="195">
        <f>IF(VLOOKUP($E132,TaskValues_ref!$E:$Z,11,FALSE)=0,"",VLOOKUP($E132,TaskValues_ref!$E:$Z,11,FALSE))</f>
        <v>2.56464E-2</v>
      </c>
      <c r="M132" s="321" t="str">
        <f>IF(VLOOKUP($E132,TaskValues_ref!$E:$Z,13,FALSE)=0,"",VLOOKUP($E132,TaskValues_ref!$E:$Z,13,FALSE))</f>
        <v/>
      </c>
      <c r="N132" s="89">
        <f>IF(VLOOKUP($E132,TaskValues_ref!$E:$Z,15,FALSE)=0,"",VLOOKUP($E132,TaskValues_ref!$E:$Z,15,FALSE))</f>
        <v>1.0149999999999999</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7" t="s">
        <v>2347</v>
      </c>
      <c r="B133" s="357" t="s">
        <v>2388</v>
      </c>
      <c r="C133" s="357" t="s">
        <v>2404</v>
      </c>
      <c r="D133" s="66">
        <v>126</v>
      </c>
      <c r="E133" s="64" t="str">
        <f>_xlfn.CONCAT("DPC.Asth.",D133)</f>
        <v>DPC.Asth.126</v>
      </c>
      <c r="F133" s="319" t="str">
        <f>VLOOKUP(E133,TaskValues_ref!E:F,2,FALSE)</f>
        <v>Smoking cessation</v>
      </c>
      <c r="G133" s="321" t="str">
        <f>VLOOKUP($E133,TaskValues_ref!$E:$Z,3,FALSE)</f>
        <v>Clinical</v>
      </c>
      <c r="H133" s="321" t="str">
        <f>VLOOKUP($E133,TaskValues_ref!$E:$Z,4,FALSE)</f>
        <v>Preventive</v>
      </c>
      <c r="I133" s="321" t="str">
        <f>VLOOKUP($E133,TaskValues_ref!$E:$Z,5,FALSE)</f>
        <v>NCDs</v>
      </c>
      <c r="J133" s="320" t="str">
        <f>VLOOKUP($E133,TaskValues_ref!$E:$Z,6,FALSE)</f>
        <v>men 18+</v>
      </c>
      <c r="K133" s="321" t="str">
        <f>VLOOKUP($E133,TaskValues_ref!$E:$Z,10,FALSE)</f>
        <v>National</v>
      </c>
      <c r="L133" s="195">
        <f>IF(VLOOKUP($E133,TaskValues_ref!$E:$Z,11,FALSE)=0,"",VLOOKUP($E133,TaskValues_ref!$E:$Z,11,FALSE))</f>
        <v>8.8999999999999996E-2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35">
      <c r="A134" s="357" t="s">
        <v>2347</v>
      </c>
      <c r="B134" s="357" t="s">
        <v>2388</v>
      </c>
      <c r="C134" s="357" t="s">
        <v>2404</v>
      </c>
      <c r="D134" s="66">
        <v>127</v>
      </c>
      <c r="E134" s="64" t="str">
        <f>_xlfn.CONCAT("DPC.Asth.",D134)</f>
        <v>DPC.Asth.127</v>
      </c>
      <c r="F134" s="319" t="str">
        <f>VLOOKUP(E134,TaskValues_ref!E:F,2,FALSE)</f>
        <v>Prevention of risk factors</v>
      </c>
      <c r="G134" s="321" t="str">
        <f>VLOOKUP($E134,TaskValues_ref!$E:$Z,3,FALSE)</f>
        <v>Clinical</v>
      </c>
      <c r="H134" s="321" t="str">
        <f>VLOOKUP($E134,TaskValues_ref!$E:$Z,4,FALSE)</f>
        <v>Preventive</v>
      </c>
      <c r="I134" s="321" t="str">
        <f>VLOOKUP($E134,TaskValues_ref!$E:$Z,5,FALSE)</f>
        <v>NCDs</v>
      </c>
      <c r="J134" s="320" t="str">
        <f>VLOOKUP($E134,TaskValues_ref!$E:$Z,6,FALSE)</f>
        <v>adults 18+</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357" t="s">
        <v>2347</v>
      </c>
      <c r="B135" s="357" t="s">
        <v>2388</v>
      </c>
      <c r="C135" s="357" t="s">
        <v>2404</v>
      </c>
      <c r="D135" s="66">
        <v>128</v>
      </c>
      <c r="E135" s="64" t="str">
        <f>_xlfn.CONCAT("DPC.Asth.",D135)</f>
        <v>DPC.Asth.128</v>
      </c>
      <c r="F135" s="319" t="str">
        <f>VLOOKUP(E135,TaskValues_ref!E:F,2,FALSE)</f>
        <v>Dx &amp; treat mild asthma</v>
      </c>
      <c r="G135" s="321" t="str">
        <f>VLOOKUP($E135,TaskValues_ref!$E:$Z,3,FALSE)</f>
        <v>Clinical</v>
      </c>
      <c r="H135" s="321" t="str">
        <f>VLOOKUP($E135,TaskValues_ref!$E:$Z,4,FALSE)</f>
        <v>Acute</v>
      </c>
      <c r="I135" s="321" t="str">
        <f>VLOOKUP($E135,TaskValues_ref!$E:$Z,5,FALSE)</f>
        <v>NCDs</v>
      </c>
      <c r="J135" s="320" t="str">
        <f>VLOOKUP($E135,TaskValues_ref!$E:$Z,6,FALSE)</f>
        <v>15 yo</v>
      </c>
      <c r="K135" s="321" t="str">
        <f>VLOOKUP($E135,TaskValues_ref!$E:$Z,10,FALSE)</f>
        <v>National</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35">
      <c r="A136" s="357" t="s">
        <v>2347</v>
      </c>
      <c r="B136" s="357" t="s">
        <v>2388</v>
      </c>
      <c r="C136" s="357" t="s">
        <v>2404</v>
      </c>
      <c r="D136" s="66">
        <v>129</v>
      </c>
      <c r="E136" s="64" t="str">
        <f>_xlfn.CONCAT("DPC.Asth.",D136)</f>
        <v>DPC.Asth.129</v>
      </c>
      <c r="F136" s="319" t="str">
        <f>VLOOKUP(E136,TaskValues_ref!E:F,2,FALSE)</f>
        <v>Dx &amp; refer severe asthma</v>
      </c>
      <c r="G136" s="321" t="str">
        <f>VLOOKUP($E136,TaskValues_ref!$E:$Z,3,FALSE)</f>
        <v>Clinical</v>
      </c>
      <c r="H136" s="321" t="str">
        <f>VLOOKUP($E136,TaskValues_ref!$E:$Z,4,FALSE)</f>
        <v>Acute</v>
      </c>
      <c r="I136" s="321" t="str">
        <f>VLOOKUP($E136,TaskValues_ref!$E:$Z,5,FALSE)</f>
        <v>NCDs</v>
      </c>
      <c r="J136" s="320" t="str">
        <f>VLOOKUP($E136,TaskValues_ref!$E:$Z,6,FALSE)</f>
        <v>15 yo</v>
      </c>
      <c r="K136" s="321" t="str">
        <f>VLOOKUP($E136,TaskValues_ref!$E:$Z,10,FALSE)</f>
        <v>National</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35">
      <c r="A137" s="357" t="s">
        <v>2347</v>
      </c>
      <c r="B137" s="357" t="s">
        <v>2388</v>
      </c>
      <c r="C137" s="357" t="s">
        <v>232</v>
      </c>
      <c r="D137" s="66">
        <v>130</v>
      </c>
      <c r="E137" s="64" t="s">
        <v>2453</v>
      </c>
      <c r="F137" s="319" t="str">
        <f>VLOOKUP(E137,TaskValues_ref!E:F,2,FALSE)</f>
        <v>Generate community awareness</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National</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7" t="s">
        <v>2347</v>
      </c>
      <c r="B138" s="357" t="s">
        <v>2388</v>
      </c>
      <c r="C138" s="357" t="s">
        <v>232</v>
      </c>
      <c r="D138" s="66">
        <v>130</v>
      </c>
      <c r="E138" s="64" t="s">
        <v>2454</v>
      </c>
      <c r="F138" s="319" t="str">
        <f>VLOOKUP(E138,TaskValues_ref!E:F,2,FALSE)</f>
        <v>Identify &amp; link to care</v>
      </c>
      <c r="G138" s="321" t="str">
        <f>VLOOKUP($E138,TaskValues_ref!$E:$Z,3,FALSE)</f>
        <v>Clinical</v>
      </c>
      <c r="H138" s="321" t="str">
        <f>VLOOKUP($E138,TaskValues_ref!$E:$Z,4,FALSE)</f>
        <v>Acute</v>
      </c>
      <c r="I138" s="321" t="str">
        <f>VLOOKUP($E138,TaskValues_ref!$E:$Z,5,FALSE)</f>
        <v>Mental health</v>
      </c>
      <c r="J138" s="320" t="str">
        <f>VLOOKUP($E138,TaskValues_ref!$E:$Z,6,FALSE)</f>
        <v>30 yo adults</v>
      </c>
      <c r="K138" s="321" t="str">
        <f>VLOOKUP($E138,TaskValues_ref!$E:$Z,10,FALSE)</f>
        <v>National</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7" t="s">
        <v>2347</v>
      </c>
      <c r="B139" s="357" t="s">
        <v>2388</v>
      </c>
      <c r="C139" s="357" t="s">
        <v>232</v>
      </c>
      <c r="D139" s="66">
        <v>131</v>
      </c>
      <c r="E139" s="64" t="str">
        <f>_xlfn.CONCAT("DPC.MH.",D139)</f>
        <v>DPC.MH.131</v>
      </c>
      <c r="F139" s="319" t="str">
        <f>VLOOKUP(E139,TaskValues_ref!E:F,2,FALSE)</f>
        <v>Workplace stress reduction</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7" t="s">
        <v>2347</v>
      </c>
      <c r="B140" s="357" t="s">
        <v>2388</v>
      </c>
      <c r="C140" s="357" t="s">
        <v>232</v>
      </c>
      <c r="D140" s="66">
        <v>132</v>
      </c>
      <c r="E140" s="64" t="str">
        <f>_xlfn.CONCAT("DPC.MH.",D140)</f>
        <v>DPC.MH.132</v>
      </c>
      <c r="F140" s="319" t="str">
        <f>VLOOKUP(E140,TaskValues_ref!E:F,2,FALSE)</f>
        <v>School-based mental health programs</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7" t="s">
        <v>2347</v>
      </c>
      <c r="B141" s="357" t="s">
        <v>2388</v>
      </c>
      <c r="C141" s="357" t="s">
        <v>232</v>
      </c>
      <c r="D141" s="66">
        <v>133</v>
      </c>
      <c r="E141" s="64" t="str">
        <f>_xlfn.CONCAT("DPC.MH.",D141)</f>
        <v>DPC.MH.133</v>
      </c>
      <c r="F141" s="319" t="str">
        <f>VLOOKUP(E141,TaskValues_ref!E:F,2,FALSE)</f>
        <v>Identify &amp; assess drug use</v>
      </c>
      <c r="G141" s="321" t="str">
        <f>VLOOKUP($E141,TaskValues_ref!$E:$Z,3,FALSE)</f>
        <v>Clinical</v>
      </c>
      <c r="H141" s="321" t="str">
        <f>VLOOKUP($E141,TaskValues_ref!$E:$Z,4,FALSE)</f>
        <v>Acute</v>
      </c>
      <c r="I141" s="321" t="str">
        <f>VLOOKUP($E141,TaskValues_ref!$E:$Z,5,FALSE)</f>
        <v>Mental health</v>
      </c>
      <c r="J141" s="320" t="str">
        <f>VLOOKUP($E141,TaskValues_ref!$E:$Z,6,FALSE)</f>
        <v>30 yo adults</v>
      </c>
      <c r="K141" s="321" t="str">
        <f>VLOOKUP($E141,TaskValues_ref!$E:$Z,10,FALSE)</f>
        <v>National</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7" t="s">
        <v>2347</v>
      </c>
      <c r="B142" s="357" t="s">
        <v>2388</v>
      </c>
      <c r="C142" s="357" t="s">
        <v>232</v>
      </c>
      <c r="D142" s="66">
        <v>134</v>
      </c>
      <c r="E142" s="64" t="str">
        <f>_xlfn.CONCAT("DPC.MH.",D142)</f>
        <v>DPC.MH.134</v>
      </c>
      <c r="F142" s="319" t="str">
        <f>VLOOKUP(E142,TaskValues_ref!E:F,2,FALSE)</f>
        <v>Safer storage of pesticides</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357" t="s">
        <v>2347</v>
      </c>
      <c r="B143" s="357" t="s">
        <v>2388</v>
      </c>
      <c r="C143" s="357" t="s">
        <v>232</v>
      </c>
      <c r="D143" s="66">
        <v>135</v>
      </c>
      <c r="E143" s="64" t="str">
        <f>_xlfn.CONCAT("DPC.MH.",D143)</f>
        <v>DPC.MH.135</v>
      </c>
      <c r="F143" s="319" t="str">
        <f>VLOOKUP(E143,TaskValues_ref!E:F,2,FALSE)</f>
        <v>Emergency poisoning response</v>
      </c>
      <c r="G143" s="321" t="str">
        <f>VLOOKUP($E143,TaskValues_ref!$E:$Z,3,FALSE)</f>
        <v>Clinical</v>
      </c>
      <c r="H143" s="321" t="str">
        <f>VLOOKUP($E143,TaskValues_ref!$E:$Z,4,FALSE)</f>
        <v>Acute</v>
      </c>
      <c r="I143" s="321" t="str">
        <f>VLOOKUP($E143,TaskValues_ref!$E:$Z,5,FALSE)</f>
        <v>Mental health</v>
      </c>
      <c r="J143" s="320" t="str">
        <f>VLOOKUP($E143,TaskValues_ref!$E:$Z,6,FALSE)</f>
        <v>adults 18+</v>
      </c>
      <c r="K143" s="321" t="str">
        <f>VLOOKUP($E143,TaskValues_ref!$E:$Z,10,FALSE)</f>
        <v>National</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35">
      <c r="A144" s="357" t="s">
        <v>2347</v>
      </c>
      <c r="B144" s="357" t="s">
        <v>2388</v>
      </c>
      <c r="C144" s="357" t="s">
        <v>2405</v>
      </c>
      <c r="D144" s="66">
        <v>136</v>
      </c>
      <c r="E144" s="64" t="str">
        <f t="shared" ref="E144:E149" si="4">_xlfn.CONCAT("DPC.Oph.",D144)</f>
        <v>DPC.Oph.136</v>
      </c>
      <c r="F144" s="319" t="str">
        <f>VLOOKUP(E144,TaskValues_ref!E:F,2,FALSE)</f>
        <v>Awareness &amp; screening for cataracts</v>
      </c>
      <c r="G144" s="321" t="str">
        <f>VLOOKUP($E144,TaskValues_ref!$E:$Z,3,FALSE)</f>
        <v>Clinical</v>
      </c>
      <c r="H144" s="321" t="str">
        <f>VLOOKUP($E144,TaskValues_ref!$E:$Z,4,FALSE)</f>
        <v>Preventive</v>
      </c>
      <c r="I144" s="321" t="str">
        <f>VLOOKUP($E144,TaskValues_ref!$E:$Z,5,FALSE)</f>
        <v>NCDs</v>
      </c>
      <c r="J144" s="320" t="str">
        <f>VLOOKUP($E144,TaskValues_ref!$E:$Z,6,FALSE)</f>
        <v>adults 18+</v>
      </c>
      <c r="K144" s="321" t="str">
        <f>VLOOKUP($E144,TaskValues_ref!$E:$Z,10,FALSE)</f>
        <v>National</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35">
      <c r="A145" s="357" t="s">
        <v>2347</v>
      </c>
      <c r="B145" s="357" t="s">
        <v>2388</v>
      </c>
      <c r="C145" s="357" t="s">
        <v>2405</v>
      </c>
      <c r="D145" s="66">
        <f>D144+1</f>
        <v>137</v>
      </c>
      <c r="E145" s="64" t="str">
        <f t="shared" si="4"/>
        <v>DPC.Oph.137</v>
      </c>
      <c r="F145" s="319" t="str">
        <f>VLOOKUP(E145,TaskValues_ref!E:F,2,FALSE)</f>
        <v>Awareness of eye glasses</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7" t="s">
        <v>2347</v>
      </c>
      <c r="B146" s="357" t="s">
        <v>2388</v>
      </c>
      <c r="C146" s="357" t="s">
        <v>2405</v>
      </c>
      <c r="D146" s="66">
        <f>D145+1</f>
        <v>138</v>
      </c>
      <c r="E146" s="64" t="str">
        <f t="shared" si="4"/>
        <v>DPC.Oph.138</v>
      </c>
      <c r="F146" s="319" t="str">
        <f>VLOOKUP(E146,TaskValues_ref!E:F,2,FALSE)</f>
        <v>School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15 yo</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357" t="s">
        <v>2347</v>
      </c>
      <c r="B147" s="357" t="s">
        <v>2388</v>
      </c>
      <c r="C147" s="357" t="s">
        <v>2405</v>
      </c>
      <c r="D147" s="66">
        <f>D146+1</f>
        <v>139</v>
      </c>
      <c r="E147" s="64" t="str">
        <f t="shared" si="4"/>
        <v>DPC.Oph.139</v>
      </c>
      <c r="F147" s="319" t="str">
        <f>VLOOKUP(E147,TaskValues_ref!E:F,2,FALSE)</f>
        <v>Opportunistic screenings for vision impairment</v>
      </c>
      <c r="G147" s="321" t="str">
        <f>VLOOKUP($E147,TaskValues_ref!$E:$Z,3,FALSE)</f>
        <v>Clinical</v>
      </c>
      <c r="H147" s="321" t="str">
        <f>VLOOKUP($E147,TaskValues_ref!$E:$Z,4,FALSE)</f>
        <v>Preventive</v>
      </c>
      <c r="I147" s="321" t="str">
        <f>VLOOKUP($E147,TaskValues_ref!$E:$Z,5,FALSE)</f>
        <v>NCDs</v>
      </c>
      <c r="J147" s="320" t="str">
        <f>VLOOKUP($E147,TaskValues_ref!$E:$Z,6,FALSE)</f>
        <v>adults 18+</v>
      </c>
      <c r="K147" s="321" t="str">
        <f>VLOOKUP($E147,TaskValues_ref!$E:$Z,10,FALSE)</f>
        <v>National</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7" t="s">
        <v>2347</v>
      </c>
      <c r="B148" s="357" t="s">
        <v>2388</v>
      </c>
      <c r="C148" s="357" t="s">
        <v>2405</v>
      </c>
      <c r="D148" s="66">
        <f>D147+1</f>
        <v>140</v>
      </c>
      <c r="E148" s="64" t="str">
        <f t="shared" si="4"/>
        <v>DPC.Oph.140</v>
      </c>
      <c r="F148" s="319" t="str">
        <f>VLOOKUP(E148,TaskValues_ref!E:F,2,FALSE)</f>
        <v>Awareness &amp; screening for glaucoma</v>
      </c>
      <c r="G148" s="321" t="str">
        <f>VLOOKUP($E148,TaskValues_ref!$E:$Z,3,FALSE)</f>
        <v>Clinical</v>
      </c>
      <c r="H148" s="321" t="str">
        <f>VLOOKUP($E148,TaskValues_ref!$E:$Z,4,FALSE)</f>
        <v>Preventive</v>
      </c>
      <c r="I148" s="321" t="str">
        <f>VLOOKUP($E148,TaskValues_ref!$E:$Z,5,FALSE)</f>
        <v>NCDs</v>
      </c>
      <c r="J148" s="320" t="str">
        <f>VLOOKUP($E148,TaskValues_ref!$E:$Z,6,FALSE)</f>
        <v>50 yo adults</v>
      </c>
      <c r="K148" s="321" t="str">
        <f>VLOOKUP($E148,TaskValues_ref!$E:$Z,10,FALSE)</f>
        <v>National</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35">
      <c r="A149" s="357" t="s">
        <v>2347</v>
      </c>
      <c r="B149" s="357" t="s">
        <v>2388</v>
      </c>
      <c r="C149" s="357" t="s">
        <v>2405</v>
      </c>
      <c r="D149" s="66">
        <f>D148+1</f>
        <v>141</v>
      </c>
      <c r="E149" s="64" t="str">
        <f t="shared" si="4"/>
        <v>DPC.Oph.141</v>
      </c>
      <c r="F149" s="319" t="str">
        <f>VLOOKUP(E149,TaskValues_ref!E:F,2,FALSE)</f>
        <v>Common eye infection treatment</v>
      </c>
      <c r="G149" s="321" t="str">
        <f>VLOOKUP($E149,TaskValues_ref!$E:$Z,3,FALSE)</f>
        <v>Clinical</v>
      </c>
      <c r="H149" s="321" t="str">
        <f>VLOOKUP($E149,TaskValues_ref!$E:$Z,4,FALSE)</f>
        <v>Acute</v>
      </c>
      <c r="I149" s="321" t="str">
        <f>VLOOKUP($E149,TaskValues_ref!$E:$Z,5,FALSE)</f>
        <v>NCDs</v>
      </c>
      <c r="J149" s="320" t="str">
        <f>VLOOKUP($E149,TaskValues_ref!$E:$Z,6,FALSE)</f>
        <v>children 0-9</v>
      </c>
      <c r="K149" s="321" t="str">
        <f>VLOOKUP($E149,TaskValues_ref!$E:$Z,10,FALSE)</f>
        <v>National</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35">
      <c r="A150" s="357" t="s">
        <v>2347</v>
      </c>
      <c r="B150" s="357" t="s">
        <v>2388</v>
      </c>
      <c r="C150" s="357" t="s">
        <v>2406</v>
      </c>
      <c r="E150" s="64" t="s">
        <v>2603</v>
      </c>
      <c r="F150" s="319" t="str">
        <f>VLOOKUP(E150,TaskValues_ref!E:F,2,FALSE)</f>
        <v>Basic first aid</v>
      </c>
      <c r="G150" s="321" t="str">
        <f>VLOOKUP($E150,TaskValues_ref!$E:$Z,3,FALSE)</f>
        <v>Clinical</v>
      </c>
      <c r="H150" s="321" t="str">
        <f>VLOOKUP($E150,TaskValues_ref!$E:$Z,4,FALSE)</f>
        <v>Acute</v>
      </c>
      <c r="I150" s="321" t="str">
        <f>VLOOKUP($E150,TaskValues_ref!$E:$Z,5,FALSE)</f>
        <v>First aid</v>
      </c>
      <c r="J150" s="320" t="str">
        <f>VLOOKUP($E150,TaskValues_ref!$E:$Z,6,FALSE)</f>
        <v>all</v>
      </c>
      <c r="K150" s="321" t="str">
        <f>VLOOKUP($E150,TaskValues_ref!$E:$Z,10,FALSE)</f>
        <v>National</v>
      </c>
      <c r="L150" s="195">
        <f>IF(VLOOKUP($E150,TaskValues_ref!$E:$Z,11,FALSE)=0,"",VLOOKUP($E150,TaskValues_ref!$E:$Z,11,FALSE))</f>
        <v>1.8782608695652177E-3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35">
      <c r="A151" s="357" t="s">
        <v>2347</v>
      </c>
      <c r="B151" s="357" t="s">
        <v>2388</v>
      </c>
      <c r="C151" s="357" t="s">
        <v>2406</v>
      </c>
      <c r="E151" s="64" t="s">
        <v>2605</v>
      </c>
      <c r="F151" s="319" t="str">
        <f>VLOOKUP(E151,TaskValues_ref!E:F,2,FALSE)</f>
        <v>Advanced first aid</v>
      </c>
      <c r="G151" s="321" t="str">
        <f>VLOOKUP($E151,TaskValues_ref!$E:$Z,3,FALSE)</f>
        <v>Clinical</v>
      </c>
      <c r="H151" s="321" t="str">
        <f>VLOOKUP($E151,TaskValues_ref!$E:$Z,4,FALSE)</f>
        <v>Acute</v>
      </c>
      <c r="I151" s="321" t="str">
        <f>VLOOKUP($E151,TaskValues_ref!$E:$Z,5,FALSE)</f>
        <v>First aid</v>
      </c>
      <c r="J151" s="320" t="str">
        <f>VLOOKUP($E151,TaskValues_ref!$E:$Z,6,FALSE)</f>
        <v>all</v>
      </c>
      <c r="K151" s="321" t="str">
        <f>VLOOKUP($E151,TaskValues_ref!$E:$Z,10,FALSE)</f>
        <v>National</v>
      </c>
      <c r="L151" s="195">
        <f>IF(VLOOKUP($E151,TaskValues_ref!$E:$Z,11,FALSE)=0,"",VLOOKUP($E151,TaskValues_ref!$E:$Z,11,FALSE))</f>
        <v>2.156521739130435E-3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35">
      <c r="A152" s="66" t="s">
        <v>2347</v>
      </c>
      <c r="B152" s="66" t="s">
        <v>2459</v>
      </c>
      <c r="D152" s="66">
        <v>152</v>
      </c>
      <c r="E152" s="64" t="str">
        <f>_xlfn.CONCAT("DPC.OutPt.",D152)</f>
        <v>DPC.OutPt.152</v>
      </c>
      <c r="F152" s="319" t="str">
        <f>VLOOKUP(E152,TaskValues_ref!E:F,2,FALSE)</f>
        <v>Assorted adult outpatient</v>
      </c>
      <c r="G152" s="321" t="str">
        <f>VLOOKUP($E152,TaskValues_ref!$E:$Z,3,FALSE)</f>
        <v>Clinical</v>
      </c>
      <c r="H152" s="321" t="str">
        <f>VLOOKUP($E152,TaskValues_ref!$E:$Z,4,FALSE)</f>
        <v>Acute</v>
      </c>
      <c r="I152" s="321" t="str">
        <f>VLOOKUP($E152,TaskValues_ref!$E:$Z,5,FALSE)</f>
        <v>NCDs</v>
      </c>
      <c r="J152" s="320" t="str">
        <f>VLOOKUP($E152,TaskValues_ref!$E:$Z,6,FALSE)</f>
        <v>adults 18+</v>
      </c>
      <c r="K152" s="321" t="str">
        <f>VLOOKUP($E152,TaskValues_ref!$E:$Z,10,FALSE)</f>
        <v>National</v>
      </c>
      <c r="L152" s="195">
        <f>IF(VLOOKUP($E152,TaskValues_ref!$E:$Z,11,FALSE)=0,"",VLOOKUP($E152,TaskValues_ref!$E:$Z,11,FALSE))</f>
        <v>1</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f>IF(VLOOKUP($E152,TaskValues_ref!$E:$Z,17,FALSE)=0,"",VLOOKUP($E152,TaskValues_ref!$E:$Z,17,FALSE))</f>
        <v>0.2</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35">
      <c r="A153" s="66" t="s">
        <v>2347</v>
      </c>
      <c r="B153" s="66" t="s">
        <v>533</v>
      </c>
      <c r="D153" s="66">
        <v>156</v>
      </c>
      <c r="E153" s="64" t="s">
        <v>2462</v>
      </c>
      <c r="F153" s="319" t="str">
        <f>VLOOKUP(E153,TaskValues_ref!E:F,2,FALSE)</f>
        <v>Surveillance for NTDs</v>
      </c>
      <c r="G153" s="321" t="str">
        <f>VLOOKUP($E153,TaskValues_ref!$E:$Z,3,FALSE)</f>
        <v>Non-productive</v>
      </c>
      <c r="H153" s="321" t="str">
        <f>VLOOKUP($E153,TaskValues_ref!$E:$Z,4,FALSE)</f>
        <v>Public Health</v>
      </c>
      <c r="I153" s="321" t="str">
        <f>VLOOKUP($E153,TaskValues_ref!$E:$Z,5,FALSE)</f>
        <v>-</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2347</v>
      </c>
      <c r="B154" s="66" t="s">
        <v>533</v>
      </c>
      <c r="C154" s="66" t="s">
        <v>2464</v>
      </c>
      <c r="D154" s="66">
        <f t="shared" ref="D154:D173" si="5">D153+1</f>
        <v>157</v>
      </c>
      <c r="E154" s="64" t="str">
        <f t="shared" ref="E154:E173" si="6">_xlfn.CONCAT("DPC.NTD.",D154)</f>
        <v>DPC.NTD.157</v>
      </c>
      <c r="F154" s="319" t="str">
        <f>VLOOKUP(E154,TaskValues_ref!E:F,2,FALSE)</f>
        <v>LF screening &amp; referral</v>
      </c>
      <c r="G154" s="321" t="str">
        <f>VLOOKUP($E154,TaskValues_ref!$E:$Z,3,FALSE)</f>
        <v>Clinical</v>
      </c>
      <c r="H154" s="321" t="str">
        <f>VLOOKUP($E154,TaskValues_ref!$E:$Z,4,FALSE)</f>
        <v>Acute</v>
      </c>
      <c r="I154" s="321" t="str">
        <f>VLOOKUP($E154,TaskValues_ref!$E:$Z,5,FALSE)</f>
        <v>NTDs</v>
      </c>
      <c r="J154" s="320" t="str">
        <f>VLOOKUP($E154,TaskValues_ref!$E:$Z,6,FALSE)</f>
        <v>adults 18+</v>
      </c>
      <c r="K154" s="321" t="str">
        <f>VLOOKUP($E154,TaskValues_ref!$E:$Z,10,FALSE)</f>
        <v>National</v>
      </c>
      <c r="L154" s="195">
        <f>IF(VLOOKUP($E154,TaskValues_ref!$E:$Z,11,FALSE)=0,"",VLOOKUP($E154,TaskValues_ref!$E:$Z,11,FALSE))</f>
        <v>2.0800000000000001E-5</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35">
      <c r="A155" s="66" t="s">
        <v>2347</v>
      </c>
      <c r="B155" s="66" t="s">
        <v>533</v>
      </c>
      <c r="C155" s="66" t="s">
        <v>2464</v>
      </c>
      <c r="D155" s="66">
        <f t="shared" si="5"/>
        <v>158</v>
      </c>
      <c r="E155" s="64" t="str">
        <f t="shared" si="6"/>
        <v>DPC.NTD.158</v>
      </c>
      <c r="F155" s="319" t="str">
        <f>VLOOKUP(E155,TaskValues_ref!E:F,2,FALSE)</f>
        <v>LF MDA</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2347</v>
      </c>
      <c r="B156" s="66" t="s">
        <v>533</v>
      </c>
      <c r="C156" s="66" t="s">
        <v>2464</v>
      </c>
      <c r="D156" s="66">
        <f t="shared" si="5"/>
        <v>159</v>
      </c>
      <c r="E156" s="64" t="str">
        <f t="shared" si="6"/>
        <v>DPC.NTD.159</v>
      </c>
      <c r="F156" s="319" t="str">
        <f>VLOOKUP(E156,TaskValues_ref!E:F,2,FALSE)</f>
        <v>LLINs and IRS</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National</v>
      </c>
      <c r="L156" s="195">
        <f>IF(VLOOKUP($E156,TaskValues_ref!$E:$Z,11,FALSE)=0,"",VLOOKUP($E156,TaskValues_ref!$E:$Z,11,FALSE))</f>
        <v>0.21739130434782611</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5</v>
      </c>
      <c r="R156" t="str">
        <f>IF(VLOOKUP($E156,TaskValues_ref!$E:$Z,19,FALSE)=0,"",VLOOKUP($E156,TaskValues_ref!$E:$Z,19,FALSE))</f>
        <v/>
      </c>
      <c r="S156" t="str">
        <f>IF(VLOOKUP($E156,TaskValues_ref!$E:$Z,20,FALSE)=0,"",VLOOKUP($E156,TaskValues_ref!$E:$Z,20,FALSE))</f>
        <v/>
      </c>
    </row>
    <row r="157" spans="1:19" x14ac:dyDescent="0.35">
      <c r="A157" s="66" t="s">
        <v>2347</v>
      </c>
      <c r="B157" s="66" t="s">
        <v>533</v>
      </c>
      <c r="C157" s="66" t="s">
        <v>411</v>
      </c>
      <c r="D157" s="66">
        <f t="shared" si="5"/>
        <v>160</v>
      </c>
      <c r="E157" s="64" t="str">
        <f t="shared" si="6"/>
        <v>DPC.NTD.160</v>
      </c>
      <c r="F157" s="319" t="str">
        <f>VLOOKUP(E157,TaskValues_ref!E:F,2,FALSE)</f>
        <v>LF behavior change</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National</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2347</v>
      </c>
      <c r="B158" s="66" t="s">
        <v>533</v>
      </c>
      <c r="C158" s="66" t="s">
        <v>415</v>
      </c>
      <c r="D158" s="66">
        <f t="shared" si="5"/>
        <v>161</v>
      </c>
      <c r="E158" s="64" t="str">
        <f t="shared" si="6"/>
        <v>DPC.NTD.161</v>
      </c>
      <c r="F158" s="319" t="str">
        <f>VLOOKUP(E158,TaskValues_ref!E:F,2,FALSE)</f>
        <v>Oncho MDA</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National</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35">
      <c r="A159" s="66" t="s">
        <v>2347</v>
      </c>
      <c r="B159" s="66" t="s">
        <v>533</v>
      </c>
      <c r="C159" s="66" t="s">
        <v>415</v>
      </c>
      <c r="D159" s="66">
        <f t="shared" si="5"/>
        <v>162</v>
      </c>
      <c r="E159" s="64" t="str">
        <f t="shared" si="6"/>
        <v>DPC.NTD.162</v>
      </c>
      <c r="F159" s="319" t="str">
        <f>VLOOKUP(E159,TaskValues_ref!E:F,2,FALSE)</f>
        <v>Oncho behavior change</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National</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35">
      <c r="A160" s="66" t="s">
        <v>2347</v>
      </c>
      <c r="B160" s="66" t="s">
        <v>533</v>
      </c>
      <c r="C160" s="66" t="s">
        <v>415</v>
      </c>
      <c r="D160" s="66">
        <f t="shared" si="5"/>
        <v>163</v>
      </c>
      <c r="E160" s="64" t="str">
        <f t="shared" si="6"/>
        <v>DPC.NTD.163</v>
      </c>
      <c r="F160" s="319" t="str">
        <f>VLOOKUP(E160,TaskValues_ref!E:F,2,FALSE)</f>
        <v>Trachoma behavior change</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National</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2347</v>
      </c>
      <c r="B161" s="66" t="s">
        <v>533</v>
      </c>
      <c r="C161" s="66" t="s">
        <v>415</v>
      </c>
      <c r="D161" s="66">
        <f t="shared" si="5"/>
        <v>164</v>
      </c>
      <c r="E161" s="64" t="str">
        <f t="shared" si="6"/>
        <v>DPC.NTD.164</v>
      </c>
      <c r="F161" s="319" t="str">
        <f>VLOOKUP(E161,TaskValues_ref!E:F,2,FALSE)</f>
        <v>Promote water and sanitation</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National</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2347</v>
      </c>
      <c r="B162" s="66" t="s">
        <v>533</v>
      </c>
      <c r="C162" s="66" t="s">
        <v>415</v>
      </c>
      <c r="D162" s="66">
        <f t="shared" si="5"/>
        <v>165</v>
      </c>
      <c r="E162" s="64" t="str">
        <f t="shared" si="6"/>
        <v>DPC.NTD.165</v>
      </c>
      <c r="F162" s="319" t="str">
        <f>VLOOKUP(E162,TaskValues_ref!E:F,2,FALSE)</f>
        <v>Dx &amp; treat trachoma</v>
      </c>
      <c r="G162" s="321" t="str">
        <f>VLOOKUP($E162,TaskValues_ref!$E:$Z,3,FALSE)</f>
        <v>Clinical</v>
      </c>
      <c r="H162" s="321" t="str">
        <f>VLOOKUP($E162,TaskValues_ref!$E:$Z,4,FALSE)</f>
        <v>Acute</v>
      </c>
      <c r="I162" s="321" t="str">
        <f>VLOOKUP($E162,TaskValues_ref!$E:$Z,5,FALSE)</f>
        <v>NTDs</v>
      </c>
      <c r="J162" s="320" t="str">
        <f>VLOOKUP($E162,TaskValues_ref!$E:$Z,6,FALSE)</f>
        <v>adults 18+</v>
      </c>
      <c r="K162" s="321" t="str">
        <f>VLOOKUP($E162,TaskValues_ref!$E:$Z,10,FALSE)</f>
        <v>National</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35">
      <c r="A163" s="66" t="s">
        <v>2347</v>
      </c>
      <c r="B163" s="66" t="s">
        <v>533</v>
      </c>
      <c r="C163" s="66" t="s">
        <v>2465</v>
      </c>
      <c r="D163" s="66">
        <f t="shared" si="5"/>
        <v>166</v>
      </c>
      <c r="E163" s="64" t="str">
        <f t="shared" si="6"/>
        <v>DPC.NTD.166</v>
      </c>
      <c r="F163" s="319" t="str">
        <f>VLOOKUP(E163,TaskValues_ref!E:F,2,FALSE)</f>
        <v>Trochomatous trichiasis surgery</v>
      </c>
      <c r="G163" s="321" t="str">
        <f>VLOOKUP($E163,TaskValues_ref!$E:$Z,3,FALSE)</f>
        <v>Clinical</v>
      </c>
      <c r="H163" s="321" t="str">
        <f>VLOOKUP($E163,TaskValues_ref!$E:$Z,4,FALSE)</f>
        <v>Acute</v>
      </c>
      <c r="I163" s="321" t="str">
        <f>VLOOKUP($E163,TaskValues_ref!$E:$Z,5,FALSE)</f>
        <v>NTDs</v>
      </c>
      <c r="J163" s="320" t="str">
        <f>VLOOKUP($E163,TaskValues_ref!$E:$Z,6,FALSE)</f>
        <v>adults 18+</v>
      </c>
      <c r="K163" s="321" t="str">
        <f>VLOOKUP($E163,TaskValues_ref!$E:$Z,10,FALSE)</f>
        <v>National</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35">
      <c r="A164" s="66" t="s">
        <v>2347</v>
      </c>
      <c r="B164" s="66" t="s">
        <v>533</v>
      </c>
      <c r="C164" s="66" t="s">
        <v>2465</v>
      </c>
      <c r="D164" s="66">
        <f t="shared" si="5"/>
        <v>167</v>
      </c>
      <c r="E164" s="64" t="str">
        <f t="shared" si="6"/>
        <v>DPC.NTD.167</v>
      </c>
      <c r="F164" s="319" t="str">
        <f>VLOOKUP(E164,TaskValues_ref!E:F,2,FALSE)</f>
        <v>Trachoma MDA</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35">
      <c r="A165" s="66" t="s">
        <v>2347</v>
      </c>
      <c r="B165" s="66" t="s">
        <v>533</v>
      </c>
      <c r="C165" s="66" t="s">
        <v>2466</v>
      </c>
      <c r="D165" s="66">
        <f t="shared" si="5"/>
        <v>168</v>
      </c>
      <c r="E165" s="64" t="str">
        <f t="shared" si="6"/>
        <v>DPC.NTD.168</v>
      </c>
      <c r="F165" s="319" t="str">
        <f>VLOOKUP(E165,TaskValues_ref!E:F,2,FALSE)</f>
        <v>Promote face washing</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2347</v>
      </c>
      <c r="B166" s="66" t="s">
        <v>533</v>
      </c>
      <c r="C166" s="66" t="s">
        <v>2466</v>
      </c>
      <c r="D166" s="66">
        <f t="shared" si="5"/>
        <v>169</v>
      </c>
      <c r="E166" s="64" t="str">
        <f t="shared" si="6"/>
        <v>DPC.NTD.169</v>
      </c>
      <c r="F166" s="319" t="str">
        <f>VLOOKUP(E166,TaskValues_ref!E:F,2,FALSE)</f>
        <v>Schisto behavior change</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2347</v>
      </c>
      <c r="B167" s="66" t="s">
        <v>533</v>
      </c>
      <c r="C167" s="66" t="s">
        <v>2245</v>
      </c>
      <c r="D167" s="66">
        <f t="shared" si="5"/>
        <v>170</v>
      </c>
      <c r="E167" s="64" t="str">
        <f t="shared" si="6"/>
        <v>DPC.NTD.170</v>
      </c>
      <c r="F167" s="319" t="str">
        <f>VLOOKUP(E167,TaskValues_ref!E:F,2,FALSE)</f>
        <v>Snail control</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35">
      <c r="A168" s="66" t="s">
        <v>2347</v>
      </c>
      <c r="B168" s="66" t="s">
        <v>533</v>
      </c>
      <c r="C168" s="66" t="s">
        <v>2245</v>
      </c>
      <c r="D168" s="66">
        <f t="shared" si="5"/>
        <v>171</v>
      </c>
      <c r="E168" s="64" t="str">
        <f t="shared" si="6"/>
        <v>DPC.NTD.171</v>
      </c>
      <c r="F168" s="319" t="str">
        <f>VLOOKUP(E168,TaskValues_ref!E:F,2,FALSE)</f>
        <v>Schisto MDA</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National</v>
      </c>
      <c r="L168" s="195">
        <f>IF(VLOOKUP($E168,TaskValues_ref!$E:$Z,11,FALSE)=0,"",VLOOKUP($E168,TaskValues_ref!$E:$Z,11,FALSE))</f>
        <v>0.21739130434782611</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5</v>
      </c>
      <c r="R168" t="str">
        <f>IF(VLOOKUP($E168,TaskValues_ref!$E:$Z,19,FALSE)=0,"",VLOOKUP($E168,TaskValues_ref!$E:$Z,19,FALSE))</f>
        <v/>
      </c>
      <c r="S168" t="str">
        <f>IF(VLOOKUP($E168,TaskValues_ref!$E:$Z,20,FALSE)=0,"",VLOOKUP($E168,TaskValues_ref!$E:$Z,20,FALSE))</f>
        <v/>
      </c>
    </row>
    <row r="169" spans="1:19" x14ac:dyDescent="0.35">
      <c r="A169" s="66" t="s">
        <v>2347</v>
      </c>
      <c r="B169" s="66" t="s">
        <v>533</v>
      </c>
      <c r="C169" s="66" t="s">
        <v>2467</v>
      </c>
      <c r="D169" s="66">
        <f t="shared" si="5"/>
        <v>172</v>
      </c>
      <c r="E169" s="64" t="str">
        <f t="shared" si="6"/>
        <v>DPC.NTD.172</v>
      </c>
      <c r="F169" s="319" t="str">
        <f>VLOOKUP(E169,TaskValues_ref!E:F,2,FALSE)</f>
        <v>STH behavior change</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35">
      <c r="A170" s="66" t="s">
        <v>2347</v>
      </c>
      <c r="B170" s="66" t="s">
        <v>533</v>
      </c>
      <c r="C170" s="66" t="s">
        <v>2467</v>
      </c>
      <c r="D170" s="66">
        <f t="shared" si="5"/>
        <v>173</v>
      </c>
      <c r="E170" s="64" t="str">
        <f t="shared" si="6"/>
        <v>DPC.NTD.173</v>
      </c>
      <c r="F170" s="319" t="str">
        <f>VLOOKUP(E170,TaskValues_ref!E:F,2,FALSE)</f>
        <v>STH MDA</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National</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2347</v>
      </c>
      <c r="B171" s="66" t="s">
        <v>533</v>
      </c>
      <c r="C171" s="66" t="s">
        <v>2467</v>
      </c>
      <c r="D171" s="66">
        <f t="shared" si="5"/>
        <v>174</v>
      </c>
      <c r="E171" s="64" t="str">
        <f t="shared" si="6"/>
        <v>DPC.NTD.174</v>
      </c>
      <c r="F171" s="319" t="str">
        <f>VLOOKUP(E171,TaskValues_ref!E:F,2,FALSE)</f>
        <v>STH dx &amp; treat in pregnancy</v>
      </c>
      <c r="G171" s="321" t="str">
        <f>VLOOKUP($E171,TaskValues_ref!$E:$Z,3,FALSE)</f>
        <v>Clinical</v>
      </c>
      <c r="H171" s="321" t="str">
        <f>VLOOKUP($E171,TaskValues_ref!$E:$Z,4,FALSE)</f>
        <v>Acute</v>
      </c>
      <c r="I171" s="321" t="str">
        <f>VLOOKUP($E171,TaskValues_ref!$E:$Z,5,FALSE)</f>
        <v>NTDs</v>
      </c>
      <c r="J171" s="320" t="str">
        <f>VLOOKUP($E171,TaskValues_ref!$E:$Z,6,FALSE)</f>
        <v>women 15-49</v>
      </c>
      <c r="K171" s="321" t="str">
        <f>VLOOKUP($E171,TaskValues_ref!$E:$Z,10,FALSE)</f>
        <v>National</v>
      </c>
      <c r="L171" s="195">
        <f>IF(VLOOKUP($E171,TaskValues_ref!$E:$Z,11,FALSE)=0,"",VLOOKUP($E171,TaskValues_ref!$E:$Z,11,FALSE))</f>
        <v>0.33</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2347</v>
      </c>
      <c r="B172" s="66" t="s">
        <v>533</v>
      </c>
      <c r="C172" s="66" t="s">
        <v>2493</v>
      </c>
      <c r="D172" s="66">
        <f t="shared" si="5"/>
        <v>175</v>
      </c>
      <c r="E172" s="64" t="str">
        <f t="shared" si="6"/>
        <v>DPC.NTD.175</v>
      </c>
      <c r="F172" s="319" t="str">
        <f>VLOOKUP(E172,TaskValues_ref!E:F,2,FALSE)</f>
        <v>Scabies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National</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2347</v>
      </c>
      <c r="B173" s="66" t="s">
        <v>533</v>
      </c>
      <c r="C173" s="66" t="s">
        <v>2493</v>
      </c>
      <c r="D173" s="66">
        <f t="shared" si="5"/>
        <v>176</v>
      </c>
      <c r="E173" s="64" t="str">
        <f t="shared" si="6"/>
        <v>DPC.NTD.176</v>
      </c>
      <c r="F173" s="319" t="str">
        <f>VLOOKUP(E173,TaskValues_ref!E:F,2,FALSE)</f>
        <v>Scabies MDA</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National</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2495</v>
      </c>
      <c r="D174" s="66" t="s">
        <v>2497</v>
      </c>
      <c r="E174" s="64" t="s">
        <v>2636</v>
      </c>
      <c r="F174" s="319" t="str">
        <f>VLOOKUP(E174,TaskValues_ref!E:F,2,FALSE)</f>
        <v>Model household program</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National</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7</v>
      </c>
      <c r="S174" t="str">
        <f>IF(VLOOKUP($E174,TaskValues_ref!$E:$Z,20,FALSE)=0,"",VLOOKUP($E174,TaskValues_ref!$E:$Z,20,FALSE))</f>
        <v/>
      </c>
    </row>
    <row r="175" spans="1:19" x14ac:dyDescent="0.35">
      <c r="A175" s="66" t="s">
        <v>2498</v>
      </c>
      <c r="D175" s="66" t="s">
        <v>2499</v>
      </c>
      <c r="E175" s="64" t="s">
        <v>2637</v>
      </c>
      <c r="F175" s="319" t="str">
        <f>VLOOKUP(E175,TaskValues_ref!E:F,2,FALSE)</f>
        <v>Model household program</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National</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7</v>
      </c>
      <c r="S175" t="str">
        <f>IF(VLOOKUP($E175,TaskValues_ref!$E:$Z,20,FALSE)=0,"",VLOOKUP($E175,TaskValues_ref!$E:$Z,20,FALSE))</f>
        <v/>
      </c>
    </row>
    <row r="176" spans="1:19" x14ac:dyDescent="0.35">
      <c r="A176" s="319" t="s">
        <v>1958</v>
      </c>
      <c r="E176" s="64" t="s">
        <v>1958</v>
      </c>
      <c r="F176" s="319" t="str">
        <f>VLOOKUP(E176,TaskValues_ref!E:F,2,FALSE)</f>
        <v>Record keeping</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National</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1</v>
      </c>
      <c r="O176">
        <f>IF(VLOOKUP($E176,TaskValues_ref!$E:$Z,16,FALSE)=0,"",VLOOKUP($E176,TaskValues_ref!$E:$Z,16,FALSE))</f>
        <v>1</v>
      </c>
      <c r="P176" t="str">
        <f>IF(VLOOKUP($E176,TaskValues_ref!$E:$Z,17,FALSE)=0,"",VLOOKUP($E176,TaskValues_ref!$E:$Z,17,FALSE))</f>
        <v/>
      </c>
      <c r="Q176">
        <f>IF(VLOOKUP($E176,TaskValues_ref!$E:$Z,18,FALSE)=0,"",VLOOKUP($E176,TaskValues_ref!$E:$Z,18,FALSE))</f>
        <v>45.844447190612613</v>
      </c>
      <c r="R176" t="str">
        <f>IF(VLOOKUP($E176,TaskValues_ref!$E:$Z,19,FALSE)=0,"",VLOOKUP($E176,TaskValues_ref!$E:$Z,19,FALSE))</f>
        <v/>
      </c>
      <c r="S176" t="str">
        <f>IF(VLOOKUP($E176,TaskValues_ref!$E:$Z,20,FALSE)=0,"",VLOOKUP($E176,TaskValues_ref!$E:$Z,20,FALSE))</f>
        <v/>
      </c>
    </row>
    <row r="177" spans="1:19" x14ac:dyDescent="0.35">
      <c r="A177" s="66" t="s">
        <v>2781</v>
      </c>
      <c r="E177" s="66" t="s">
        <v>2781</v>
      </c>
      <c r="F177" s="319" t="str">
        <f>VLOOKUP(E177,TaskValues_ref!E:F,2,FALSE)</f>
        <v>Test additional</v>
      </c>
      <c r="K177" s="321" t="str">
        <f>VLOOKUP($E177,TaskValues_ref!$E:$Z,10,FALSE)</f>
        <v>National</v>
      </c>
      <c r="S177">
        <v>1E-3</v>
      </c>
    </row>
    <row r="178" spans="1:19" x14ac:dyDescent="0.35">
      <c r="A178" s="66" t="s">
        <v>192</v>
      </c>
      <c r="E178" s="64" t="s">
        <v>2804</v>
      </c>
      <c r="F178" s="319" t="str">
        <f>VLOOKUP(E178,TaskValues_ref!E:F,2,FALSE)</f>
        <v>Travel HEH</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National</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1:19" x14ac:dyDescent="0.35">
      <c r="A179" s="66" t="s">
        <v>192</v>
      </c>
      <c r="E179" s="64" t="s">
        <v>2805</v>
      </c>
      <c r="F179" s="319" t="str">
        <f>VLOOKUP(E179,TaskValues_ref!E:F,2,FALSE)</f>
        <v>Travel HEP</v>
      </c>
      <c r="G179" s="321" t="str">
        <f>VLOOKUP($E179,TaskValues_ref!$E:$Z,3,FALSE)</f>
        <v>Non-productive</v>
      </c>
      <c r="H179" s="321" t="str">
        <f>VLOOKUP($E179,TaskValues_ref!$E:$Z,4,FALSE)</f>
        <v>-</v>
      </c>
      <c r="I179" s="321" t="str">
        <f>VLOOKUP($E179,TaskValues_ref!$E:$Z,5,FALSE)</f>
        <v>-</v>
      </c>
      <c r="J179" s="320" t="str">
        <f>VLOOKUP($E179,TaskValues_ref!$E:$Z,6,FALSE)</f>
        <v>all</v>
      </c>
      <c r="K179" s="321" t="str">
        <f>VLOOKUP($E179,TaskValues_ref!$E:$Z,10,FALSE)</f>
        <v>National</v>
      </c>
      <c r="L179" s="195">
        <f>IF(VLOOKUP($E179,TaskValues_ref!$E:$Z,11,FALSE)=0,"",VLOOKUP($E179,TaskValues_ref!$E:$Z,11,FALSE))</f>
        <v>0.05</v>
      </c>
      <c r="M179" s="321" t="str">
        <f>IF(VLOOKUP($E179,TaskValues_ref!$E:$Z,13,FALSE)=0,"",VLOOKUP($E179,TaskValues_ref!$E:$Z,13,FALSE))</f>
        <v/>
      </c>
      <c r="N179" s="89">
        <f>IF(VLOOKUP($E179,TaskValues_ref!$E:$Z,15,FALSE)=0,"",VLOOKUP($E179,TaskValues_ref!$E:$Z,15,FALSE))</f>
        <v>0.98</v>
      </c>
      <c r="O179">
        <f>IF(VLOOKUP($E179,TaskValues_ref!$E:$Z,16,FALSE)=0,"",VLOOKUP($E179,TaskValues_ref!$E:$Z,16,FALSE))</f>
        <v>1</v>
      </c>
      <c r="P179" t="str">
        <f>IF(VLOOKUP($E179,TaskValues_ref!$E:$Z,17,FALSE)=0,"",VLOOKUP($E179,TaskValues_ref!$E:$Z,17,FALSE))</f>
        <v/>
      </c>
      <c r="Q179">
        <f>IF(VLOOKUP($E179,TaskValues_ref!$E:$Z,18,FALSE)=0,"",VLOOKUP($E179,TaskValues_ref!$E:$Z,18,FALSE))</f>
        <v>53.832494807158753</v>
      </c>
      <c r="R179" t="str">
        <f>IF(VLOOKUP($E179,TaskValues_ref!$E:$Z,19,FALSE)=0,"",VLOOKUP($E179,TaskValues_ref!$E:$Z,19,FALSE))</f>
        <v/>
      </c>
      <c r="S179" t="str">
        <f>IF(VLOOKUP($E179,TaskValues_ref!$E:$Z,20,FALSE)=0,"",VLOOKUP($E179,TaskValues_ref!$E:$Z,20,FALSE))</f>
        <v/>
      </c>
    </row>
    <row r="180" spans="1:19" x14ac:dyDescent="0.35">
      <c r="E180" s="64" t="s">
        <v>2822</v>
      </c>
      <c r="F180" s="321" t="s">
        <v>2828</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National</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1:19" x14ac:dyDescent="0.35">
      <c r="E181" s="64" t="s">
        <v>2823</v>
      </c>
      <c r="F181" s="321" t="s">
        <v>2829</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National</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1:19" x14ac:dyDescent="0.35">
      <c r="E182" s="64" t="s">
        <v>2824</v>
      </c>
      <c r="F182" s="321" t="s">
        <v>2830</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National</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1:19" x14ac:dyDescent="0.35">
      <c r="E183" s="64" t="s">
        <v>2825</v>
      </c>
      <c r="F183" s="321" t="s">
        <v>2831</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National</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35">
      <c r="E184" s="64" t="s">
        <v>2826</v>
      </c>
      <c r="F184" s="321" t="s">
        <v>2832</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National</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35">
      <c r="E185" s="64" t="s">
        <v>2827</v>
      </c>
      <c r="F185" s="321" t="s">
        <v>2833</v>
      </c>
      <c r="G185" s="321" t="str">
        <f>VLOOKUP($E185,TaskValues_ref!$E:$Z,3,FALSE)</f>
        <v>Non-productive</v>
      </c>
      <c r="H185" s="321" t="str">
        <f>VLOOKUP($E185,TaskValues_ref!$E:$Z,4,FALSE)</f>
        <v>-</v>
      </c>
      <c r="I185" s="321" t="str">
        <f>VLOOKUP($E185,TaskValues_ref!$E:$Z,5,FALSE)</f>
        <v>-</v>
      </c>
      <c r="J185" s="320" t="str">
        <f>VLOOKUP($E185,TaskValues_ref!$E:$Z,6,FALSE)</f>
        <v>-</v>
      </c>
      <c r="K185" s="321" t="str">
        <f>VLOOKUP($E185,TaskValues_ref!$E:$Z,10,FALSE)</f>
        <v>National</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H177 H186:H406</xm:sqref>
        </x14:dataValidation>
        <x14:dataValidation type="list" allowBlank="1" showInputMessage="1" showErrorMessage="1" xr:uid="{C778851C-6D51-4973-BEA4-95ED53345D6A}">
          <x14:formula1>
            <xm:f>lookups!$D$2:$D$15</xm:f>
          </x14:formula1>
          <xm:sqref>I177 I186:I505</xm:sqref>
        </x14:dataValidation>
        <x14:dataValidation type="list" allowBlank="1" showInputMessage="1" showErrorMessage="1" xr:uid="{44980E56-DBE4-4B18-A93C-99BBAF388053}">
          <x14:formula1>
            <xm:f>lookups!$F$2:$F$24</xm:f>
          </x14:formula1>
          <xm:sqref>J2:J1048576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9"/>
  <sheetViews>
    <sheetView zoomScale="60" zoomScaleNormal="60" workbookViewId="0">
      <pane ySplit="1" topLeftCell="A141" activePane="bottomLeft" state="frozen"/>
      <selection activeCell="O195" sqref="O195"/>
      <selection pane="bottomLeft" activeCell="A166" sqref="A166:XFD169"/>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25" t="s">
        <v>2787</v>
      </c>
      <c r="B1" s="325" t="s">
        <v>2788</v>
      </c>
      <c r="C1" s="325" t="s">
        <v>1017</v>
      </c>
      <c r="D1" s="325" t="s">
        <v>2789</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2191</v>
      </c>
      <c r="D4" s="353">
        <v>7</v>
      </c>
      <c r="E4" s="64" t="s">
        <v>2197</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5" t="s">
        <v>2169</v>
      </c>
      <c r="B5" s="355" t="s">
        <v>2170</v>
      </c>
      <c r="C5" s="356" t="s">
        <v>2191</v>
      </c>
      <c r="D5" s="353">
        <v>9</v>
      </c>
      <c r="E5" s="64" t="s">
        <v>2199</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5" t="s">
        <v>2169</v>
      </c>
      <c r="B6" s="355" t="s">
        <v>2170</v>
      </c>
      <c r="C6" s="356" t="s">
        <v>2191</v>
      </c>
      <c r="D6" s="353">
        <v>11</v>
      </c>
      <c r="E6" s="64" t="s">
        <v>2208</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National</v>
      </c>
      <c r="L6" s="195">
        <f>IF(VLOOKUP($E6,TaskValues_ref!$E:$Z,11,FALSE)=0,"",VLOOKUP($E6,TaskValues_ref!$E:$Z,11,FALSE))</f>
        <v>0.16600000000000001</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5" t="s">
        <v>2169</v>
      </c>
      <c r="B7" s="355" t="s">
        <v>2170</v>
      </c>
      <c r="C7" s="356" t="s">
        <v>2212</v>
      </c>
      <c r="D7" s="353">
        <v>12</v>
      </c>
      <c r="E7" s="64" t="s">
        <v>2213</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National</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2212</v>
      </c>
      <c r="D8" s="353">
        <v>13</v>
      </c>
      <c r="E8" s="64" t="s">
        <v>2779</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National</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2169</v>
      </c>
      <c r="B9" s="355" t="s">
        <v>2170</v>
      </c>
      <c r="C9" s="356" t="s">
        <v>2212</v>
      </c>
      <c r="D9" s="353">
        <v>14</v>
      </c>
      <c r="E9" s="64" t="s">
        <v>2780</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National</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2169</v>
      </c>
      <c r="B10" s="356" t="s">
        <v>2219</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5" t="s">
        <v>2169</v>
      </c>
      <c r="B11" s="356" t="s">
        <v>2219</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5" t="s">
        <v>2169</v>
      </c>
      <c r="B12" s="356" t="s">
        <v>2219</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5" t="s">
        <v>2169</v>
      </c>
      <c r="B13" s="356" t="s">
        <v>2219</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National</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6" t="s">
        <v>2219</v>
      </c>
      <c r="C14" s="356"/>
      <c r="D14" s="353">
        <v>19</v>
      </c>
      <c r="E14" s="64" t="s">
        <v>2231</v>
      </c>
      <c r="F14" s="319" t="str">
        <f>VLOOKUP(E14,TaskValues_ref!E:F,2,FALSE)</f>
        <v>Pneumonia/fever</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2169</v>
      </c>
      <c r="B15" s="356" t="s">
        <v>2219</v>
      </c>
      <c r="C15" s="356"/>
      <c r="D15" s="353">
        <v>19</v>
      </c>
      <c r="E15" s="64" t="s">
        <v>2233</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5" t="s">
        <v>2169</v>
      </c>
      <c r="B16" s="356" t="s">
        <v>2219</v>
      </c>
      <c r="C16" s="356"/>
      <c r="D16" s="353">
        <v>19</v>
      </c>
      <c r="E16" s="64" t="s">
        <v>2234</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National</v>
      </c>
      <c r="L16" s="195">
        <f>IF(VLOOKUP($E16,TaskValues_ref!$E:$Z,11,FALSE)=0,"",VLOOKUP($E16,TaskValues_ref!$E:$Z,11,FALSE))</f>
        <v>0.46089999999999998</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5" t="s">
        <v>2169</v>
      </c>
      <c r="B17" s="356" t="s">
        <v>2219</v>
      </c>
      <c r="C17" s="356"/>
      <c r="D17" s="353">
        <v>21</v>
      </c>
      <c r="E17" s="64" t="s">
        <v>2232</v>
      </c>
      <c r="F17" s="319" t="str">
        <f>VLOOKUP(E17,TaskValues_ref!E:F,2,FALSE)</f>
        <v>Well child check &amp; growth monitoring</v>
      </c>
      <c r="G17" s="321" t="str">
        <f>VLOOKUP($E17,TaskValues_ref!$E:$Z,3,FALSE)</f>
        <v>Clinical</v>
      </c>
      <c r="H17" s="321" t="str">
        <f>VLOOKUP($E17,TaskValues_ref!$E:$Z,4,FALSE)</f>
        <v>Preventive</v>
      </c>
      <c r="I17" s="321" t="str">
        <f>VLOOKUP($E17,TaskValues_ref!$E:$Z,5,FALSE)</f>
        <v>Nutrition</v>
      </c>
      <c r="J17" s="320" t="str">
        <f>VLOOKUP($E17,TaskValues_ref!$E:$Z,6,FALSE)</f>
        <v>1-4</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f>IF(VLOOKUP($E17,TaskValues_ref!$E:$Z,16,FALSE)=0,"",VLOOKUP($E17,TaskValues_ref!$E:$Z,16,FALSE))</f>
        <v>3</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5" t="s">
        <v>2169</v>
      </c>
      <c r="B18" s="356" t="s">
        <v>2219</v>
      </c>
      <c r="C18" s="356"/>
      <c r="D18" s="353">
        <v>21</v>
      </c>
      <c r="E18" s="64" t="str">
        <f t="shared" ref="E18:E25" si="0">_xlfn.CONCAT("FH.MN.",D18)</f>
        <v>FH.MN.21</v>
      </c>
      <c r="F18" s="319" t="str">
        <f>VLOOKUP(E18,TaskValues_ref!E:F,2,FALSE)</f>
        <v>Treat severe malnutrition</v>
      </c>
      <c r="G18" s="321" t="str">
        <f>VLOOKUP($E18,TaskValues_ref!$E:$Z,3,FALSE)</f>
        <v>Clinical</v>
      </c>
      <c r="H18" s="321" t="str">
        <f>VLOOKUP($E18,TaskValues_ref!$E:$Z,4,FALSE)</f>
        <v>Acute</v>
      </c>
      <c r="I18" s="321" t="str">
        <f>VLOOKUP($E18,TaskValues_ref!$E:$Z,5,FALSE)</f>
        <v>Nutrition</v>
      </c>
      <c r="J18" s="320" t="str">
        <f>VLOOKUP($E18,TaskValues_ref!$E:$Z,6,FALSE)</f>
        <v>1-4</v>
      </c>
      <c r="K18" s="321" t="str">
        <f>VLOOKUP($E18,TaskValues_ref!$E:$Z,10,FALSE)</f>
        <v>National</v>
      </c>
      <c r="L18" s="195">
        <f>IF(VLOOKUP($E18,TaskValues_ref!$E:$Z,11,FALSE)=0,"",VLOOKUP($E18,TaskValues_ref!$E:$Z,11,FALSE))</f>
        <v>4.8500000000000001E-2</v>
      </c>
      <c r="M18" s="321" t="str">
        <f>IF(VLOOKUP($E18,TaskValues_ref!$E:$Z,13,FALSE)=0,"",VLOOKUP($E18,TaskValues_ref!$E:$Z,13,FALSE))</f>
        <v/>
      </c>
      <c r="N18" s="89">
        <f>IF(VLOOKUP($E18,TaskValues_ref!$E:$Z,15,FALSE)=0,"",VLOOKUP($E18,TaskValues_ref!$E:$Z,15,FALSE))</f>
        <v>0.98</v>
      </c>
      <c r="O18">
        <f>IF(VLOOKUP($E18,TaskValues_ref!$E:$Z,16,FALSE)=0,"",VLOOKUP($E18,TaskValues_ref!$E:$Z,16,FALSE))</f>
        <v>4</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5" t="s">
        <v>2169</v>
      </c>
      <c r="B19" s="356" t="s">
        <v>2219</v>
      </c>
      <c r="C19" s="356"/>
      <c r="D19" s="353">
        <v>22</v>
      </c>
      <c r="E19" s="64" t="str">
        <f t="shared" si="0"/>
        <v>FH.MN.22</v>
      </c>
      <c r="F19" s="319" t="str">
        <f>VLOOKUP(E19,TaskValues_ref!E:F,2,FALSE)</f>
        <v>Treat moderate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National</v>
      </c>
      <c r="L19" s="195">
        <f>IF(VLOOKUP($E19,TaskValues_ref!$E:$Z,11,FALSE)=0,"",VLOOKUP($E19,TaskValues_ref!$E:$Z,11,FALSE))</f>
        <v>0.48499999999999999</v>
      </c>
      <c r="M19" s="321" t="str">
        <f>IF(VLOOKUP($E19,TaskValues_ref!$E:$Z,13,FALSE)=0,"",VLOOKUP($E19,TaskValues_ref!$E:$Z,13,FALSE))</f>
        <v/>
      </c>
      <c r="N19" s="89">
        <f>IF(VLOOKUP($E19,TaskValues_ref!$E:$Z,15,FALSE)=0,"",VLOOKUP($E19,TaskValues_ref!$E:$Z,15,FALSE))</f>
        <v>0.98</v>
      </c>
      <c r="O19">
        <f>IF(VLOOKUP($E19,TaskValues_ref!$E:$Z,16,FALSE)=0,"",VLOOKUP($E19,TaskValues_ref!$E:$Z,16,FALSE))</f>
        <v>2</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2169</v>
      </c>
      <c r="B20" s="356" t="s">
        <v>2219</v>
      </c>
      <c r="C20" s="356"/>
      <c r="D20" s="353">
        <v>23</v>
      </c>
      <c r="E20" s="64" t="str">
        <f t="shared" si="0"/>
        <v>FH.MN.23</v>
      </c>
      <c r="F20" s="319" t="str">
        <f>VLOOKUP(E20,TaskValues_ref!E:F,2,FALSE)</f>
        <v>Deworming &amp; VitA</v>
      </c>
      <c r="G20" s="321" t="str">
        <f>VLOOKUP($E20,TaskValues_ref!$E:$Z,3,FALSE)</f>
        <v>Clinical</v>
      </c>
      <c r="H20" s="321" t="str">
        <f>VLOOKUP($E20,TaskValues_ref!$E:$Z,4,FALSE)</f>
        <v>Preventive</v>
      </c>
      <c r="I20" s="321" t="str">
        <f>VLOOKUP($E20,TaskValues_ref!$E:$Z,5,FALSE)</f>
        <v>Nutrition</v>
      </c>
      <c r="J20" s="320" t="str">
        <f>VLOOKUP($E20,TaskValues_ref!$E:$Z,6,FALSE)</f>
        <v>1-4</v>
      </c>
      <c r="K20" s="321" t="str">
        <f>VLOOKUP($E20,TaskValues_ref!$E:$Z,10,FALSE)</f>
        <v>National</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t="str">
        <f>IF(VLOOKUP($E20,TaskValues_ref!$E:$Z,16,FALSE)=0,"",VLOOKUP($E20,TaskValues_ref!$E:$Z,16,FALSE))</f>
        <v/>
      </c>
      <c r="P20">
        <f>IF(VLOOKUP($E20,TaskValues_ref!$E:$Z,17,FALSE)=0,"",VLOOKUP($E20,TaskValues_ref!$E:$Z,17,FALSE))</f>
        <v>2</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2219</v>
      </c>
      <c r="C21" s="356"/>
      <c r="D21" s="353">
        <v>24</v>
      </c>
      <c r="E21" s="64" t="str">
        <f t="shared" si="0"/>
        <v>FH.MN.24</v>
      </c>
      <c r="F21" s="319" t="str">
        <f>VLOOKUP(E21,TaskValues_ref!E:F,2,FALSE)</f>
        <v>Paediatric palliative</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3.5500000000000006E-3</v>
      </c>
      <c r="M21" s="321" t="str">
        <f>IF(VLOOKUP($E21,TaskValues_ref!$E:$Z,13,FALSE)=0,"",VLOOKUP($E21,TaskValues_ref!$E:$Z,13,FALSE))</f>
        <v/>
      </c>
      <c r="N21" s="89">
        <f>IF(VLOOKUP($E21,TaskValues_ref!$E:$Z,15,FALSE)=0,"",VLOOKUP($E21,TaskValues_ref!$E:$Z,15,FALSE))</f>
        <v>0.95480225988700573</v>
      </c>
      <c r="O21">
        <f>IF(VLOOKUP($E21,TaskValues_ref!$E:$Z,16,FALSE)=0,"",VLOOKUP($E21,TaskValues_ref!$E:$Z,16,FALSE))</f>
        <v>1</v>
      </c>
      <c r="P21" t="str">
        <f>IF(VLOOKUP($E21,TaskValues_ref!$E:$Z,17,FALSE)=0,"",VLOOKUP($E21,TaskValues_ref!$E:$Z,17,FALSE))</f>
        <v/>
      </c>
      <c r="Q21">
        <f>IF(VLOOKUP($E21,TaskValues_ref!$E:$Z,18,FALSE)=0,"",VLOOKUP($E21,TaskValues_ref!$E:$Z,18,FALSE))</f>
        <v>15</v>
      </c>
      <c r="R21" t="str">
        <f>IF(VLOOKUP($E21,TaskValues_ref!$E:$Z,19,FALSE)=0,"",VLOOKUP($E21,TaskValues_ref!$E:$Z,19,FALSE))</f>
        <v/>
      </c>
      <c r="S21" t="str">
        <f>IF(VLOOKUP($E21,TaskValues_ref!$E:$Z,20,FALSE)=0,"",VLOOKUP($E21,TaskValues_ref!$E:$Z,20,FALSE))</f>
        <v/>
      </c>
    </row>
    <row r="22" spans="1:19" x14ac:dyDescent="0.35">
      <c r="A22" s="355" t="s">
        <v>2169</v>
      </c>
      <c r="B22" s="356" t="s">
        <v>2219</v>
      </c>
      <c r="C22" s="356"/>
      <c r="D22" s="353">
        <v>25</v>
      </c>
      <c r="E22" s="64" t="str">
        <f t="shared" si="0"/>
        <v>FH.MN.25</v>
      </c>
      <c r="F22" s="319" t="str">
        <f>VLOOKUP(E22,TaskValues_ref!E:F,2,FALSE)</f>
        <v>Pharyngitis, tonsillitis, sinusitis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National</v>
      </c>
      <c r="L22" s="195" t="str">
        <f>IF(VLOOKUP($E22,TaskValues_ref!$E:$Z,11,FALSE)=0,"",VLOOKUP($E22,TaskValues_ref!$E:$Z,11,FALSE))</f>
        <v/>
      </c>
      <c r="M22" s="321" t="str">
        <f>IF(VLOOKUP($E22,TaskValues_ref!$E:$Z,13,FALSE)=0,"",VLOOKUP($E22,TaskValues_ref!$E:$Z,13,FALSE))</f>
        <v/>
      </c>
      <c r="N22" s="89">
        <f>IF(VLOOKUP($E22,TaskValues_ref!$E:$Z,15,FALSE)=0,"",VLOOKUP($E22,TaskValues_ref!$E:$Z,15,FALSE))</f>
        <v>0.98</v>
      </c>
      <c r="O22">
        <f>IF(VLOOKUP($E22,TaskValues_ref!$E:$Z,16,FALSE)=0,"",VLOOKUP($E22,TaskValues_ref!$E:$Z,16,FALSE))</f>
        <v>1</v>
      </c>
      <c r="P22" t="str">
        <f>IF(VLOOKUP($E22,TaskValues_ref!$E:$Z,17,FALSE)=0,"",VLOOKUP($E22,TaskValues_ref!$E:$Z,17,FALSE))</f>
        <v/>
      </c>
      <c r="Q22">
        <f>IF(VLOOKUP($E22,TaskValues_ref!$E:$Z,18,FALSE)=0,"",VLOOKUP($E22,TaskValues_ref!$E:$Z,18,FALSE))</f>
        <v>10</v>
      </c>
      <c r="R22" t="str">
        <f>IF(VLOOKUP($E22,TaskValues_ref!$E:$Z,19,FALSE)=0,"",VLOOKUP($E22,TaskValues_ref!$E:$Z,19,FALSE))</f>
        <v/>
      </c>
      <c r="S22" t="str">
        <f>IF(VLOOKUP($E22,TaskValues_ref!$E:$Z,20,FALSE)=0,"",VLOOKUP($E22,TaskValues_ref!$E:$Z,20,FALSE))</f>
        <v/>
      </c>
    </row>
    <row r="23" spans="1:19" x14ac:dyDescent="0.35">
      <c r="A23" s="355" t="s">
        <v>2169</v>
      </c>
      <c r="B23" s="356" t="s">
        <v>2219</v>
      </c>
      <c r="C23" s="356"/>
      <c r="D23" s="353">
        <v>28</v>
      </c>
      <c r="E23" s="64" t="str">
        <f t="shared" si="0"/>
        <v>FH.MN.28</v>
      </c>
      <c r="F23" s="319" t="str">
        <f>VLOOKUP(E23,TaskValues_ref!E:F,2,FALSE)</f>
        <v>Scabies</v>
      </c>
      <c r="G23" s="321" t="str">
        <f>VLOOKUP($E23,TaskValues_ref!$E:$Z,3,FALSE)</f>
        <v>Clinical</v>
      </c>
      <c r="H23" s="321" t="str">
        <f>VLOOKUP($E23,TaskValues_ref!$E:$Z,4,FALSE)</f>
        <v>Acute</v>
      </c>
      <c r="I23" s="321" t="str">
        <f>VLOOKUP($E23,TaskValues_ref!$E:$Z,5,FALSE)</f>
        <v>Sick child</v>
      </c>
      <c r="J23" s="320" t="str">
        <f>VLOOKUP($E23,TaskValues_ref!$E:$Z,6,FALSE)</f>
        <v>15 yo</v>
      </c>
      <c r="K23" s="321" t="str">
        <f>VLOOKUP($E23,TaskValues_ref!$E:$Z,10,FALSE)</f>
        <v>National</v>
      </c>
      <c r="L23" s="195">
        <f>IF(VLOOKUP($E23,TaskValues_ref!$E:$Z,11,FALSE)=0,"",VLOOKUP($E23,TaskValues_ref!$E:$Z,11,FALSE))</f>
        <v>0.14499999999999999</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2169</v>
      </c>
      <c r="B24" s="356" t="s">
        <v>2219</v>
      </c>
      <c r="C24" s="356"/>
      <c r="D24" s="353">
        <v>29</v>
      </c>
      <c r="E24" s="64" t="str">
        <f t="shared" si="0"/>
        <v>FH.MN.29</v>
      </c>
      <c r="F24" s="319" t="str">
        <f>VLOOKUP(E24,TaskValues_ref!E:F,2,FALSE)</f>
        <v>Child abuse</v>
      </c>
      <c r="G24" s="321" t="str">
        <f>VLOOKUP($E24,TaskValues_ref!$E:$Z,3,FALSE)</f>
        <v>Non-clinical</v>
      </c>
      <c r="H24" s="321" t="str">
        <f>VLOOKUP($E24,TaskValues_ref!$E:$Z,4,FALSE)</f>
        <v>Public Health</v>
      </c>
      <c r="I24" s="321" t="str">
        <f>VLOOKUP($E24,TaskValues_ref!$E:$Z,5,FALSE)</f>
        <v>-</v>
      </c>
      <c r="J24" s="320" t="str">
        <f>VLOOKUP($E24,TaskValues_ref!$E:$Z,6,FALSE)</f>
        <v>18 yo adults</v>
      </c>
      <c r="K24" s="321" t="str">
        <f>VLOOKUP($E24,TaskValues_ref!$E:$Z,10,FALSE)</f>
        <v>National</v>
      </c>
      <c r="L24" s="195">
        <f>IF(VLOOKUP($E24,TaskValues_ref!$E:$Z,11,FALSE)=0,"",VLOOKUP($E24,TaskValues_ref!$E:$Z,11,FALSE))</f>
        <v>0.1</v>
      </c>
      <c r="M24" s="321" t="str">
        <f>IF(VLOOKUP($E24,TaskValues_ref!$E:$Z,13,FALSE)=0,"",VLOOKUP($E24,TaskValues_ref!$E:$Z,13,FALSE))</f>
        <v/>
      </c>
      <c r="N24" s="89">
        <f>IF(VLOOKUP($E24,TaskValues_ref!$E:$Z,15,FALSE)=0,"",VLOOKUP($E24,TaskValues_ref!$E:$Z,15,FALSE))</f>
        <v>1</v>
      </c>
      <c r="O24">
        <f>IF(VLOOKUP($E24,TaskValues_ref!$E:$Z,16,FALSE)=0,"",VLOOKUP($E24,TaskValues_ref!$E:$Z,16,FALSE))</f>
        <v>2</v>
      </c>
      <c r="P24" t="str">
        <f>IF(VLOOKUP($E24,TaskValues_ref!$E:$Z,17,FALSE)=0,"",VLOOKUP($E24,TaskValues_ref!$E:$Z,17,FALSE))</f>
        <v/>
      </c>
      <c r="Q24">
        <f>IF(VLOOKUP($E24,TaskValues_ref!$E:$Z,18,FALSE)=0,"",VLOOKUP($E24,TaskValues_ref!$E:$Z,18,FALSE))</f>
        <v>15</v>
      </c>
      <c r="R24" t="str">
        <f>IF(VLOOKUP($E24,TaskValues_ref!$E:$Z,19,FALSE)=0,"",VLOOKUP($E24,TaskValues_ref!$E:$Z,19,FALSE))</f>
        <v/>
      </c>
      <c r="S24" t="str">
        <f>IF(VLOOKUP($E24,TaskValues_ref!$E:$Z,20,FALSE)=0,"",VLOOKUP($E24,TaskValues_ref!$E:$Z,20,FALSE))</f>
        <v/>
      </c>
    </row>
    <row r="25" spans="1:19" x14ac:dyDescent="0.35">
      <c r="A25" s="355" t="s">
        <v>2169</v>
      </c>
      <c r="B25" s="356" t="s">
        <v>2219</v>
      </c>
      <c r="C25" s="356"/>
      <c r="D25" s="353">
        <v>30</v>
      </c>
      <c r="E25" s="64" t="str">
        <f t="shared" si="0"/>
        <v>FH.MN.30</v>
      </c>
      <c r="F25" s="319" t="str">
        <f>VLOOKUP(E25,TaskValues_ref!E:F,2,FALSE)</f>
        <v>Social services</v>
      </c>
      <c r="G25" s="321" t="str">
        <f>VLOOKUP($E25,TaskValues_ref!$E:$Z,3,FALSE)</f>
        <v>Non-clinical</v>
      </c>
      <c r="H25" s="321" t="str">
        <f>VLOOKUP($E25,TaskValues_ref!$E:$Z,4,FALSE)</f>
        <v>Public Health</v>
      </c>
      <c r="I25" s="321" t="str">
        <f>VLOOKUP($E25,TaskValues_ref!$E:$Z,5,FALSE)</f>
        <v>-</v>
      </c>
      <c r="J25" s="320" t="str">
        <f>VLOOKUP($E25,TaskValues_ref!$E:$Z,6,FALSE)</f>
        <v>1-18</v>
      </c>
      <c r="K25" s="321" t="str">
        <f>VLOOKUP($E25,TaskValues_ref!$E:$Z,10,FALSE)</f>
        <v>National</v>
      </c>
      <c r="L25" s="195" t="str">
        <f>IF(VLOOKUP($E25,TaskValues_ref!$E:$Z,11,FALSE)=0,"",VLOOKUP($E25,TaskValues_ref!$E:$Z,11,FALSE))</f>
        <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5" t="s">
        <v>2169</v>
      </c>
      <c r="B26" s="356" t="s">
        <v>2243</v>
      </c>
      <c r="C26" s="356"/>
      <c r="D26" s="353">
        <v>31</v>
      </c>
      <c r="E26" s="64" t="s">
        <v>2261</v>
      </c>
      <c r="F26" s="319" t="str">
        <f>VLOOKUP(E26,TaskValues_ref!E:F,2,FALSE)</f>
        <v>Promotion of immunization</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National</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2169</v>
      </c>
      <c r="B27" s="356" t="s">
        <v>2243</v>
      </c>
      <c r="C27" s="356"/>
      <c r="D27" s="353">
        <v>32</v>
      </c>
      <c r="E27" s="64" t="s">
        <v>2267</v>
      </c>
      <c r="F27" s="319" t="str">
        <f>VLOOKUP(E27,TaskValues_ref!E:F,2,FALSE)</f>
        <v>RI birth</v>
      </c>
      <c r="G27" s="321" t="str">
        <f>VLOOKUP($E27,TaskValues_ref!$E:$Z,3,FALSE)</f>
        <v>Clinical</v>
      </c>
      <c r="H27" s="321" t="str">
        <f>VLOOKUP($E27,TaskValues_ref!$E:$Z,4,FALSE)</f>
        <v>Preventive</v>
      </c>
      <c r="I27" s="321" t="str">
        <f>VLOOKUP($E27,TaskValues_ref!$E:$Z,5,FALSE)</f>
        <v>Immunization</v>
      </c>
      <c r="J27" s="320" t="str">
        <f>VLOOKUP($E27,TaskValues_ref!$E:$Z,6,FALSE)</f>
        <v>births</v>
      </c>
      <c r="K27" s="321" t="str">
        <f>VLOOKUP($E27,TaskValues_ref!$E:$Z,10,FALSE)</f>
        <v>National</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2169</v>
      </c>
      <c r="B28" s="356" t="s">
        <v>2243</v>
      </c>
      <c r="C28" s="356"/>
      <c r="D28" s="353">
        <v>32</v>
      </c>
      <c r="E28" s="64" t="s">
        <v>2268</v>
      </c>
      <c r="F28" s="319" t="str">
        <f>VLOOKUP(E28,TaskValues_ref!E:F,2,FALSE)</f>
        <v>RI 1st year</v>
      </c>
      <c r="G28" s="321" t="str">
        <f>VLOOKUP($E28,TaskValues_ref!$E:$Z,3,FALSE)</f>
        <v>Clinical</v>
      </c>
      <c r="H28" s="321" t="str">
        <f>VLOOKUP($E28,TaskValues_ref!$E:$Z,4,FALSE)</f>
        <v>Preventive</v>
      </c>
      <c r="I28" s="321" t="str">
        <f>VLOOKUP($E28,TaskValues_ref!$E:$Z,5,FALSE)</f>
        <v>Immunization</v>
      </c>
      <c r="J28" s="320" t="str">
        <f>VLOOKUP($E28,TaskValues_ref!$E:$Z,6,FALSE)</f>
        <v>1 yo</v>
      </c>
      <c r="K28" s="321" t="str">
        <f>VLOOKUP($E28,TaskValues_ref!$E:$Z,10,FALSE)</f>
        <v>National</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f>IF(VLOOKUP($E28,TaskValues_ref!$E:$Z,16,FALSE)=0,"",VLOOKUP($E28,TaskValues_ref!$E:$Z,16,FALSE))</f>
        <v>4</v>
      </c>
      <c r="P28" t="str">
        <f>IF(VLOOKUP($E28,TaskValues_ref!$E:$Z,17,FALSE)=0,"",VLOOKUP($E28,TaskValues_ref!$E:$Z,17,FALSE))</f>
        <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5" t="s">
        <v>2169</v>
      </c>
      <c r="B29" s="356" t="s">
        <v>2243</v>
      </c>
      <c r="C29" s="356"/>
      <c r="D29" s="353">
        <v>32</v>
      </c>
      <c r="E29" s="64" t="s">
        <v>2269</v>
      </c>
      <c r="F29" s="319" t="str">
        <f>VLOOKUP(E29,TaskValues_ref!E:F,2,FALSE)</f>
        <v>RI 2nd year</v>
      </c>
      <c r="G29" s="321" t="str">
        <f>VLOOKUP($E29,TaskValues_ref!$E:$Z,3,FALSE)</f>
        <v>Clinical</v>
      </c>
      <c r="H29" s="321" t="str">
        <f>VLOOKUP($E29,TaskValues_ref!$E:$Z,4,FALSE)</f>
        <v>Preventive</v>
      </c>
      <c r="I29" s="321" t="str">
        <f>VLOOKUP($E29,TaskValues_ref!$E:$Z,5,FALSE)</f>
        <v>Immunization</v>
      </c>
      <c r="J29" s="320" t="str">
        <f>VLOOKUP($E29,TaskValues_ref!$E:$Z,6,FALSE)</f>
        <v>2 yo</v>
      </c>
      <c r="K29" s="321" t="str">
        <f>VLOOKUP($E29,TaskValues_ref!$E:$Z,10,FALSE)</f>
        <v>National</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5" t="s">
        <v>2169</v>
      </c>
      <c r="B30" s="356" t="s">
        <v>2243</v>
      </c>
      <c r="C30" s="356"/>
      <c r="D30" s="353">
        <v>32</v>
      </c>
      <c r="E30" s="64" t="s">
        <v>2270</v>
      </c>
      <c r="F30" s="319" t="str">
        <f>VLOOKUP(E30,TaskValues_ref!E:F,2,FALSE)</f>
        <v>RI Td CBA</v>
      </c>
      <c r="G30" s="321" t="str">
        <f>VLOOKUP($E30,TaskValues_ref!$E:$Z,3,FALSE)</f>
        <v>Clinical</v>
      </c>
      <c r="H30" s="321" t="str">
        <f>VLOOKUP($E30,TaskValues_ref!$E:$Z,4,FALSE)</f>
        <v>Preventive</v>
      </c>
      <c r="I30" s="321" t="str">
        <f>VLOOKUP($E30,TaskValues_ref!$E:$Z,5,FALSE)</f>
        <v>Immunization</v>
      </c>
      <c r="J30" s="320" t="str">
        <f>VLOOKUP($E30,TaskValues_ref!$E:$Z,6,FALSE)</f>
        <v>births</v>
      </c>
      <c r="K30" s="321" t="str">
        <f>VLOOKUP($E30,TaskValues_ref!$E:$Z,10,FALSE)</f>
        <v>National</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2</v>
      </c>
      <c r="P30" t="str">
        <f>IF(VLOOKUP($E30,TaskValues_ref!$E:$Z,17,FALSE)=0,"",VLOOKUP($E30,TaskValues_ref!$E:$Z,17,FALSE))</f>
        <v/>
      </c>
      <c r="Q30" t="str">
        <f>IF(VLOOKUP($E30,TaskValues_ref!$E:$Z,18,FALSE)=0,"",VLOOKUP($E30,TaskValues_ref!$E:$Z,18,FALSE))</f>
        <v/>
      </c>
      <c r="R30" t="str">
        <f>IF(VLOOKUP($E30,TaskValues_ref!$E:$Z,19,FALSE)=0,"",VLOOKUP($E30,TaskValues_ref!$E:$Z,19,FALSE))</f>
        <v/>
      </c>
      <c r="S30" t="str">
        <f>IF(VLOOKUP($E30,TaskValues_ref!$E:$Z,20,FALSE)=0,"",VLOOKUP($E30,TaskValues_ref!$E:$Z,20,FALSE))</f>
        <v/>
      </c>
    </row>
    <row r="31" spans="1:19" x14ac:dyDescent="0.35">
      <c r="A31" s="355" t="s">
        <v>2169</v>
      </c>
      <c r="B31" s="356" t="s">
        <v>2243</v>
      </c>
      <c r="C31" s="356"/>
      <c r="D31" s="353">
        <v>33</v>
      </c>
      <c r="E31" s="64" t="s">
        <v>2262</v>
      </c>
      <c r="F31" s="319" t="str">
        <f>VLOOKUP(E31,TaskValues_ref!E:F,2,FALSE)</f>
        <v>SIAs</v>
      </c>
      <c r="G31" s="321" t="str">
        <f>VLOOKUP($E31,TaskValues_ref!$E:$Z,3,FALSE)</f>
        <v>Clinical</v>
      </c>
      <c r="H31" s="321" t="str">
        <f>VLOOKUP($E31,TaskValues_ref!$E:$Z,4,FALSE)</f>
        <v>Preventive</v>
      </c>
      <c r="I31" s="321" t="str">
        <f>VLOOKUP($E31,TaskValues_ref!$E:$Z,5,FALSE)</f>
        <v>Immunization</v>
      </c>
      <c r="J31" s="320" t="str">
        <f>VLOOKUP($E31,TaskValues_ref!$E:$Z,6,FALSE)</f>
        <v>1-4</v>
      </c>
      <c r="K31" s="321" t="str">
        <f>VLOOKUP($E31,TaskValues_ref!$E:$Z,10,FALSE)</f>
        <v>National</v>
      </c>
      <c r="L31" s="195">
        <f>IF(VLOOKUP($E31,TaskValues_ref!$E:$Z,11,FALSE)=0,"",VLOOKUP($E31,TaskValues_ref!$E:$Z,11,FALSE))</f>
        <v>1</v>
      </c>
      <c r="M31" s="321" t="str">
        <f>IF(VLOOKUP($E31,TaskValues_ref!$E:$Z,13,FALSE)=0,"",VLOOKUP($E31,TaskValues_ref!$E:$Z,13,FALSE))</f>
        <v/>
      </c>
      <c r="N31" s="89" t="str">
        <f>IF(VLOOKUP($E31,TaskValues_ref!$E:$Z,15,FALSE)=0,"",VLOOKUP($E31,TaskValues_ref!$E:$Z,15,FALSE))</f>
        <v/>
      </c>
      <c r="O31" t="str">
        <f>IF(VLOOKUP($E31,TaskValues_ref!$E:$Z,16,FALSE)=0,"",VLOOKUP($E31,TaskValues_ref!$E:$Z,16,FALSE))</f>
        <v/>
      </c>
      <c r="P31">
        <f>IF(VLOOKUP($E31,TaskValues_ref!$E:$Z,17,FALSE)=0,"",VLOOKUP($E31,TaskValues_ref!$E:$Z,17,FALSE))</f>
        <v>1</v>
      </c>
      <c r="Q31">
        <f>IF(VLOOKUP($E31,TaskValues_ref!$E:$Z,18,FALSE)=0,"",VLOOKUP($E31,TaskValues_ref!$E:$Z,18,FALSE))</f>
        <v>2</v>
      </c>
      <c r="R31" t="str">
        <f>IF(VLOOKUP($E31,TaskValues_ref!$E:$Z,19,FALSE)=0,"",VLOOKUP($E31,TaskValues_ref!$E:$Z,19,FALSE))</f>
        <v/>
      </c>
      <c r="S31" t="str">
        <f>IF(VLOOKUP($E31,TaskValues_ref!$E:$Z,20,FALSE)=0,"",VLOOKUP($E31,TaskValues_ref!$E:$Z,20,FALSE))</f>
        <v/>
      </c>
    </row>
    <row r="32" spans="1:19" x14ac:dyDescent="0.35">
      <c r="A32" s="355" t="s">
        <v>2169</v>
      </c>
      <c r="B32" s="356" t="s">
        <v>2243</v>
      </c>
      <c r="C32" s="356"/>
      <c r="D32" s="353">
        <v>34</v>
      </c>
      <c r="E32" s="64" t="s">
        <v>2263</v>
      </c>
      <c r="F32" s="319" t="str">
        <f>VLOOKUP(E32,TaskValues_ref!E:F,2,FALSE)</f>
        <v>RI adverse effects</v>
      </c>
      <c r="G32" s="321" t="str">
        <f>VLOOKUP($E32,TaskValues_ref!$E:$Z,3,FALSE)</f>
        <v>Clinical</v>
      </c>
      <c r="H32" s="321" t="str">
        <f>VLOOKUP($E32,TaskValues_ref!$E:$Z,4,FALSE)</f>
        <v>Acute</v>
      </c>
      <c r="I32" s="321" t="str">
        <f>VLOOKUP($E32,TaskValues_ref!$E:$Z,5,FALSE)</f>
        <v>Immunization</v>
      </c>
      <c r="J32" s="320" t="str">
        <f>VLOOKUP($E32,TaskValues_ref!$E:$Z,6,FALSE)</f>
        <v>-</v>
      </c>
      <c r="K32" s="321" t="str">
        <f>VLOOKUP($E32,TaskValues_ref!$E:$Z,10,FALSE)</f>
        <v>National</v>
      </c>
      <c r="L32" s="195">
        <f>IF(VLOOKUP($E32,TaskValues_ref!$E:$Z,11,FALSE)=0,"",VLOOKUP($E32,TaskValues_ref!$E:$Z,11,FALSE))</f>
        <v>1.4999999999999999E-2</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5</v>
      </c>
      <c r="R32" t="str">
        <f>IF(VLOOKUP($E32,TaskValues_ref!$E:$Z,19,FALSE)=0,"",VLOOKUP($E32,TaskValues_ref!$E:$Z,19,FALSE))</f>
        <v/>
      </c>
      <c r="S32" t="str">
        <f>IF(VLOOKUP($E32,TaskValues_ref!$E:$Z,20,FALSE)=0,"",VLOOKUP($E32,TaskValues_ref!$E:$Z,20,FALSE))</f>
        <v/>
      </c>
    </row>
    <row r="33" spans="1:19" x14ac:dyDescent="0.35">
      <c r="A33" s="355" t="s">
        <v>2169</v>
      </c>
      <c r="B33" s="356" t="s">
        <v>2243</v>
      </c>
      <c r="C33" s="356"/>
      <c r="D33" s="353">
        <v>35</v>
      </c>
      <c r="E33" s="64" t="s">
        <v>2264</v>
      </c>
      <c r="F33" s="319" t="str">
        <f>VLOOKUP(E33,TaskValues_ref!E:F,2,FALSE)</f>
        <v>Outbreak detection &amp; response</v>
      </c>
      <c r="G33" s="321" t="str">
        <f>VLOOKUP($E33,TaskValues_ref!$E:$Z,3,FALSE)</f>
        <v>Non-clinical</v>
      </c>
      <c r="H33" s="321" t="str">
        <f>VLOOKUP($E33,TaskValues_ref!$E:$Z,4,FALSE)</f>
        <v>Public Health</v>
      </c>
      <c r="I33" s="321" t="str">
        <f>VLOOKUP($E33,TaskValues_ref!$E:$Z,5,FALSE)</f>
        <v>Immunization</v>
      </c>
      <c r="J33" s="320" t="str">
        <f>VLOOKUP($E33,TaskValues_ref!$E:$Z,6,FALSE)</f>
        <v>-</v>
      </c>
      <c r="K33" s="321" t="str">
        <f>VLOOKUP($E33,TaskValues_ref!$E:$Z,10,FALSE)</f>
        <v>National</v>
      </c>
      <c r="L33" s="195" t="str">
        <f>IF(VLOOKUP($E33,TaskValues_ref!$E:$Z,11,FALSE)=0,"",VLOOKUP($E33,TaskValues_ref!$E:$Z,11,FALSE))</f>
        <v/>
      </c>
      <c r="M33" s="321"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35">
      <c r="A34" s="355" t="s">
        <v>2169</v>
      </c>
      <c r="B34" s="356" t="s">
        <v>2243</v>
      </c>
      <c r="C34" s="356"/>
      <c r="D34" s="353">
        <v>36</v>
      </c>
      <c r="E34" s="64" t="s">
        <v>2265</v>
      </c>
      <c r="F34" s="319" t="str">
        <f>VLOOKUP(E34,TaskValues_ref!E:F,2,FALSE)</f>
        <v>Mobiliation &amp; promotion of EPI</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2243</v>
      </c>
      <c r="C35" s="356"/>
      <c r="D35" s="353">
        <v>37</v>
      </c>
      <c r="E35" s="64" t="s">
        <v>2266</v>
      </c>
      <c r="F35" s="319" t="str">
        <f>VLOOKUP(E35,TaskValues_ref!E:F,2,FALSE)</f>
        <v>VPD surveillance</v>
      </c>
      <c r="G35" s="321" t="str">
        <f>VLOOKUP($E35,TaskValues_ref!$E:$Z,3,FALSE)</f>
        <v>Non-productive</v>
      </c>
      <c r="H35" s="321" t="str">
        <f>VLOOKUP($E35,TaskValues_ref!$E:$Z,4,FALSE)</f>
        <v>Public Health</v>
      </c>
      <c r="I35" s="321" t="str">
        <f>VLOOKUP($E35,TaskValues_ref!$E:$Z,5,FALSE)</f>
        <v>Immunization</v>
      </c>
      <c r="J35" s="320" t="str">
        <f>VLOOKUP($E35,TaskValues_ref!$E:$Z,6,FALSE)</f>
        <v>-</v>
      </c>
      <c r="K35" s="321" t="str">
        <f>VLOOKUP($E35,TaskValues_ref!$E:$Z,10,FALSE)</f>
        <v>National</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2169</v>
      </c>
      <c r="B36" s="356" t="s">
        <v>2274</v>
      </c>
      <c r="C36" s="356"/>
      <c r="D36" s="353">
        <v>38</v>
      </c>
      <c r="E36" s="64" t="s">
        <v>2302</v>
      </c>
      <c r="F36" s="319" t="str">
        <f>VLOOKUP(E36,TaskValues_ref!E:F,2,FALSE)</f>
        <v>FP consult first time</v>
      </c>
      <c r="G36" s="321" t="str">
        <f>VLOOKUP($E36,TaskValues_ref!$E:$Z,3,FALSE)</f>
        <v>Clinical</v>
      </c>
      <c r="H36" s="321" t="str">
        <f>VLOOKUP($E36,TaskValues_ref!$E:$Z,4,FALSE)</f>
        <v>Preventive</v>
      </c>
      <c r="I36" s="321" t="str">
        <f>VLOOKUP($E36,TaskValues_ref!$E:$Z,5,FALSE)</f>
        <v>Family planning</v>
      </c>
      <c r="J36" s="320" t="str">
        <f>VLOOKUP($E36,TaskValues_ref!$E:$Z,6,FALSE)</f>
        <v>18 yo women</v>
      </c>
      <c r="K36" s="321" t="str">
        <f>VLOOKUP($E36,TaskValues_ref!$E:$Z,10,FALSE)</f>
        <v>National</v>
      </c>
      <c r="L36" s="195">
        <f>IF(VLOOKUP($E36,TaskValues_ref!$E:$Z,11,FALSE)=0,"",VLOOKUP($E36,TaskValues_ref!$E:$Z,11,FALSE))</f>
        <v>0.58399999999999996</v>
      </c>
      <c r="M36" s="321" t="str">
        <f>IF(VLOOKUP($E36,TaskValues_ref!$E:$Z,13,FALSE)=0,"",VLOOKUP($E36,TaskValues_ref!$E:$Z,13,FALSE))</f>
        <v/>
      </c>
      <c r="N36" s="89">
        <f>IF(VLOOKUP($E36,TaskValues_ref!$E:$Z,15,FALSE)=0,"",VLOOKUP($E36,TaskValues_ref!$E:$Z,15,FALSE))</f>
        <v>1</v>
      </c>
      <c r="O36">
        <f>IF(VLOOKUP($E36,TaskValues_ref!$E:$Z,16,FALSE)=0,"",VLOOKUP($E36,TaskValues_ref!$E:$Z,16,FALSE))</f>
        <v>1</v>
      </c>
      <c r="P36" t="str">
        <f>IF(VLOOKUP($E36,TaskValues_ref!$E:$Z,17,FALSE)=0,"",VLOOKUP($E36,TaskValues_ref!$E:$Z,17,FALSE))</f>
        <v/>
      </c>
      <c r="Q36">
        <f>IF(VLOOKUP($E36,TaskValues_ref!$E:$Z,18,FALSE)=0,"",VLOOKUP($E36,TaskValues_ref!$E:$Z,18,FALSE))</f>
        <v>15</v>
      </c>
      <c r="R36" t="str">
        <f>IF(VLOOKUP($E36,TaskValues_ref!$E:$Z,19,FALSE)=0,"",VLOOKUP($E36,TaskValues_ref!$E:$Z,19,FALSE))</f>
        <v/>
      </c>
      <c r="S36" t="str">
        <f>IF(VLOOKUP($E36,TaskValues_ref!$E:$Z,20,FALSE)=0,"",VLOOKUP($E36,TaskValues_ref!$E:$Z,20,FALSE))</f>
        <v/>
      </c>
    </row>
    <row r="37" spans="1:19" x14ac:dyDescent="0.35">
      <c r="A37" s="355" t="s">
        <v>2169</v>
      </c>
      <c r="B37" s="356" t="s">
        <v>2274</v>
      </c>
      <c r="C37" s="356"/>
      <c r="D37" s="353">
        <v>38</v>
      </c>
      <c r="E37" s="64" t="s">
        <v>2303</v>
      </c>
      <c r="F37" s="319" t="str">
        <f>VLOOKUP(E37,TaskValues_ref!E:F,2,FALSE)</f>
        <v>FP consult postpartum</v>
      </c>
      <c r="G37" s="321" t="str">
        <f>VLOOKUP($E37,TaskValues_ref!$E:$Z,3,FALSE)</f>
        <v>Clinical</v>
      </c>
      <c r="H37" s="321" t="str">
        <f>VLOOKUP($E37,TaskValues_ref!$E:$Z,4,FALSE)</f>
        <v>Preventive</v>
      </c>
      <c r="I37" s="321" t="str">
        <f>VLOOKUP($E37,TaskValues_ref!$E:$Z,5,FALSE)</f>
        <v>Family planning</v>
      </c>
      <c r="J37" s="320" t="str">
        <f>VLOOKUP($E37,TaskValues_ref!$E:$Z,6,FALSE)</f>
        <v>births</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5" t="s">
        <v>2169</v>
      </c>
      <c r="B38" s="356" t="s">
        <v>2274</v>
      </c>
      <c r="C38" s="356"/>
      <c r="D38" s="353">
        <v>38</v>
      </c>
      <c r="E38" s="64" t="s">
        <v>2304</v>
      </c>
      <c r="F38" s="319" t="str">
        <f>VLOOKUP(E38,TaskValues_ref!E:F,2,FALSE)</f>
        <v>FP consult switch</v>
      </c>
      <c r="G38" s="321" t="str">
        <f>VLOOKUP($E38,TaskValues_ref!$E:$Z,3,FALSE)</f>
        <v>Clinical</v>
      </c>
      <c r="H38" s="321" t="str">
        <f>VLOOKUP($E38,TaskValues_ref!$E:$Z,4,FALSE)</f>
        <v>Preventive</v>
      </c>
      <c r="I38" s="321" t="str">
        <f>VLOOKUP($E38,TaskValues_ref!$E:$Z,5,FALSE)</f>
        <v>Family planning</v>
      </c>
      <c r="J38" s="320" t="str">
        <f>VLOOKUP($E38,TaskValues_ref!$E:$Z,6,FALSE)</f>
        <v>women 15-49</v>
      </c>
      <c r="K38" s="321" t="str">
        <f>VLOOKUP($E38,TaskValues_ref!$E:$Z,10,FALSE)</f>
        <v>National</v>
      </c>
      <c r="L38" s="195">
        <f>IF(VLOOKUP($E38,TaskValues_ref!$E:$Z,11,FALSE)=0,"",VLOOKUP($E38,TaskValues_ref!$E:$Z,11,FALSE))</f>
        <v>5.0116865018980945E-2</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5" t="s">
        <v>2169</v>
      </c>
      <c r="B39" s="356" t="s">
        <v>2274</v>
      </c>
      <c r="C39" s="356"/>
      <c r="D39" s="353">
        <v>38</v>
      </c>
      <c r="E39" s="64" t="s">
        <v>2305</v>
      </c>
      <c r="F39" s="319" t="str">
        <f>VLOOKUP(E39,TaskValues_ref!E:F,2,FALSE)</f>
        <v>FP consult discontinue</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National</v>
      </c>
      <c r="L39" s="195">
        <f>IF(VLOOKUP($E39,TaskValues_ref!$E:$Z,11,FALSE)=0,"",VLOOKUP($E39,TaskValues_ref!$E:$Z,11,FALSE))</f>
        <v>0.26812151014720248</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5" t="s">
        <v>2169</v>
      </c>
      <c r="B40" s="356" t="s">
        <v>2274</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National</v>
      </c>
      <c r="L40" s="195">
        <f>IF(VLOOKUP($E40,TaskValues_ref!$E:$Z,11,FALSE)=0,"",VLOOKUP($E40,TaskValues_ref!$E:$Z,11,FALSE))</f>
        <v>0.40457124527547378</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2169</v>
      </c>
      <c r="B41" s="356" t="s">
        <v>2274</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National</v>
      </c>
      <c r="L41" s="195">
        <f>IF(VLOOKUP($E41,TaskValues_ref!$E:$Z,11,FALSE)=0,"",VLOOKUP($E41,TaskValues_ref!$E:$Z,11,FALSE))</f>
        <v>0.16460099968756312</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5" t="s">
        <v>2169</v>
      </c>
      <c r="B42" s="356" t="s">
        <v>2274</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National</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5" t="s">
        <v>2169</v>
      </c>
      <c r="B43" s="356" t="s">
        <v>2274</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National</v>
      </c>
      <c r="L43" s="195">
        <f>IF(VLOOKUP($E43,TaskValues_ref!$E:$Z,11,FALSE)=0,"",VLOOKUP($E43,TaskValues_ref!$E:$Z,11,FALSE))</f>
        <v>9.6000000000000002E-2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5" t="s">
        <v>2169</v>
      </c>
      <c r="B44" s="356" t="s">
        <v>2274</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5" t="s">
        <v>2169</v>
      </c>
      <c r="B45" s="356" t="s">
        <v>2274</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National</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5" t="s">
        <v>2169</v>
      </c>
      <c r="B46" s="356" t="s">
        <v>2274</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National</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2169</v>
      </c>
      <c r="B47" s="356" t="s">
        <v>2274</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National</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2169</v>
      </c>
      <c r="B48" s="356" t="s">
        <v>2274</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2169</v>
      </c>
      <c r="B49" s="356" t="s">
        <v>2274</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2169</v>
      </c>
      <c r="B50" s="356" t="s">
        <v>2274</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2169</v>
      </c>
      <c r="B51" s="356" t="s">
        <v>2274</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2169</v>
      </c>
      <c r="B52" s="356" t="s">
        <v>2274</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2169</v>
      </c>
      <c r="B53" s="356" t="s">
        <v>2274</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National</v>
      </c>
      <c r="L53" s="195">
        <f>IF(VLOOKUP($E53,TaskValues_ref!$E:$Z,11,FALSE)=0,"",VLOOKUP($E53,TaskValues_ref!$E:$Z,11,FALSE))</f>
        <v>3.8294117647058828E-3</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5" t="s">
        <v>2169</v>
      </c>
      <c r="B54" s="356" t="s">
        <v>2274</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3.8294117647058828E-3</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5" t="s">
        <v>2169</v>
      </c>
      <c r="B55" s="356" t="s">
        <v>2274</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National</v>
      </c>
      <c r="L55" s="195">
        <f>IF(VLOOKUP($E55,TaskValues_ref!$E:$Z,11,FALSE)=0,"",VLOOKUP($E55,TaskValues_ref!$E:$Z,11,FALSE))</f>
        <v>3.8294117647058828E-3</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5" t="s">
        <v>2169</v>
      </c>
      <c r="B56" s="356" t="s">
        <v>2274</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National</v>
      </c>
      <c r="L56" s="195">
        <f>IF(VLOOKUP($E56,TaskValues_ref!$E:$Z,11,FALSE)=0,"",VLOOKUP($E56,TaskValues_ref!$E:$Z,11,FALSE))</f>
        <v>3.8294117647058828E-3</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5" t="s">
        <v>2169</v>
      </c>
      <c r="B57" s="356" t="s">
        <v>2274</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National</v>
      </c>
      <c r="L57" s="195">
        <f>IF(VLOOKUP($E57,TaskValues_ref!$E:$Z,11,FALSE)=0,"",VLOOKUP($E57,TaskValues_ref!$E:$Z,11,FALSE))</f>
        <v>0.37019999999999997</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5" t="s">
        <v>2169</v>
      </c>
      <c r="B58" s="356" t="s">
        <v>2274</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2274</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2274</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National</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2274</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National</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35">
      <c r="A62" s="355" t="s">
        <v>2169</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2169</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5" t="s">
        <v>2169</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National</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5" t="s">
        <v>2169</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National</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5" t="s">
        <v>2169</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National</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5" t="s">
        <v>2169</v>
      </c>
      <c r="B67" s="356" t="s">
        <v>70</v>
      </c>
      <c r="C67" s="356"/>
      <c r="D67" s="372"/>
      <c r="E67" s="265" t="s">
        <v>2632</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National</v>
      </c>
      <c r="L67" s="195">
        <f>IF(VLOOKUP($E67,TaskValues_ref!$E:$Z,11,FALSE)=0,"",VLOOKUP($E67,TaskValues_ref!$E:$Z,11,FALSE))</f>
        <v>0.03</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5" t="s">
        <v>2169</v>
      </c>
      <c r="B68" s="356" t="s">
        <v>70</v>
      </c>
      <c r="C68" s="356"/>
      <c r="D68" s="372"/>
      <c r="E68" s="265" t="s">
        <v>2545</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National</v>
      </c>
      <c r="L68" s="195">
        <f>IF(VLOOKUP($E68,TaskValues_ref!$E:$Z,11,FALSE)=0,"",VLOOKUP($E68,TaskValues_ref!$E:$Z,11,FALSE))</f>
        <v>0.02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5" t="s">
        <v>2169</v>
      </c>
      <c r="B69" s="356" t="s">
        <v>70</v>
      </c>
      <c r="C69" s="356"/>
      <c r="D69" s="372"/>
      <c r="E69" s="265" t="s">
        <v>2546</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National</v>
      </c>
      <c r="L69" s="195">
        <f>IF(VLOOKUP($E69,TaskValues_ref!$E:$Z,11,FALSE)=0,"",VLOOKUP($E69,TaskValues_ref!$E:$Z,11,FALSE))</f>
        <v>0.01</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5" t="s">
        <v>2169</v>
      </c>
      <c r="B70" s="356" t="s">
        <v>70</v>
      </c>
      <c r="C70" s="356"/>
      <c r="D70" s="372">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National</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72">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72">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72">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72">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72">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72">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72">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72">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National</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72">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72">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72">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72">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72">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72">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72">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72">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2347</v>
      </c>
      <c r="B87" s="357" t="s">
        <v>2345</v>
      </c>
      <c r="C87" s="357" t="s">
        <v>2346</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7" t="s">
        <v>2347</v>
      </c>
      <c r="B88" s="357" t="s">
        <v>2345</v>
      </c>
      <c r="C88" s="357" t="s">
        <v>2346</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National</v>
      </c>
      <c r="L88" s="195">
        <f>IF(VLOOKUP($E88,TaskValues_ref!$E:$Z,11,FALSE)=0,"",VLOOKUP($E88,TaskValues_ref!$E:$Z,11,FALSE))</f>
        <v>2.0926851436312916E-4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7" t="s">
        <v>2347</v>
      </c>
      <c r="B89" s="357" t="s">
        <v>2345</v>
      </c>
      <c r="C89" s="357" t="s">
        <v>2346</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National</v>
      </c>
      <c r="L89" s="195">
        <f>IF(VLOOKUP($E89,TaskValues_ref!$E:$Z,11,FALSE)=0,"",VLOOKUP($E89,TaskValues_ref!$E:$Z,11,FALSE))</f>
        <v>2.0926851436312916E-4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7" t="s">
        <v>2347</v>
      </c>
      <c r="B90" s="357" t="s">
        <v>2345</v>
      </c>
      <c r="C90" s="357" t="s">
        <v>2346</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National</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7" t="s">
        <v>2347</v>
      </c>
      <c r="B91" s="357" t="s">
        <v>2345</v>
      </c>
      <c r="C91" s="357" t="s">
        <v>2346</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National</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7" t="s">
        <v>2347</v>
      </c>
      <c r="B92" s="357" t="s">
        <v>2345</v>
      </c>
      <c r="C92" s="357" t="s">
        <v>2346</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National</v>
      </c>
      <c r="L92" s="195">
        <f>IF(VLOOKUP($E92,TaskValues_ref!$E:$Z,11,FALSE)=0,"",VLOOKUP($E92,TaskValues_ref!$E:$Z,11,FALSE))</f>
        <v>2.0926851436312916E-4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7" t="s">
        <v>2347</v>
      </c>
      <c r="B93" s="357" t="s">
        <v>2345</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National</v>
      </c>
      <c r="L93" s="195">
        <f>IF(VLOOKUP($E93,TaskValues_ref!$E:$Z,11,FALSE)=0,"",VLOOKUP($E93,TaskValues_ref!$E:$Z,11,FALSE))</f>
        <v>0.21739130434782611</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35">
      <c r="A94" s="357" t="s">
        <v>2347</v>
      </c>
      <c r="B94" s="357" t="s">
        <v>2345</v>
      </c>
      <c r="C94" s="357" t="s">
        <v>69</v>
      </c>
      <c r="D94" s="66">
        <v>103</v>
      </c>
      <c r="E94" s="64" t="s">
        <v>2364</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National</v>
      </c>
      <c r="L94" s="195">
        <f>IF(VLOOKUP($E94,TaskValues_ref!$E:$Z,11,FALSE)=0,"",VLOOKUP($E94,TaskValues_ref!$E:$Z,11,FALSE))</f>
        <v>1.7047868186433539E-2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7" t="s">
        <v>2347</v>
      </c>
      <c r="B95" s="357" t="s">
        <v>2345</v>
      </c>
      <c r="C95" s="357" t="s">
        <v>69</v>
      </c>
      <c r="D95" s="66">
        <v>103</v>
      </c>
      <c r="E95" s="64" t="s">
        <v>2365</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National</v>
      </c>
      <c r="L95" s="195">
        <f>IF(VLOOKUP($E95,TaskValues_ref!$E:$Z,11,FALSE)=0,"",VLOOKUP($E95,TaskValues_ref!$E:$Z,11,FALSE))</f>
        <v>1.7047868186433539E-2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7" t="s">
        <v>2347</v>
      </c>
      <c r="B96" s="357" t="s">
        <v>2345</v>
      </c>
      <c r="C96" s="357" t="s">
        <v>69</v>
      </c>
      <c r="D96" s="66">
        <v>103</v>
      </c>
      <c r="E96" s="64" t="s">
        <v>2368</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National</v>
      </c>
      <c r="L96" s="195">
        <f>IF(VLOOKUP($E96,TaskValues_ref!$E:$Z,11,FALSE)=0,"",VLOOKUP($E96,TaskValues_ref!$E:$Z,11,FALSE))</f>
        <v>1.894207576270393E-2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7" t="s">
        <v>2347</v>
      </c>
      <c r="B97" s="357" t="s">
        <v>2345</v>
      </c>
      <c r="C97" s="357" t="s">
        <v>69</v>
      </c>
      <c r="D97" s="66">
        <v>104</v>
      </c>
      <c r="E97" s="64" t="s">
        <v>2366</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National</v>
      </c>
      <c r="L97" s="195">
        <f>IF(VLOOKUP($E97,TaskValues_ref!$E:$Z,11,FALSE)=0,"",VLOOKUP($E97,TaskValues_ref!$E:$Z,11,FALSE))</f>
        <v>1.8942075762703931E-3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2347</v>
      </c>
      <c r="B98" s="357" t="s">
        <v>2345</v>
      </c>
      <c r="C98" s="357" t="s">
        <v>69</v>
      </c>
      <c r="D98" s="66">
        <v>104</v>
      </c>
      <c r="E98" s="64" t="s">
        <v>2367</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National</v>
      </c>
      <c r="L98" s="195">
        <f>IF(VLOOKUP($E98,TaskValues_ref!$E:$Z,11,FALSE)=0,"",VLOOKUP($E98,TaskValues_ref!$E:$Z,11,FALSE))</f>
        <v>1.8942075762703931E-3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7" t="s">
        <v>2347</v>
      </c>
      <c r="B99" s="357" t="s">
        <v>2345</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7" t="s">
        <v>2347</v>
      </c>
      <c r="B100" s="357" t="s">
        <v>2345</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7" t="s">
        <v>2347</v>
      </c>
      <c r="B101" s="357" t="s">
        <v>2345</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2347</v>
      </c>
      <c r="B102" s="357" t="s">
        <v>2345</v>
      </c>
      <c r="C102" s="357" t="s">
        <v>2377</v>
      </c>
      <c r="D102" s="66">
        <v>108</v>
      </c>
      <c r="E102" s="64" t="s">
        <v>2383</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National</v>
      </c>
      <c r="L102" s="195">
        <f>IF(VLOOKUP($E102,TaskValues_ref!$E:$Z,11,FALSE)=0,"",VLOOKUP($E102,TaskValues_ref!$E:$Z,11,FALSE))</f>
        <v>1.2945230835262726E-3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7" t="s">
        <v>2347</v>
      </c>
      <c r="B103" s="357" t="s">
        <v>2345</v>
      </c>
      <c r="C103" s="357" t="s">
        <v>2377</v>
      </c>
      <c r="D103" s="66">
        <v>108</v>
      </c>
      <c r="E103" s="64" t="s">
        <v>2384</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National</v>
      </c>
      <c r="L103" s="195">
        <f>IF(VLOOKUP($E103,TaskValues_ref!$E:$Z,11,FALSE)=0,"",VLOOKUP($E103,TaskValues_ref!$E:$Z,11,FALSE))</f>
        <v>1.2945230835262726E-3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7" t="s">
        <v>2347</v>
      </c>
      <c r="B104" s="357" t="s">
        <v>2345</v>
      </c>
      <c r="C104" s="357" t="s">
        <v>2377</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National</v>
      </c>
      <c r="L104" s="195">
        <f>IF(VLOOKUP($E104,TaskValues_ref!$E:$Z,11,FALSE)=0,"",VLOOKUP($E104,TaskValues_ref!$E:$Z,11,FALSE))</f>
        <v>1.2945230835262726E-3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7" t="s">
        <v>2347</v>
      </c>
      <c r="B105" s="357" t="s">
        <v>2345</v>
      </c>
      <c r="C105" s="357" t="s">
        <v>2377</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7" t="s">
        <v>2347</v>
      </c>
      <c r="B106" s="357" t="s">
        <v>2388</v>
      </c>
      <c r="C106" s="357" t="s">
        <v>2389</v>
      </c>
      <c r="D106" s="66">
        <v>112</v>
      </c>
      <c r="E106" s="64" t="s">
        <v>2393</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7" t="s">
        <v>2347</v>
      </c>
      <c r="B107" s="357" t="s">
        <v>2388</v>
      </c>
      <c r="C107" s="357" t="s">
        <v>2389</v>
      </c>
      <c r="D107" s="66">
        <v>113</v>
      </c>
      <c r="E107" s="64" t="s">
        <v>2394</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National</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7" t="s">
        <v>2347</v>
      </c>
      <c r="B108" s="357" t="s">
        <v>2388</v>
      </c>
      <c r="C108" s="357" t="s">
        <v>2389</v>
      </c>
      <c r="D108" s="66">
        <v>114</v>
      </c>
      <c r="E108" s="64" t="s">
        <v>2395</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National</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7" t="s">
        <v>2347</v>
      </c>
      <c r="B109" s="357" t="s">
        <v>2388</v>
      </c>
      <c r="C109" s="357" t="s">
        <v>2396</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National</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7" t="s">
        <v>2347</v>
      </c>
      <c r="B110" s="357" t="s">
        <v>2388</v>
      </c>
      <c r="C110" s="357" t="s">
        <v>2396</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National</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7" t="s">
        <v>2347</v>
      </c>
      <c r="B111" s="357" t="s">
        <v>2388</v>
      </c>
      <c r="C111" s="357" t="s">
        <v>2396</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National</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7" t="s">
        <v>2347</v>
      </c>
      <c r="B112" s="357" t="s">
        <v>2388</v>
      </c>
      <c r="C112" s="357" t="s">
        <v>2396</v>
      </c>
      <c r="D112" s="66">
        <v>119</v>
      </c>
      <c r="E112" s="64" t="str">
        <f>_xlfn.CONCAT("DPC.Cncr.",D112)</f>
        <v>DPC.Cncr.119</v>
      </c>
      <c r="F112" s="319" t="str">
        <f>VLOOKUP(E112,TaskValues_ref!E:F,2,FALSE)</f>
        <v>Palliative care for cancer</v>
      </c>
      <c r="G112" s="321" t="str">
        <f>VLOOKUP($E112,TaskValues_ref!$E:$Z,3,FALSE)</f>
        <v>Clinical</v>
      </c>
      <c r="H112" s="321" t="str">
        <f>VLOOKUP($E112,TaskValues_ref!$E:$Z,4,FALSE)</f>
        <v>Acute</v>
      </c>
      <c r="I112" s="321" t="str">
        <f>VLOOKUP($E112,TaskValues_ref!$E:$Z,5,FALSE)</f>
        <v>NCDs</v>
      </c>
      <c r="J112" s="320" t="str">
        <f>VLOOKUP($E112,TaskValues_ref!$E:$Z,6,FALSE)</f>
        <v>adults 18+</v>
      </c>
      <c r="K112" s="321" t="str">
        <f>VLOOKUP($E112,TaskValues_ref!$E:$Z,10,FALSE)</f>
        <v>National</v>
      </c>
      <c r="L112" s="195">
        <f>IF(VLOOKUP($E112,TaskValues_ref!$E:$Z,11,FALSE)=0,"",VLOOKUP($E112,TaskValues_ref!$E:$Z,11,FALSE))</f>
        <v>4.5114286321434503E-4</v>
      </c>
      <c r="M112" s="321">
        <f>IF(VLOOKUP($E112,TaskValues_ref!$E:$Z,13,FALSE)=0,"",VLOOKUP($E112,TaskValues_ref!$E:$Z,13,FALSE))</f>
        <v>0.5</v>
      </c>
      <c r="N112" s="89">
        <f>IF(VLOOKUP($E112,TaskValues_ref!$E:$Z,15,FALSE)=0,"",VLOOKUP($E112,TaskValues_ref!$E:$Z,15,FALSE))</f>
        <v>1.01</v>
      </c>
      <c r="O112">
        <f>IF(VLOOKUP($E112,TaskValues_ref!$E:$Z,16,FALSE)=0,"",VLOOKUP($E112,TaskValues_ref!$E:$Z,16,FALSE))</f>
        <v>6</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7" t="s">
        <v>2347</v>
      </c>
      <c r="B113" s="357" t="s">
        <v>2388</v>
      </c>
      <c r="C113" s="357" t="s">
        <v>2403</v>
      </c>
      <c r="D113" s="66">
        <v>120</v>
      </c>
      <c r="E113" s="64" t="str">
        <f>_xlfn.CONCAT("DPC.Hyp.",D113)</f>
        <v>DPC.Hyp.120</v>
      </c>
      <c r="F113" s="319" t="str">
        <f>VLOOKUP(E113,TaskValues_ref!E:F,2,FALSE)</f>
        <v>Lifestyle counseling</v>
      </c>
      <c r="G113" s="321" t="str">
        <f>VLOOKUP($E113,TaskValues_ref!$E:$Z,3,FALSE)</f>
        <v>Clinical</v>
      </c>
      <c r="H113" s="321" t="str">
        <f>VLOOKUP($E113,TaskValues_ref!$E:$Z,4,FALSE)</f>
        <v>Preventive</v>
      </c>
      <c r="I113" s="321" t="str">
        <f>VLOOKUP($E113,TaskValues_ref!$E:$Z,5,FALSE)</f>
        <v>NCDs</v>
      </c>
      <c r="J113" s="320" t="str">
        <f>VLOOKUP($E113,TaskValues_ref!$E:$Z,6,FALSE)</f>
        <v>50 yo adults</v>
      </c>
      <c r="K113" s="321" t="str">
        <f>VLOOKUP($E113,TaskValues_ref!$E:$Z,10,FALSE)</f>
        <v>National</v>
      </c>
      <c r="L113" s="195" t="str">
        <f>IF(VLOOKUP($E113,TaskValues_ref!$E:$Z,11,FALSE)=0,"",VLOOKUP($E113,TaskValues_ref!$E:$Z,11,FALSE))</f>
        <v/>
      </c>
      <c r="M113" s="321" t="str">
        <f>IF(VLOOKUP($E113,TaskValues_ref!$E:$Z,13,FALSE)=0,"",VLOOKUP($E113,TaskValues_ref!$E:$Z,13,FALSE))</f>
        <v/>
      </c>
      <c r="N113" s="89">
        <f>IF(VLOOKUP($E113,TaskValues_ref!$E:$Z,15,FALSE)=0,"",VLOOKUP($E113,TaskValues_ref!$E:$Z,15,FALSE))</f>
        <v>1</v>
      </c>
      <c r="O113" t="str">
        <f>IF(VLOOKUP($E113,TaskValues_ref!$E:$Z,16,FALSE)=0,"",VLOOKUP($E113,TaskValues_ref!$E:$Z,16,FALSE))</f>
        <v/>
      </c>
      <c r="P113">
        <f>IF(VLOOKUP($E113,TaskValues_ref!$E:$Z,17,FALSE)=0,"",VLOOKUP($E113,TaskValues_ref!$E:$Z,17,FALSE))</f>
        <v>1</v>
      </c>
      <c r="Q113">
        <f>IF(VLOOKUP($E113,TaskValues_ref!$E:$Z,18,FALSE)=0,"",VLOOKUP($E113,TaskValues_ref!$E:$Z,18,FALSE))</f>
        <v>10</v>
      </c>
      <c r="R113" t="str">
        <f>IF(VLOOKUP($E113,TaskValues_ref!$E:$Z,19,FALSE)=0,"",VLOOKUP($E113,TaskValues_ref!$E:$Z,19,FALSE))</f>
        <v/>
      </c>
      <c r="S113" t="str">
        <f>IF(VLOOKUP($E113,TaskValues_ref!$E:$Z,20,FALSE)=0,"",VLOOKUP($E113,TaskValues_ref!$E:$Z,20,FALSE))</f>
        <v/>
      </c>
    </row>
    <row r="114" spans="1:19" x14ac:dyDescent="0.35">
      <c r="A114" s="357" t="s">
        <v>2347</v>
      </c>
      <c r="B114" s="357" t="s">
        <v>2388</v>
      </c>
      <c r="C114" s="357" t="s">
        <v>2403</v>
      </c>
      <c r="D114" s="66">
        <v>121</v>
      </c>
      <c r="E114" s="64" t="str">
        <f>_xlfn.CONCAT("DPC.Hyp.",D114)</f>
        <v>DPC.Hyp.121</v>
      </c>
      <c r="F114" s="319" t="str">
        <f>VLOOKUP(E114,TaskValues_ref!E:F,2,FALSE)</f>
        <v>Hypertension screening</v>
      </c>
      <c r="G114" s="321" t="str">
        <f>VLOOKUP($E114,TaskValues_ref!$E:$Z,3,FALSE)</f>
        <v>Clinical</v>
      </c>
      <c r="H114" s="321" t="str">
        <f>VLOOKUP($E114,TaskValues_ref!$E:$Z,4,FALSE)</f>
        <v>Preventive</v>
      </c>
      <c r="I114" s="321" t="str">
        <f>VLOOKUP($E114,TaskValues_ref!$E:$Z,5,FALSE)</f>
        <v>NCDs</v>
      </c>
      <c r="J114" s="320" t="str">
        <f>VLOOKUP($E114,TaskValues_ref!$E:$Z,6,FALSE)</f>
        <v>50 yo adults</v>
      </c>
      <c r="K114" s="321" t="str">
        <f>VLOOKUP($E114,TaskValues_ref!$E:$Z,10,FALSE)</f>
        <v>National</v>
      </c>
      <c r="L114" s="195">
        <f>IF(VLOOKUP($E114,TaskValues_ref!$E:$Z,11,FALSE)=0,"",VLOOKUP($E114,TaskValues_ref!$E:$Z,11,FALSE))</f>
        <v>0.19600000000000001</v>
      </c>
      <c r="M114" s="321" t="str">
        <f>IF(VLOOKUP($E114,TaskValues_ref!$E:$Z,13,FALSE)=0,"",VLOOKUP($E114,TaskValues_ref!$E:$Z,13,FALSE))</f>
        <v/>
      </c>
      <c r="N114" s="89">
        <f>IF(VLOOKUP($E114,TaskValues_ref!$E:$Z,15,FALSE)=0,"",VLOOKUP($E114,TaskValues_ref!$E:$Z,15,FALSE))</f>
        <v>1.0149999999999999</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7" t="s">
        <v>2347</v>
      </c>
      <c r="B115" s="357" t="s">
        <v>2388</v>
      </c>
      <c r="C115" s="357" t="s">
        <v>2403</v>
      </c>
      <c r="D115" s="66">
        <v>122</v>
      </c>
      <c r="E115" s="64" t="str">
        <f>_xlfn.CONCAT("DPC.Hyp.",D115)</f>
        <v>DPC.Hyp.122</v>
      </c>
      <c r="F115" s="319" t="str">
        <f>VLOOKUP(E115,TaskValues_ref!E:F,2,FALSE)</f>
        <v>Hypertension routine care</v>
      </c>
      <c r="G115" s="321" t="str">
        <f>VLOOKUP($E115,TaskValues_ref!$E:$Z,3,FALSE)</f>
        <v>Clinical</v>
      </c>
      <c r="H115" s="321" t="str">
        <f>VLOOKUP($E115,TaskValues_ref!$E:$Z,4,FALSE)</f>
        <v>Acute</v>
      </c>
      <c r="I115" s="321" t="str">
        <f>VLOOKUP($E115,TaskValues_ref!$E:$Z,5,FALSE)</f>
        <v>NCDs</v>
      </c>
      <c r="J115" s="320" t="str">
        <f>VLOOKUP($E115,TaskValues_ref!$E:$Z,6,FALSE)</f>
        <v>adults 18+</v>
      </c>
      <c r="K115" s="321" t="str">
        <f>VLOOKUP($E115,TaskValues_ref!$E:$Z,10,FALSE)</f>
        <v>National</v>
      </c>
      <c r="L115" s="195">
        <f>IF(VLOOKUP($E115,TaskValues_ref!$E:$Z,11,FALSE)=0,"",VLOOKUP($E115,TaskValues_ref!$E:$Z,11,FALSE))</f>
        <v>0.19600000000000001</v>
      </c>
      <c r="M115" s="321" t="str">
        <f>IF(VLOOKUP($E115,TaskValues_ref!$E:$Z,13,FALSE)=0,"",VLOOKUP($E115,TaskValues_ref!$E:$Z,13,FALSE))</f>
        <v/>
      </c>
      <c r="N115" s="89">
        <f>IF(VLOOKUP($E115,TaskValues_ref!$E:$Z,15,FALSE)=0,"",VLOOKUP($E115,TaskValues_ref!$E:$Z,15,FALSE))</f>
        <v>1.0149999999999999</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35">
      <c r="A116" s="357" t="s">
        <v>2347</v>
      </c>
      <c r="B116" s="357" t="s">
        <v>2388</v>
      </c>
      <c r="C116" s="357" t="s">
        <v>524</v>
      </c>
      <c r="D116" s="66">
        <v>123</v>
      </c>
      <c r="E116" s="64" t="str">
        <f>_xlfn.CONCAT("DPC.Dbt.",D116)</f>
        <v>DPC.Dbt.123</v>
      </c>
      <c r="F116" s="319" t="str">
        <f>VLOOKUP(E116,TaskValues_ref!E:F,2,FALSE)</f>
        <v>Lifestyle counseling</v>
      </c>
      <c r="G116" s="321" t="str">
        <f>VLOOKUP($E116,TaskValues_ref!$E:$Z,3,FALSE)</f>
        <v>Clinical</v>
      </c>
      <c r="H116" s="321" t="str">
        <f>VLOOKUP($E116,TaskValues_ref!$E:$Z,4,FALSE)</f>
        <v>Preventive</v>
      </c>
      <c r="I116" s="321" t="str">
        <f>VLOOKUP($E116,TaskValues_ref!$E:$Z,5,FALSE)</f>
        <v>NCDs</v>
      </c>
      <c r="J116" s="320" t="str">
        <f>VLOOKUP($E116,TaskValues_ref!$E:$Z,6,FALSE)</f>
        <v>50 yo adults</v>
      </c>
      <c r="K116" s="321" t="str">
        <f>VLOOKUP($E116,TaskValues_ref!$E:$Z,10,FALSE)</f>
        <v>National</v>
      </c>
      <c r="L116" s="195" t="str">
        <f>IF(VLOOKUP($E116,TaskValues_ref!$E:$Z,11,FALSE)=0,"",VLOOKUP($E116,TaskValues_ref!$E:$Z,11,FALSE))</f>
        <v/>
      </c>
      <c r="M116" s="321" t="str">
        <f>IF(VLOOKUP($E116,TaskValues_ref!$E:$Z,13,FALSE)=0,"",VLOOKUP($E116,TaskValues_ref!$E:$Z,13,FALSE))</f>
        <v/>
      </c>
      <c r="N116" s="89">
        <f>IF(VLOOKUP($E116,TaskValues_ref!$E:$Z,15,FALSE)=0,"",VLOOKUP($E116,TaskValues_ref!$E:$Z,15,FALSE))</f>
        <v>1</v>
      </c>
      <c r="O116" t="str">
        <f>IF(VLOOKUP($E116,TaskValues_ref!$E:$Z,16,FALSE)=0,"",VLOOKUP($E116,TaskValues_ref!$E:$Z,16,FALSE))</f>
        <v/>
      </c>
      <c r="P116">
        <f>IF(VLOOKUP($E116,TaskValues_ref!$E:$Z,17,FALSE)=0,"",VLOOKUP($E116,TaskValues_ref!$E:$Z,17,FALSE))</f>
        <v>1</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2347</v>
      </c>
      <c r="B117" s="357" t="s">
        <v>2388</v>
      </c>
      <c r="C117" s="357" t="s">
        <v>524</v>
      </c>
      <c r="D117" s="66">
        <v>124</v>
      </c>
      <c r="E117" s="64" t="str">
        <f>_xlfn.CONCAT("DPC.Dbt.",D117)</f>
        <v>DPC.Dbt.124</v>
      </c>
      <c r="F117" s="319" t="str">
        <f>VLOOKUP(E117,TaskValues_ref!E:F,2,FALSE)</f>
        <v>Screening for type 2 diabetes</v>
      </c>
      <c r="G117" s="321" t="str">
        <f>VLOOKUP($E117,TaskValues_ref!$E:$Z,3,FALSE)</f>
        <v>Clinical</v>
      </c>
      <c r="H117" s="321" t="str">
        <f>VLOOKUP($E117,TaskValues_ref!$E:$Z,4,FALSE)</f>
        <v>Preventive</v>
      </c>
      <c r="I117" s="321" t="str">
        <f>VLOOKUP($E117,TaskValues_ref!$E:$Z,5,FALSE)</f>
        <v>NCDs</v>
      </c>
      <c r="J117" s="320" t="str">
        <f>VLOOKUP($E117,TaskValues_ref!$E:$Z,6,FALSE)</f>
        <v>50 yo adults</v>
      </c>
      <c r="K117" s="321" t="str">
        <f>VLOOKUP($E117,TaskValues_ref!$E:$Z,10,FALSE)</f>
        <v>National</v>
      </c>
      <c r="L117" s="195">
        <f>IF(VLOOKUP($E117,TaskValues_ref!$E:$Z,11,FALSE)=0,"",VLOOKUP($E117,TaskValues_ref!$E:$Z,11,FALSE))</f>
        <v>2.56464E-2</v>
      </c>
      <c r="M117" s="321" t="str">
        <f>IF(VLOOKUP($E117,TaskValues_ref!$E:$Z,13,FALSE)=0,"",VLOOKUP($E117,TaskValues_ref!$E:$Z,13,FALSE))</f>
        <v/>
      </c>
      <c r="N117" s="89">
        <f>IF(VLOOKUP($E117,TaskValues_ref!$E:$Z,15,FALSE)=0,"",VLOOKUP($E117,TaskValues_ref!$E:$Z,15,FALSE))</f>
        <v>1.0149999999999999</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7" t="s">
        <v>2347</v>
      </c>
      <c r="B118" s="357" t="s">
        <v>2388</v>
      </c>
      <c r="C118" s="357" t="s">
        <v>524</v>
      </c>
      <c r="D118" s="66">
        <v>125</v>
      </c>
      <c r="E118" s="64" t="str">
        <f>_xlfn.CONCAT("DPC.Dbt.",D118)</f>
        <v>DPC.Dbt.125</v>
      </c>
      <c r="F118" s="319" t="str">
        <f>VLOOKUP(E118,TaskValues_ref!E:F,2,FALSE)</f>
        <v>Diabetes routine care</v>
      </c>
      <c r="G118" s="321" t="str">
        <f>VLOOKUP($E118,TaskValues_ref!$E:$Z,3,FALSE)</f>
        <v>Clinical</v>
      </c>
      <c r="H118" s="321" t="str">
        <f>VLOOKUP($E118,TaskValues_ref!$E:$Z,4,FALSE)</f>
        <v>Acute</v>
      </c>
      <c r="I118" s="321" t="str">
        <f>VLOOKUP($E118,TaskValues_ref!$E:$Z,5,FALSE)</f>
        <v>NCDs</v>
      </c>
      <c r="J118" s="320" t="str">
        <f>VLOOKUP($E118,TaskValues_ref!$E:$Z,6,FALSE)</f>
        <v>adults 18+</v>
      </c>
      <c r="K118" s="321" t="str">
        <f>VLOOKUP($E118,TaskValues_ref!$E:$Z,10,FALSE)</f>
        <v>National</v>
      </c>
      <c r="L118" s="195">
        <f>IF(VLOOKUP($E118,TaskValues_ref!$E:$Z,11,FALSE)=0,"",VLOOKUP($E118,TaskValues_ref!$E:$Z,11,FALSE))</f>
        <v>2.56464E-2</v>
      </c>
      <c r="M118" s="321" t="str">
        <f>IF(VLOOKUP($E118,TaskValues_ref!$E:$Z,13,FALSE)=0,"",VLOOKUP($E118,TaskValues_ref!$E:$Z,13,FALSE))</f>
        <v/>
      </c>
      <c r="N118" s="89">
        <f>IF(VLOOKUP($E118,TaskValues_ref!$E:$Z,15,FALSE)=0,"",VLOOKUP($E118,TaskValues_ref!$E:$Z,15,FALSE))</f>
        <v>1.0149999999999999</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35">
      <c r="A119" s="357" t="s">
        <v>2347</v>
      </c>
      <c r="B119" s="357" t="s">
        <v>2388</v>
      </c>
      <c r="C119" s="357" t="s">
        <v>2404</v>
      </c>
      <c r="D119" s="66">
        <v>126</v>
      </c>
      <c r="E119" s="64" t="str">
        <f>_xlfn.CONCAT("DPC.Asth.",D119)</f>
        <v>DPC.Asth.126</v>
      </c>
      <c r="F119" s="319" t="str">
        <f>VLOOKUP(E119,TaskValues_ref!E:F,2,FALSE)</f>
        <v>Smoking cessation</v>
      </c>
      <c r="G119" s="321" t="str">
        <f>VLOOKUP($E119,TaskValues_ref!$E:$Z,3,FALSE)</f>
        <v>Clinical</v>
      </c>
      <c r="H119" s="321" t="str">
        <f>VLOOKUP($E119,TaskValues_ref!$E:$Z,4,FALSE)</f>
        <v>Preventive</v>
      </c>
      <c r="I119" s="321" t="str">
        <f>VLOOKUP($E119,TaskValues_ref!$E:$Z,5,FALSE)</f>
        <v>NCDs</v>
      </c>
      <c r="J119" s="320" t="str">
        <f>VLOOKUP($E119,TaskValues_ref!$E:$Z,6,FALSE)</f>
        <v>men 18+</v>
      </c>
      <c r="K119" s="321" t="str">
        <f>VLOOKUP($E119,TaskValues_ref!$E:$Z,10,FALSE)</f>
        <v>National</v>
      </c>
      <c r="L119" s="195">
        <f>IF(VLOOKUP($E119,TaskValues_ref!$E:$Z,11,FALSE)=0,"",VLOOKUP($E119,TaskValues_ref!$E:$Z,11,FALSE))</f>
        <v>8.8999999999999996E-2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35">
      <c r="A120" s="357" t="s">
        <v>2347</v>
      </c>
      <c r="B120" s="357" t="s">
        <v>2388</v>
      </c>
      <c r="C120" s="357" t="s">
        <v>2404</v>
      </c>
      <c r="D120" s="66">
        <v>127</v>
      </c>
      <c r="E120" s="64" t="str">
        <f>_xlfn.CONCAT("DPC.Asth.",D120)</f>
        <v>DPC.Asth.127</v>
      </c>
      <c r="F120" s="319" t="str">
        <f>VLOOKUP(E120,TaskValues_ref!E:F,2,FALSE)</f>
        <v>Prevention of risk factors</v>
      </c>
      <c r="G120" s="321" t="str">
        <f>VLOOKUP($E120,TaskValues_ref!$E:$Z,3,FALSE)</f>
        <v>Clinical</v>
      </c>
      <c r="H120" s="321" t="str">
        <f>VLOOKUP($E120,TaskValues_ref!$E:$Z,4,FALSE)</f>
        <v>Preventive</v>
      </c>
      <c r="I120" s="321" t="str">
        <f>VLOOKUP($E120,TaskValues_ref!$E:$Z,5,FALSE)</f>
        <v>NCDs</v>
      </c>
      <c r="J120" s="320" t="str">
        <f>VLOOKUP($E120,TaskValues_ref!$E:$Z,6,FALSE)</f>
        <v>adults 18+</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2347</v>
      </c>
      <c r="B121" s="357" t="s">
        <v>2388</v>
      </c>
      <c r="C121" s="357" t="s">
        <v>232</v>
      </c>
      <c r="D121" s="66">
        <v>130</v>
      </c>
      <c r="E121" s="64" t="s">
        <v>2453</v>
      </c>
      <c r="F121" s="319" t="str">
        <f>VLOOKUP(E121,TaskValues_ref!E:F,2,FALSE)</f>
        <v>Generate community awareness</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2347</v>
      </c>
      <c r="B122" s="357" t="s">
        <v>2388</v>
      </c>
      <c r="C122" s="357" t="s">
        <v>232</v>
      </c>
      <c r="D122" s="66">
        <v>130</v>
      </c>
      <c r="E122" s="64" t="s">
        <v>2454</v>
      </c>
      <c r="F122" s="319" t="str">
        <f>VLOOKUP(E122,TaskValues_ref!E:F,2,FALSE)</f>
        <v>Identify &amp; link to care</v>
      </c>
      <c r="G122" s="321" t="str">
        <f>VLOOKUP($E122,TaskValues_ref!$E:$Z,3,FALSE)</f>
        <v>Clinical</v>
      </c>
      <c r="H122" s="321" t="str">
        <f>VLOOKUP($E122,TaskValues_ref!$E:$Z,4,FALSE)</f>
        <v>Acute</v>
      </c>
      <c r="I122" s="321" t="str">
        <f>VLOOKUP($E122,TaskValues_ref!$E:$Z,5,FALSE)</f>
        <v>Mental health</v>
      </c>
      <c r="J122" s="320" t="str">
        <f>VLOOKUP($E122,TaskValues_ref!$E:$Z,6,FALSE)</f>
        <v>30 yo adults</v>
      </c>
      <c r="K122" s="321" t="str">
        <f>VLOOKUP($E122,TaskValues_ref!$E:$Z,10,FALSE)</f>
        <v>National</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7" t="s">
        <v>2347</v>
      </c>
      <c r="B123" s="357" t="s">
        <v>2388</v>
      </c>
      <c r="C123" s="357" t="s">
        <v>232</v>
      </c>
      <c r="D123" s="66">
        <v>131</v>
      </c>
      <c r="E123" s="64" t="str">
        <f>_xlfn.CONCAT("DPC.MH.",D123)</f>
        <v>DPC.MH.131</v>
      </c>
      <c r="F123" s="319" t="str">
        <f>VLOOKUP(E123,TaskValues_ref!E:F,2,FALSE)</f>
        <v>Workplace stress reduction</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National</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7" t="s">
        <v>2347</v>
      </c>
      <c r="B124" s="357" t="s">
        <v>2388</v>
      </c>
      <c r="C124" s="357" t="s">
        <v>232</v>
      </c>
      <c r="D124" s="66">
        <v>132</v>
      </c>
      <c r="E124" s="64" t="str">
        <f>_xlfn.CONCAT("DPC.MH.",D124)</f>
        <v>DPC.MH.132</v>
      </c>
      <c r="F124" s="319" t="str">
        <f>VLOOKUP(E124,TaskValues_ref!E:F,2,FALSE)</f>
        <v>School-based mental health programs</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2347</v>
      </c>
      <c r="B125" s="357" t="s">
        <v>2388</v>
      </c>
      <c r="C125" s="357" t="s">
        <v>232</v>
      </c>
      <c r="D125" s="66">
        <v>133</v>
      </c>
      <c r="E125" s="64" t="str">
        <f>_xlfn.CONCAT("DPC.MH.",D125)</f>
        <v>DPC.MH.133</v>
      </c>
      <c r="F125" s="319" t="str">
        <f>VLOOKUP(E125,TaskValues_ref!E:F,2,FALSE)</f>
        <v>Identify &amp; assess drug use</v>
      </c>
      <c r="G125" s="321" t="str">
        <f>VLOOKUP($E125,TaskValues_ref!$E:$Z,3,FALSE)</f>
        <v>Clinical</v>
      </c>
      <c r="H125" s="321" t="str">
        <f>VLOOKUP($E125,TaskValues_ref!$E:$Z,4,FALSE)</f>
        <v>Acute</v>
      </c>
      <c r="I125" s="321" t="str">
        <f>VLOOKUP($E125,TaskValues_ref!$E:$Z,5,FALSE)</f>
        <v>Mental health</v>
      </c>
      <c r="J125" s="320" t="str">
        <f>VLOOKUP($E125,TaskValues_ref!$E:$Z,6,FALSE)</f>
        <v>30 yo adults</v>
      </c>
      <c r="K125" s="321" t="str">
        <f>VLOOKUP($E125,TaskValues_ref!$E:$Z,10,FALSE)</f>
        <v>National</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35">
      <c r="A126" s="357" t="s">
        <v>2347</v>
      </c>
      <c r="B126" s="357" t="s">
        <v>2388</v>
      </c>
      <c r="C126" s="357" t="s">
        <v>232</v>
      </c>
      <c r="D126" s="66">
        <v>134</v>
      </c>
      <c r="E126" s="64" t="str">
        <f>_xlfn.CONCAT("DPC.MH.",D126)</f>
        <v>DPC.MH.134</v>
      </c>
      <c r="F126" s="319" t="str">
        <f>VLOOKUP(E126,TaskValues_ref!E:F,2,FALSE)</f>
        <v>Safer storage of pesticides</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7" t="s">
        <v>2347</v>
      </c>
      <c r="B127" s="357" t="s">
        <v>2388</v>
      </c>
      <c r="C127" s="357" t="s">
        <v>232</v>
      </c>
      <c r="D127" s="66">
        <v>135</v>
      </c>
      <c r="E127" s="64" t="str">
        <f>_xlfn.CONCAT("DPC.MH.",D127)</f>
        <v>DPC.MH.135</v>
      </c>
      <c r="F127" s="319" t="str">
        <f>VLOOKUP(E127,TaskValues_ref!E:F,2,FALSE)</f>
        <v>Emergency poisoning response</v>
      </c>
      <c r="G127" s="321" t="str">
        <f>VLOOKUP($E127,TaskValues_ref!$E:$Z,3,FALSE)</f>
        <v>Clinical</v>
      </c>
      <c r="H127" s="321" t="str">
        <f>VLOOKUP($E127,TaskValues_ref!$E:$Z,4,FALSE)</f>
        <v>Acute</v>
      </c>
      <c r="I127" s="321" t="str">
        <f>VLOOKUP($E127,TaskValues_ref!$E:$Z,5,FALSE)</f>
        <v>Mental health</v>
      </c>
      <c r="J127" s="320" t="str">
        <f>VLOOKUP($E127,TaskValues_ref!$E:$Z,6,FALSE)</f>
        <v>adults 18+</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2347</v>
      </c>
      <c r="B128" s="357" t="s">
        <v>2388</v>
      </c>
      <c r="C128" s="357" t="s">
        <v>2405</v>
      </c>
      <c r="D128" s="66">
        <v>136</v>
      </c>
      <c r="E128" s="64" t="str">
        <f>_xlfn.CONCAT("DPC.Oph.",D128)</f>
        <v>DPC.Oph.136</v>
      </c>
      <c r="F128" s="319" t="str">
        <f>VLOOKUP(E128,TaskValues_ref!E:F,2,FALSE)</f>
        <v>Awareness &amp; screening for cataracts</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National</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35">
      <c r="A129" s="357" t="s">
        <v>2347</v>
      </c>
      <c r="B129" s="357" t="s">
        <v>2388</v>
      </c>
      <c r="C129" s="357" t="s">
        <v>2405</v>
      </c>
      <c r="D129" s="66">
        <v>137</v>
      </c>
      <c r="E129" s="64" t="str">
        <f>_xlfn.CONCAT("DPC.Oph.",D129)</f>
        <v>DPC.Oph.137</v>
      </c>
      <c r="F129" s="319" t="str">
        <f>VLOOKUP(E129,TaskValues_ref!E:F,2,FALSE)</f>
        <v>Awareness of eye glasses</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National</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35">
      <c r="A130" s="357" t="s">
        <v>2347</v>
      </c>
      <c r="B130" s="357" t="s">
        <v>2388</v>
      </c>
      <c r="C130" s="357" t="s">
        <v>2405</v>
      </c>
      <c r="D130" s="66">
        <v>138</v>
      </c>
      <c r="E130" s="64" t="str">
        <f>_xlfn.CONCAT("DPC.Oph.",D130)</f>
        <v>DPC.Oph.138</v>
      </c>
      <c r="F130" s="319" t="str">
        <f>VLOOKUP(E130,TaskValues_ref!E:F,2,FALSE)</f>
        <v>School screenings for vision impairment</v>
      </c>
      <c r="G130" s="321" t="str">
        <f>VLOOKUP($E130,TaskValues_ref!$E:$Z,3,FALSE)</f>
        <v>Clinical</v>
      </c>
      <c r="H130" s="321" t="str">
        <f>VLOOKUP($E130,TaskValues_ref!$E:$Z,4,FALSE)</f>
        <v>Preventive</v>
      </c>
      <c r="I130" s="321" t="str">
        <f>VLOOKUP($E130,TaskValues_ref!$E:$Z,5,FALSE)</f>
        <v>NCDs</v>
      </c>
      <c r="J130" s="320" t="str">
        <f>VLOOKUP($E130,TaskValues_ref!$E:$Z,6,FALSE)</f>
        <v>15 yo</v>
      </c>
      <c r="K130" s="321" t="str">
        <f>VLOOKUP($E130,TaskValues_ref!$E:$Z,10,FALSE)</f>
        <v>National</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35">
      <c r="A131" s="357" t="s">
        <v>2347</v>
      </c>
      <c r="B131" s="357" t="s">
        <v>2388</v>
      </c>
      <c r="C131" s="357" t="s">
        <v>2405</v>
      </c>
      <c r="D131" s="66">
        <v>139</v>
      </c>
      <c r="E131" s="64" t="str">
        <f>_xlfn.CONCAT("DPC.Oph.",D131)</f>
        <v>DPC.Oph.139</v>
      </c>
      <c r="F131" s="319" t="str">
        <f>VLOOKUP(E131,TaskValues_ref!E:F,2,FALSE)</f>
        <v>Opportunistic screenings for vision impairment</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2347</v>
      </c>
      <c r="B132" s="357" t="s">
        <v>2388</v>
      </c>
      <c r="C132" s="357" t="s">
        <v>2405</v>
      </c>
      <c r="D132" s="66">
        <v>140</v>
      </c>
      <c r="E132" s="64" t="str">
        <f>_xlfn.CONCAT("DPC.Oph.",D132)</f>
        <v>DPC.Oph.140</v>
      </c>
      <c r="F132" s="319" t="str">
        <f>VLOOKUP(E132,TaskValues_ref!E:F,2,FALSE)</f>
        <v>Awareness &amp; screening for glaucoma</v>
      </c>
      <c r="G132" s="321" t="str">
        <f>VLOOKUP($E132,TaskValues_ref!$E:$Z,3,FALSE)</f>
        <v>Clinical</v>
      </c>
      <c r="H132" s="321" t="str">
        <f>VLOOKUP($E132,TaskValues_ref!$E:$Z,4,FALSE)</f>
        <v>Preventive</v>
      </c>
      <c r="I132" s="321" t="str">
        <f>VLOOKUP($E132,TaskValues_ref!$E:$Z,5,FALSE)</f>
        <v>NCDs</v>
      </c>
      <c r="J132" s="320" t="str">
        <f>VLOOKUP($E132,TaskValues_ref!$E:$Z,6,FALSE)</f>
        <v>50 yo adults</v>
      </c>
      <c r="K132" s="321" t="str">
        <f>VLOOKUP($E132,TaskValues_ref!$E:$Z,10,FALSE)</f>
        <v>National</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7" t="s">
        <v>2347</v>
      </c>
      <c r="B133" s="357" t="s">
        <v>2388</v>
      </c>
      <c r="C133" s="357" t="s">
        <v>2406</v>
      </c>
      <c r="E133" s="64" t="s">
        <v>2603</v>
      </c>
      <c r="F133" s="319" t="str">
        <f>VLOOKUP(E133,TaskValues_ref!E:F,2,FALSE)</f>
        <v>Basic first aid</v>
      </c>
      <c r="G133" s="321" t="str">
        <f>VLOOKUP($E133,TaskValues_ref!$E:$Z,3,FALSE)</f>
        <v>Clinical</v>
      </c>
      <c r="H133" s="321" t="str">
        <f>VLOOKUP($E133,TaskValues_ref!$E:$Z,4,FALSE)</f>
        <v>Acute</v>
      </c>
      <c r="I133" s="321" t="str">
        <f>VLOOKUP($E133,TaskValues_ref!$E:$Z,5,FALSE)</f>
        <v>First aid</v>
      </c>
      <c r="J133" s="320" t="str">
        <f>VLOOKUP($E133,TaskValues_ref!$E:$Z,6,FALSE)</f>
        <v>all</v>
      </c>
      <c r="K133" s="321" t="str">
        <f>VLOOKUP($E133,TaskValues_ref!$E:$Z,10,FALSE)</f>
        <v>National</v>
      </c>
      <c r="L133" s="195">
        <f>IF(VLOOKUP($E133,TaskValues_ref!$E:$Z,11,FALSE)=0,"",VLOOKUP($E133,TaskValues_ref!$E:$Z,11,FALSE))</f>
        <v>1.8782608695652177E-3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35">
      <c r="A134" s="66" t="s">
        <v>2347</v>
      </c>
      <c r="B134" s="66" t="s">
        <v>533</v>
      </c>
      <c r="D134" s="66">
        <v>156</v>
      </c>
      <c r="E134" s="64" t="s">
        <v>2462</v>
      </c>
      <c r="F134" s="319" t="str">
        <f>VLOOKUP(E134,TaskValues_ref!E:F,2,FALSE)</f>
        <v>Surveillance for NTDs</v>
      </c>
      <c r="G134" s="321" t="str">
        <f>VLOOKUP($E134,TaskValues_ref!$E:$Z,3,FALSE)</f>
        <v>Non-productive</v>
      </c>
      <c r="H134" s="321" t="str">
        <f>VLOOKUP($E134,TaskValues_ref!$E:$Z,4,FALSE)</f>
        <v>Public Health</v>
      </c>
      <c r="I134" s="321" t="str">
        <f>VLOOKUP($E134,TaskValues_ref!$E:$Z,5,FALSE)</f>
        <v>-</v>
      </c>
      <c r="J134" s="320" t="str">
        <f>VLOOKUP($E134,TaskValues_ref!$E:$Z,6,FALSE)</f>
        <v>-</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66" t="s">
        <v>2347</v>
      </c>
      <c r="B135" s="66" t="s">
        <v>533</v>
      </c>
      <c r="C135" s="66" t="s">
        <v>2464</v>
      </c>
      <c r="D135" s="66">
        <f t="shared" ref="D135:D153" si="4">D134+1</f>
        <v>157</v>
      </c>
      <c r="E135" s="64" t="str">
        <f t="shared" ref="E135:E153" si="5">_xlfn.CONCAT("DPC.NTD.",D135)</f>
        <v>DPC.NTD.157</v>
      </c>
      <c r="F135" s="319" t="str">
        <f>VLOOKUP(E135,TaskValues_ref!E:F,2,FALSE)</f>
        <v>LF screening &amp; referral</v>
      </c>
      <c r="G135" s="321" t="str">
        <f>VLOOKUP($E135,TaskValues_ref!$E:$Z,3,FALSE)</f>
        <v>Clinical</v>
      </c>
      <c r="H135" s="321" t="str">
        <f>VLOOKUP($E135,TaskValues_ref!$E:$Z,4,FALSE)</f>
        <v>Acute</v>
      </c>
      <c r="I135" s="321" t="str">
        <f>VLOOKUP($E135,TaskValues_ref!$E:$Z,5,FALSE)</f>
        <v>NTDs</v>
      </c>
      <c r="J135" s="320" t="str">
        <f>VLOOKUP($E135,TaskValues_ref!$E:$Z,6,FALSE)</f>
        <v>adults 18+</v>
      </c>
      <c r="K135" s="321" t="str">
        <f>VLOOKUP($E135,TaskValues_ref!$E:$Z,10,FALSE)</f>
        <v>National</v>
      </c>
      <c r="L135" s="195">
        <f>IF(VLOOKUP($E135,TaskValues_ref!$E:$Z,11,FALSE)=0,"",VLOOKUP($E135,TaskValues_ref!$E:$Z,11,FALSE))</f>
        <v>2.0800000000000001E-5</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35">
      <c r="A136" s="66" t="s">
        <v>2347</v>
      </c>
      <c r="B136" s="66" t="s">
        <v>533</v>
      </c>
      <c r="C136" s="66" t="s">
        <v>2464</v>
      </c>
      <c r="D136" s="66">
        <f t="shared" si="4"/>
        <v>158</v>
      </c>
      <c r="E136" s="64" t="str">
        <f t="shared" si="5"/>
        <v>DPC.NTD.158</v>
      </c>
      <c r="F136" s="319" t="str">
        <f>VLOOKUP(E136,TaskValues_ref!E:F,2,FALSE)</f>
        <v>LF MDA</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National</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66" t="s">
        <v>2347</v>
      </c>
      <c r="B137" s="66" t="s">
        <v>533</v>
      </c>
      <c r="C137" s="66" t="s">
        <v>2464</v>
      </c>
      <c r="D137" s="66">
        <f t="shared" si="4"/>
        <v>159</v>
      </c>
      <c r="E137" s="64" t="str">
        <f t="shared" si="5"/>
        <v>DPC.NTD.159</v>
      </c>
      <c r="F137" s="319" t="str">
        <f>VLOOKUP(E137,TaskValues_ref!E:F,2,FALSE)</f>
        <v>LLINs and IRS</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National</v>
      </c>
      <c r="L137" s="195">
        <f>IF(VLOOKUP($E137,TaskValues_ref!$E:$Z,11,FALSE)=0,"",VLOOKUP($E137,TaskValues_ref!$E:$Z,11,FALSE))</f>
        <v>0.21739130434782611</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35">
      <c r="A138" s="66" t="s">
        <v>2347</v>
      </c>
      <c r="B138" s="66" t="s">
        <v>533</v>
      </c>
      <c r="C138" s="66" t="s">
        <v>411</v>
      </c>
      <c r="D138" s="66">
        <f t="shared" si="4"/>
        <v>160</v>
      </c>
      <c r="E138" s="64" t="str">
        <f t="shared" si="5"/>
        <v>DPC.NTD.160</v>
      </c>
      <c r="F138" s="319" t="str">
        <f>VLOOKUP(E138,TaskValues_ref!E:F,2,FALSE)</f>
        <v>LF behavior change</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National</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66" t="s">
        <v>2347</v>
      </c>
      <c r="B139" s="66" t="s">
        <v>533</v>
      </c>
      <c r="C139" s="66" t="s">
        <v>415</v>
      </c>
      <c r="D139" s="66">
        <f t="shared" si="4"/>
        <v>161</v>
      </c>
      <c r="E139" s="64" t="str">
        <f t="shared" si="5"/>
        <v>DPC.NTD.161</v>
      </c>
      <c r="F139" s="319" t="str">
        <f>VLOOKUP(E139,TaskValues_ref!E:F,2,FALSE)</f>
        <v>Oncho MDA</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66" t="s">
        <v>2347</v>
      </c>
      <c r="B140" s="66" t="s">
        <v>533</v>
      </c>
      <c r="C140" s="66" t="s">
        <v>415</v>
      </c>
      <c r="D140" s="66">
        <f t="shared" si="4"/>
        <v>162</v>
      </c>
      <c r="E140" s="64" t="str">
        <f t="shared" si="5"/>
        <v>DPC.NTD.162</v>
      </c>
      <c r="F140" s="319" t="str">
        <f>VLOOKUP(E140,TaskValues_ref!E:F,2,FALSE)</f>
        <v>Oncho behavior change</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66" t="s">
        <v>2347</v>
      </c>
      <c r="B141" s="66" t="s">
        <v>533</v>
      </c>
      <c r="C141" s="66" t="s">
        <v>415</v>
      </c>
      <c r="D141" s="66">
        <f t="shared" si="4"/>
        <v>163</v>
      </c>
      <c r="E141" s="64" t="str">
        <f t="shared" si="5"/>
        <v>DPC.NTD.163</v>
      </c>
      <c r="F141" s="319" t="str">
        <f>VLOOKUP(E141,TaskValues_ref!E:F,2,FALSE)</f>
        <v>Trachoma behavior change</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National</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66" t="s">
        <v>2347</v>
      </c>
      <c r="B142" s="66" t="s">
        <v>533</v>
      </c>
      <c r="C142" s="66" t="s">
        <v>415</v>
      </c>
      <c r="D142" s="66">
        <f t="shared" si="4"/>
        <v>164</v>
      </c>
      <c r="E142" s="64" t="str">
        <f t="shared" si="5"/>
        <v>DPC.NTD.164</v>
      </c>
      <c r="F142" s="319" t="str">
        <f>VLOOKUP(E142,TaskValues_ref!E:F,2,FALSE)</f>
        <v>Promote water and sanitation</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66" t="s">
        <v>2347</v>
      </c>
      <c r="B143" s="66" t="s">
        <v>533</v>
      </c>
      <c r="C143" s="66" t="s">
        <v>2465</v>
      </c>
      <c r="D143" s="66">
        <f t="shared" si="4"/>
        <v>165</v>
      </c>
      <c r="E143" s="64" t="str">
        <f t="shared" si="5"/>
        <v>DPC.NTD.165</v>
      </c>
      <c r="F143" s="319" t="str">
        <f>VLOOKUP(E143,TaskValues_ref!E:F,2,FALSE)</f>
        <v>Dx &amp; treat trachoma</v>
      </c>
      <c r="G143" s="321" t="str">
        <f>VLOOKUP($E143,TaskValues_ref!$E:$Z,3,FALSE)</f>
        <v>Clinical</v>
      </c>
      <c r="H143" s="321" t="str">
        <f>VLOOKUP($E143,TaskValues_ref!$E:$Z,4,FALSE)</f>
        <v>Acute</v>
      </c>
      <c r="I143" s="321" t="str">
        <f>VLOOKUP($E143,TaskValues_ref!$E:$Z,5,FALSE)</f>
        <v>NTDs</v>
      </c>
      <c r="J143" s="320" t="str">
        <f>VLOOKUP($E143,TaskValues_ref!$E:$Z,6,FALSE)</f>
        <v>adults 18+</v>
      </c>
      <c r="K143" s="321" t="str">
        <f>VLOOKUP($E143,TaskValues_ref!$E:$Z,10,FALSE)</f>
        <v>National</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66" t="s">
        <v>2347</v>
      </c>
      <c r="B144" s="66" t="s">
        <v>533</v>
      </c>
      <c r="C144" s="66" t="s">
        <v>2465</v>
      </c>
      <c r="D144" s="66">
        <f t="shared" si="4"/>
        <v>166</v>
      </c>
      <c r="E144" s="64" t="str">
        <f t="shared" si="5"/>
        <v>DPC.NTD.166</v>
      </c>
      <c r="F144" s="319" t="str">
        <f>VLOOKUP(E144,TaskValues_ref!E:F,2,FALSE)</f>
        <v>Trochomatous trichiasis surgery</v>
      </c>
      <c r="G144" s="321" t="str">
        <f>VLOOKUP($E144,TaskValues_ref!$E:$Z,3,FALSE)</f>
        <v>Clinical</v>
      </c>
      <c r="H144" s="321" t="str">
        <f>VLOOKUP($E144,TaskValues_ref!$E:$Z,4,FALSE)</f>
        <v>Acute</v>
      </c>
      <c r="I144" s="321" t="str">
        <f>VLOOKUP($E144,TaskValues_ref!$E:$Z,5,FALSE)</f>
        <v>NTDs</v>
      </c>
      <c r="J144" s="320" t="str">
        <f>VLOOKUP($E144,TaskValues_ref!$E:$Z,6,FALSE)</f>
        <v>adults 18+</v>
      </c>
      <c r="K144" s="321" t="str">
        <f>VLOOKUP($E144,TaskValues_ref!$E:$Z,10,FALSE)</f>
        <v>National</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35">
      <c r="A145" s="66" t="s">
        <v>2347</v>
      </c>
      <c r="B145" s="66" t="s">
        <v>533</v>
      </c>
      <c r="C145" s="66" t="s">
        <v>2466</v>
      </c>
      <c r="D145" s="66">
        <f t="shared" si="4"/>
        <v>167</v>
      </c>
      <c r="E145" s="64" t="str">
        <f t="shared" si="5"/>
        <v>DPC.NTD.167</v>
      </c>
      <c r="F145" s="319" t="str">
        <f>VLOOKUP(E145,TaskValues_ref!E:F,2,FALSE)</f>
        <v>Trachoma MDA</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66" t="s">
        <v>2347</v>
      </c>
      <c r="B146" s="66" t="s">
        <v>533</v>
      </c>
      <c r="C146" s="66" t="s">
        <v>2466</v>
      </c>
      <c r="D146" s="66">
        <f t="shared" si="4"/>
        <v>168</v>
      </c>
      <c r="E146" s="64" t="str">
        <f t="shared" si="5"/>
        <v>DPC.NTD.168</v>
      </c>
      <c r="F146" s="319" t="str">
        <f>VLOOKUP(E146,TaskValues_ref!E:F,2,FALSE)</f>
        <v>Promote face washing</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66" t="s">
        <v>2347</v>
      </c>
      <c r="B147" s="66" t="s">
        <v>533</v>
      </c>
      <c r="C147" s="66" t="s">
        <v>2245</v>
      </c>
      <c r="D147" s="66">
        <f t="shared" si="4"/>
        <v>169</v>
      </c>
      <c r="E147" s="64" t="str">
        <f t="shared" si="5"/>
        <v>DPC.NTD.169</v>
      </c>
      <c r="F147" s="319" t="str">
        <f>VLOOKUP(E147,TaskValues_ref!E:F,2,FALSE)</f>
        <v>Schisto behavior change</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National</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35">
      <c r="A148" s="66" t="s">
        <v>2347</v>
      </c>
      <c r="B148" s="66" t="s">
        <v>533</v>
      </c>
      <c r="C148" s="66" t="s">
        <v>2245</v>
      </c>
      <c r="D148" s="66">
        <f t="shared" si="4"/>
        <v>170</v>
      </c>
      <c r="E148" s="64" t="str">
        <f t="shared" si="5"/>
        <v>DPC.NTD.170</v>
      </c>
      <c r="F148" s="319" t="str">
        <f>VLOOKUP(E148,TaskValues_ref!E:F,2,FALSE)</f>
        <v>Snail control</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National</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35">
      <c r="A149" s="66" t="s">
        <v>2347</v>
      </c>
      <c r="B149" s="66" t="s">
        <v>533</v>
      </c>
      <c r="C149" s="66" t="s">
        <v>2467</v>
      </c>
      <c r="D149" s="66">
        <f t="shared" si="4"/>
        <v>171</v>
      </c>
      <c r="E149" s="64" t="str">
        <f t="shared" si="5"/>
        <v>DPC.NTD.171</v>
      </c>
      <c r="F149" s="319" t="str">
        <f>VLOOKUP(E149,TaskValues_ref!E:F,2,FALSE)</f>
        <v>Schisto MDA</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National</v>
      </c>
      <c r="L149" s="195">
        <f>IF(VLOOKUP($E149,TaskValues_ref!$E:$Z,11,FALSE)=0,"",VLOOKUP($E149,TaskValues_ref!$E:$Z,11,FALSE))</f>
        <v>0.21739130434782611</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35">
      <c r="A150" s="66" t="s">
        <v>2347</v>
      </c>
      <c r="B150" s="66" t="s">
        <v>533</v>
      </c>
      <c r="C150" s="66" t="s">
        <v>2467</v>
      </c>
      <c r="D150" s="66">
        <f t="shared" si="4"/>
        <v>172</v>
      </c>
      <c r="E150" s="64" t="str">
        <f t="shared" si="5"/>
        <v>DPC.NTD.172</v>
      </c>
      <c r="F150" s="319" t="str">
        <f>VLOOKUP(E150,TaskValues_ref!E:F,2,FALSE)</f>
        <v>STH behavior change</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National</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35">
      <c r="A151" s="66" t="s">
        <v>2347</v>
      </c>
      <c r="B151" s="66" t="s">
        <v>533</v>
      </c>
      <c r="C151" s="66" t="s">
        <v>2467</v>
      </c>
      <c r="D151" s="66">
        <f t="shared" si="4"/>
        <v>173</v>
      </c>
      <c r="E151" s="64" t="str">
        <f t="shared" si="5"/>
        <v>DPC.NTD.173</v>
      </c>
      <c r="F151" s="319" t="str">
        <f>VLOOKUP(E151,TaskValues_ref!E:F,2,FALSE)</f>
        <v>STH MDA</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National</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2347</v>
      </c>
      <c r="B152" s="66" t="s">
        <v>533</v>
      </c>
      <c r="C152" s="66" t="s">
        <v>2493</v>
      </c>
      <c r="D152" s="66">
        <f t="shared" si="4"/>
        <v>174</v>
      </c>
      <c r="E152" s="64" t="str">
        <f t="shared" si="5"/>
        <v>DPC.NTD.174</v>
      </c>
      <c r="F152" s="319" t="str">
        <f>VLOOKUP(E152,TaskValues_ref!E:F,2,FALSE)</f>
        <v>STH dx &amp; treat in pregnancy</v>
      </c>
      <c r="G152" s="321" t="str">
        <f>VLOOKUP($E152,TaskValues_ref!$E:$Z,3,FALSE)</f>
        <v>Clinical</v>
      </c>
      <c r="H152" s="321" t="str">
        <f>VLOOKUP($E152,TaskValues_ref!$E:$Z,4,FALSE)</f>
        <v>Acute</v>
      </c>
      <c r="I152" s="321" t="str">
        <f>VLOOKUP($E152,TaskValues_ref!$E:$Z,5,FALSE)</f>
        <v>NTDs</v>
      </c>
      <c r="J152" s="320" t="str">
        <f>VLOOKUP($E152,TaskValues_ref!$E:$Z,6,FALSE)</f>
        <v>women 15-49</v>
      </c>
      <c r="K152" s="321" t="str">
        <f>VLOOKUP($E152,TaskValues_ref!$E:$Z,10,FALSE)</f>
        <v>National</v>
      </c>
      <c r="L152" s="195">
        <f>IF(VLOOKUP($E152,TaskValues_ref!$E:$Z,11,FALSE)=0,"",VLOOKUP($E152,TaskValues_ref!$E:$Z,11,FALSE))</f>
        <v>0.33</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2347</v>
      </c>
      <c r="B153" s="66" t="s">
        <v>533</v>
      </c>
      <c r="C153" s="66" t="s">
        <v>2493</v>
      </c>
      <c r="D153" s="66">
        <f t="shared" si="4"/>
        <v>175</v>
      </c>
      <c r="E153" s="64" t="str">
        <f t="shared" si="5"/>
        <v>DPC.NTD.175</v>
      </c>
      <c r="F153" s="319" t="str">
        <f>VLOOKUP(E153,TaskValues_ref!E:F,2,FALSE)</f>
        <v>Scabies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2495</v>
      </c>
      <c r="D154" s="66" t="s">
        <v>2497</v>
      </c>
      <c r="E154" s="64" t="s">
        <v>2636</v>
      </c>
      <c r="F154" s="319" t="str">
        <f>VLOOKUP(E154,TaskValues_ref!E:F,2,FALSE)</f>
        <v>Model household program</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National</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7</v>
      </c>
      <c r="S154" t="str">
        <f>IF(VLOOKUP($E154,TaskValues_ref!$E:$Z,20,FALSE)=0,"",VLOOKUP($E154,TaskValues_ref!$E:$Z,20,FALSE))</f>
        <v/>
      </c>
    </row>
    <row r="155" spans="1:19" x14ac:dyDescent="0.35">
      <c r="A155" s="66" t="s">
        <v>2498</v>
      </c>
      <c r="D155" s="66" t="s">
        <v>2499</v>
      </c>
      <c r="E155" s="64" t="s">
        <v>2637</v>
      </c>
      <c r="F155" s="319" t="str">
        <f>VLOOKUP(E155,TaskValues_ref!E:F,2,FALSE)</f>
        <v>Model household program</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7</v>
      </c>
      <c r="S155" t="str">
        <f>IF(VLOOKUP($E155,TaskValues_ref!$E:$Z,20,FALSE)=0,"",VLOOKUP($E155,TaskValues_ref!$E:$Z,20,FALSE))</f>
        <v/>
      </c>
    </row>
    <row r="156" spans="1:19" x14ac:dyDescent="0.35">
      <c r="A156" s="319"/>
      <c r="E156" s="64" t="s">
        <v>1958</v>
      </c>
      <c r="F156" s="319" t="str">
        <f>VLOOKUP(E156,TaskValues_ref!E:F,2,FALSE)</f>
        <v>Record keeping</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National</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45.844447190612613</v>
      </c>
      <c r="R156" t="str">
        <f>IF(VLOOKUP($E156,TaskValues_ref!$E:$Z,19,FALSE)=0,"",VLOOKUP($E156,TaskValues_ref!$E:$Z,19,FALSE))</f>
        <v/>
      </c>
      <c r="S156" t="str">
        <f>IF(VLOOKUP($E156,TaskValues_ref!$E:$Z,20,FALSE)=0,"",VLOOKUP($E156,TaskValues_ref!$E:$Z,20,FALSE))</f>
        <v/>
      </c>
    </row>
    <row r="157" spans="1:19" s="127" customFormat="1" x14ac:dyDescent="0.35">
      <c r="A157" s="375"/>
      <c r="B157" s="375"/>
      <c r="C157" s="375"/>
      <c r="D157" s="375"/>
      <c r="E157" s="375" t="s">
        <v>2781</v>
      </c>
      <c r="F157" s="376" t="str">
        <f>VLOOKUP(E157,TaskValues_ref!E:F,2,FALSE)</f>
        <v>Test additional</v>
      </c>
      <c r="G157" s="376"/>
      <c r="H157" s="376"/>
      <c r="I157" s="376"/>
      <c r="J157" s="378"/>
      <c r="K157" s="127" t="str">
        <f>VLOOKUP($E157,TaskValues_ref!$E:$Z,10,FALSE)</f>
        <v>National</v>
      </c>
      <c r="L157" s="335"/>
      <c r="N157" s="379"/>
      <c r="Q157" s="258"/>
      <c r="S157" s="127">
        <v>1E-3</v>
      </c>
    </row>
    <row r="158" spans="1:19" s="127" customFormat="1" x14ac:dyDescent="0.35">
      <c r="A158" s="375"/>
      <c r="B158" s="375"/>
      <c r="C158" s="375"/>
      <c r="D158" s="375"/>
      <c r="E158" s="127" t="s">
        <v>2185</v>
      </c>
      <c r="F158" s="376" t="str">
        <f>VLOOKUP(E158,TaskValues_ref!E:F,2,FALSE)</f>
        <v>Normal labor management</v>
      </c>
      <c r="G158" s="376" t="s">
        <v>154</v>
      </c>
      <c r="H158" s="376" t="s">
        <v>155</v>
      </c>
      <c r="I158" s="377" t="s">
        <v>65</v>
      </c>
      <c r="J158" s="378" t="s">
        <v>156</v>
      </c>
      <c r="K158" s="377" t="str">
        <f>VLOOKUP($E158,TaskValues_ref!$E:$Z,10,FALSE)</f>
        <v>National</v>
      </c>
      <c r="L158" s="335">
        <v>1</v>
      </c>
      <c r="N158" s="379">
        <v>1</v>
      </c>
      <c r="O158" s="127">
        <v>1</v>
      </c>
      <c r="Q158" s="380">
        <v>0</v>
      </c>
    </row>
    <row r="159" spans="1:19" s="127" customFormat="1" x14ac:dyDescent="0.35">
      <c r="A159" s="375"/>
      <c r="B159" s="375"/>
      <c r="C159" s="375"/>
      <c r="D159" s="375"/>
      <c r="E159" s="127" t="s">
        <v>2187</v>
      </c>
      <c r="F159" s="376" t="str">
        <f>VLOOKUP(E159,TaskValues_ref!E:F,2,FALSE)</f>
        <v>Emergency OB</v>
      </c>
      <c r="G159" s="376" t="s">
        <v>154</v>
      </c>
      <c r="H159" s="376" t="s">
        <v>155</v>
      </c>
      <c r="I159" s="377" t="s">
        <v>65</v>
      </c>
      <c r="J159" s="378" t="s">
        <v>156</v>
      </c>
      <c r="K159" s="377" t="str">
        <f>VLOOKUP($E159,TaskValues_ref!$E:$Z,10,FALSE)</f>
        <v>National</v>
      </c>
      <c r="L159" s="335">
        <v>1</v>
      </c>
      <c r="N159" s="379">
        <v>1</v>
      </c>
      <c r="O159" s="127">
        <v>1</v>
      </c>
      <c r="Q159" s="380">
        <v>0</v>
      </c>
    </row>
    <row r="160" spans="1:19" s="127" customFormat="1" x14ac:dyDescent="0.35">
      <c r="A160" s="375"/>
      <c r="B160" s="375"/>
      <c r="C160" s="375"/>
      <c r="D160" s="375"/>
      <c r="E160" s="127" t="s">
        <v>2186</v>
      </c>
      <c r="F160" s="376" t="str">
        <f>VLOOKUP(E160,TaskValues_ref!E:F,2,FALSE)</f>
        <v>Active management 3rd stage</v>
      </c>
      <c r="G160" s="376" t="s">
        <v>154</v>
      </c>
      <c r="H160" s="376" t="s">
        <v>155</v>
      </c>
      <c r="I160" s="377" t="s">
        <v>65</v>
      </c>
      <c r="J160" s="378" t="s">
        <v>156</v>
      </c>
      <c r="K160" s="377" t="str">
        <f>VLOOKUP($E160,TaskValues_ref!$E:$Z,10,FALSE)</f>
        <v>National</v>
      </c>
      <c r="L160" s="335">
        <v>1</v>
      </c>
      <c r="N160" s="379">
        <v>1</v>
      </c>
      <c r="O160" s="127">
        <v>1</v>
      </c>
      <c r="Q160" s="380">
        <v>0</v>
      </c>
    </row>
    <row r="161" spans="1:19" s="127" customFormat="1" x14ac:dyDescent="0.35">
      <c r="A161" s="375"/>
      <c r="B161" s="375"/>
      <c r="C161" s="375"/>
      <c r="D161" s="375"/>
      <c r="E161" s="127" t="s">
        <v>2198</v>
      </c>
      <c r="F161" s="376" t="str">
        <f>VLOOKUP(E161,TaskValues_ref!E:F,2,FALSE)</f>
        <v>Maternal sepsis</v>
      </c>
      <c r="G161" s="376" t="s">
        <v>154</v>
      </c>
      <c r="H161" s="376" t="s">
        <v>155</v>
      </c>
      <c r="I161" s="377" t="s">
        <v>65</v>
      </c>
      <c r="J161" s="378" t="s">
        <v>156</v>
      </c>
      <c r="K161" s="377" t="str">
        <f>VLOOKUP($E161,TaskValues_ref!$E:$Z,10,FALSE)</f>
        <v>National</v>
      </c>
      <c r="L161" s="335">
        <v>1</v>
      </c>
      <c r="N161" s="379">
        <v>1</v>
      </c>
      <c r="O161" s="127">
        <v>1</v>
      </c>
      <c r="Q161" s="380">
        <v>0</v>
      </c>
    </row>
    <row r="162" spans="1:19" x14ac:dyDescent="0.35">
      <c r="E162" s="64" t="s">
        <v>2804</v>
      </c>
      <c r="F162" s="319" t="str">
        <f>VLOOKUP(E162,TaskValues_ref!E:F,2,FALSE)</f>
        <v>Travel HEH</v>
      </c>
      <c r="G162" s="321" t="str">
        <f>VLOOKUP($E162,TaskValues_ref!$E:$Z,3,FALSE)</f>
        <v>Non-productive</v>
      </c>
      <c r="H162" s="321" t="str">
        <f>VLOOKUP($E162,TaskValues_ref!$E:$Z,4,FALSE)</f>
        <v>-</v>
      </c>
      <c r="I162" s="321" t="str">
        <f>VLOOKUP($E162,TaskValues_ref!$E:$Z,5,FALSE)</f>
        <v>-</v>
      </c>
      <c r="J162" s="320" t="str">
        <f>VLOOKUP($E162,TaskValues_ref!$E:$Z,6,FALSE)</f>
        <v>all</v>
      </c>
      <c r="K162" s="321" t="str">
        <f>VLOOKUP($E162,TaskValues_ref!$E:$Z,10,FALSE)</f>
        <v>National</v>
      </c>
      <c r="L162" s="195">
        <f>IF(VLOOKUP($E162,TaskValues_ref!$E:$Z,11,FALSE)=0,"",VLOOKUP($E162,TaskValues_ref!$E:$Z,11,FALSE))</f>
        <v>0.05</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53.832494807158753</v>
      </c>
      <c r="R162" t="str">
        <f>IF(VLOOKUP($E162,TaskValues_ref!$E:$Z,19,FALSE)=0,"",VLOOKUP($E162,TaskValues_ref!$E:$Z,19,FALSE))</f>
        <v/>
      </c>
      <c r="S162" t="str">
        <f>IF(VLOOKUP($E162,TaskValues_ref!$E:$Z,20,FALSE)=0,"",VLOOKUP($E162,TaskValues_ref!$E:$Z,20,FALSE))</f>
        <v/>
      </c>
    </row>
    <row r="163" spans="1:19" x14ac:dyDescent="0.35">
      <c r="E163" s="64" t="s">
        <v>2805</v>
      </c>
      <c r="F163" s="319" t="str">
        <f>VLOOKUP(E163,TaskValues_ref!E:F,2,FALSE)</f>
        <v>Travel HEP</v>
      </c>
      <c r="G163" s="321" t="str">
        <f>VLOOKUP($E163,TaskValues_ref!$E:$Z,3,FALSE)</f>
        <v>Non-productive</v>
      </c>
      <c r="H163" s="321" t="str">
        <f>VLOOKUP($E163,TaskValues_ref!$E:$Z,4,FALSE)</f>
        <v>-</v>
      </c>
      <c r="I163" s="321" t="str">
        <f>VLOOKUP($E163,TaskValues_ref!$E:$Z,5,FALSE)</f>
        <v>-</v>
      </c>
      <c r="J163" s="320" t="str">
        <f>VLOOKUP($E163,TaskValues_ref!$E:$Z,6,FALSE)</f>
        <v>all</v>
      </c>
      <c r="K163" s="321" t="str">
        <f>VLOOKUP($E163,TaskValues_ref!$E:$Z,10,FALSE)</f>
        <v>National</v>
      </c>
      <c r="L163" s="195">
        <f>IF(VLOOKUP($E163,TaskValues_ref!$E:$Z,11,FALSE)=0,"",VLOOKUP($E163,TaskValues_ref!$E:$Z,11,FALSE))</f>
        <v>0.05</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53.832494807158753</v>
      </c>
      <c r="R163" t="str">
        <f>IF(VLOOKUP($E163,TaskValues_ref!$E:$Z,19,FALSE)=0,"",VLOOKUP($E163,TaskValues_ref!$E:$Z,19,FALSE))</f>
        <v/>
      </c>
      <c r="S163" t="str">
        <f>IF(VLOOKUP($E163,TaskValues_ref!$E:$Z,20,FALSE)=0,"",VLOOKUP($E163,TaskValues_ref!$E:$Z,20,FALSE))</f>
        <v/>
      </c>
    </row>
    <row r="164" spans="1:19" x14ac:dyDescent="0.35">
      <c r="E164" s="64" t="s">
        <v>2822</v>
      </c>
      <c r="F164" s="321" t="s">
        <v>2828</v>
      </c>
      <c r="G164" s="321" t="str">
        <f>VLOOKUP($E164,TaskValues_ref!$E:$Z,3,FALSE)</f>
        <v>Non-productive</v>
      </c>
      <c r="H164" s="321" t="str">
        <f>VLOOKUP($E164,TaskValues_ref!$E:$Z,4,FALSE)</f>
        <v>-</v>
      </c>
      <c r="I164" s="321" t="str">
        <f>VLOOKUP($E164,TaskValues_ref!$E:$Z,5,FALSE)</f>
        <v>-</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f>IF(VLOOKUP($E164,TaskValues_ref!$E:$Z,19,FALSE)=0,"",VLOOKUP($E164,TaskValues_ref!$E:$Z,19,FALSE))</f>
        <v>4.5120000000000005</v>
      </c>
      <c r="S164" t="str">
        <f>IF(VLOOKUP($E164,TaskValues_ref!$E:$Z,20,FALSE)=0,"",VLOOKUP($E164,TaskValues_ref!$E:$Z,20,FALSE))</f>
        <v/>
      </c>
    </row>
    <row r="165" spans="1:19" x14ac:dyDescent="0.35">
      <c r="E165" s="64" t="s">
        <v>2823</v>
      </c>
      <c r="F165" s="321" t="s">
        <v>2829</v>
      </c>
      <c r="G165" s="321" t="str">
        <f>VLOOKUP($E165,TaskValues_ref!$E:$Z,3,FALSE)</f>
        <v>Non-productive</v>
      </c>
      <c r="H165" s="321" t="str">
        <f>VLOOKUP($E165,TaskValues_ref!$E:$Z,4,FALSE)</f>
        <v>-</v>
      </c>
      <c r="I165" s="321" t="str">
        <f>VLOOKUP($E165,TaskValues_ref!$E:$Z,5,FALSE)</f>
        <v>-</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f>IF(VLOOKUP($E165,TaskValues_ref!$E:$Z,19,FALSE)=0,"",VLOOKUP($E165,TaskValues_ref!$E:$Z,19,FALSE))</f>
        <v>4.5120000000000005</v>
      </c>
      <c r="S165" t="str">
        <f>IF(VLOOKUP($E165,TaskValues_ref!$E:$Z,20,FALSE)=0,"",VLOOKUP($E165,TaskValues_ref!$E:$Z,20,FALSE))</f>
        <v/>
      </c>
    </row>
    <row r="166" spans="1:19" x14ac:dyDescent="0.35">
      <c r="E166" s="64" t="s">
        <v>2824</v>
      </c>
      <c r="F166" s="321" t="s">
        <v>2830</v>
      </c>
      <c r="G166" s="321" t="str">
        <f>VLOOKUP($E166,TaskValues_ref!$E:$Z,3,FALSE)</f>
        <v>Non-productive</v>
      </c>
      <c r="H166" s="321" t="str">
        <f>VLOOKUP($E166,TaskValues_ref!$E:$Z,4,FALSE)</f>
        <v>-</v>
      </c>
      <c r="I166" s="321" t="str">
        <f>VLOOKUP($E166,TaskValues_ref!$E:$Z,5,FALSE)</f>
        <v>-</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f>IF(VLOOKUP($E166,TaskValues_ref!$E:$Z,19,FALSE)=0,"",VLOOKUP($E166,TaskValues_ref!$E:$Z,19,FALSE))</f>
        <v>4.5120000000000005</v>
      </c>
      <c r="S166" t="str">
        <f>IF(VLOOKUP($E166,TaskValues_ref!$E:$Z,20,FALSE)=0,"",VLOOKUP($E166,TaskValues_ref!$E:$Z,20,FALSE))</f>
        <v/>
      </c>
    </row>
    <row r="167" spans="1:19" x14ac:dyDescent="0.35">
      <c r="E167" s="64" t="s">
        <v>2825</v>
      </c>
      <c r="F167" s="321" t="s">
        <v>2831</v>
      </c>
      <c r="G167" s="321" t="str">
        <f>VLOOKUP($E167,TaskValues_ref!$E:$Z,3,FALSE)</f>
        <v>Non-productive</v>
      </c>
      <c r="H167" s="321" t="str">
        <f>VLOOKUP($E167,TaskValues_ref!$E:$Z,4,FALSE)</f>
        <v>-</v>
      </c>
      <c r="I167" s="321" t="str">
        <f>VLOOKUP($E167,TaskValues_ref!$E:$Z,5,FALSE)</f>
        <v>-</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f>IF(VLOOKUP($E167,TaskValues_ref!$E:$Z,19,FALSE)=0,"",VLOOKUP($E167,TaskValues_ref!$E:$Z,19,FALSE))</f>
        <v>4.5120000000000005</v>
      </c>
      <c r="S167" t="str">
        <f>IF(VLOOKUP($E167,TaskValues_ref!$E:$Z,20,FALSE)=0,"",VLOOKUP($E167,TaskValues_ref!$E:$Z,20,FALSE))</f>
        <v/>
      </c>
    </row>
    <row r="168" spans="1:19" x14ac:dyDescent="0.35">
      <c r="E168" s="64" t="s">
        <v>2826</v>
      </c>
      <c r="F168" s="321" t="s">
        <v>2832</v>
      </c>
      <c r="G168" s="321" t="str">
        <f>VLOOKUP($E168,TaskValues_ref!$E:$Z,3,FALSE)</f>
        <v>Non-productive</v>
      </c>
      <c r="H168" s="321" t="str">
        <f>VLOOKUP($E168,TaskValues_ref!$E:$Z,4,FALSE)</f>
        <v>-</v>
      </c>
      <c r="I168" s="321" t="str">
        <f>VLOOKUP($E168,TaskValues_ref!$E:$Z,5,FALSE)</f>
        <v>-</v>
      </c>
      <c r="J168" s="320" t="str">
        <f>VLOOKUP($E168,TaskValues_ref!$E:$Z,6,FALSE)</f>
        <v>-</v>
      </c>
      <c r="K168" s="321" t="str">
        <f>VLOOKUP($E168,TaskValues_ref!$E:$Z,10,FALSE)</f>
        <v>National</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f>IF(VLOOKUP($E168,TaskValues_ref!$E:$Z,19,FALSE)=0,"",VLOOKUP($E168,TaskValues_ref!$E:$Z,19,FALSE))</f>
        <v>4.5120000000000005</v>
      </c>
      <c r="S168" t="str">
        <f>IF(VLOOKUP($E168,TaskValues_ref!$E:$Z,20,FALSE)=0,"",VLOOKUP($E168,TaskValues_ref!$E:$Z,20,FALSE))</f>
        <v/>
      </c>
    </row>
    <row r="169" spans="1:19" x14ac:dyDescent="0.35">
      <c r="E169" s="64" t="s">
        <v>2827</v>
      </c>
      <c r="F169" s="321" t="s">
        <v>2833</v>
      </c>
      <c r="G169" s="321" t="str">
        <f>VLOOKUP($E169,TaskValues_ref!$E:$Z,3,FALSE)</f>
        <v>Non-productive</v>
      </c>
      <c r="H169" s="321" t="str">
        <f>VLOOKUP($E169,TaskValues_ref!$E:$Z,4,FALSE)</f>
        <v>-</v>
      </c>
      <c r="I169" s="321" t="str">
        <f>VLOOKUP($E169,TaskValues_ref!$E:$Z,5,FALSE)</f>
        <v>-</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4.5120000000000005</v>
      </c>
      <c r="S169" t="str">
        <f>IF(VLOOKUP($E169,TaskValues_ref!$E:$Z,20,FALSE)=0,"",VLOOKUP($E169,TaskValues_ref!$E:$Z,20,FALSE))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I157:I161 I170:I485</xm:sqref>
        </x14:dataValidation>
        <x14:dataValidation type="list" allowBlank="1" showInputMessage="1" showErrorMessage="1" xr:uid="{2DE55DD6-00CB-4F77-BE15-ADA13DE0C2EF}">
          <x14:formula1>
            <xm:f>lookups!$B$2:$B$9</xm:f>
          </x14:formula1>
          <xm:sqref>H157:H161 H170:H386</xm:sqref>
        </x14:dataValidation>
        <x14:dataValidation type="list" allowBlank="1" showInputMessage="1" showErrorMessage="1" xr:uid="{32A18B71-6E51-49D8-BEF1-5EC6D298D0A5}">
          <x14:formula1>
            <xm:f>lookups!$F$2:$F$24</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6"/>
  <sheetViews>
    <sheetView zoomScale="60" zoomScaleNormal="60" workbookViewId="0">
      <pane ySplit="1" topLeftCell="A103" activePane="bottomLeft" state="frozen"/>
      <selection activeCell="O195" sqref="O195"/>
      <selection pane="bottomLeft" activeCell="N132" sqref="N132"/>
    </sheetView>
  </sheetViews>
  <sheetFormatPr defaultRowHeight="14.5" x14ac:dyDescent="0.35"/>
  <cols>
    <col min="1" max="4" width="4.54296875" style="66" customWidth="1"/>
    <col min="5" max="5" width="15.1796875" style="64" customWidth="1"/>
    <col min="6" max="6" width="42" style="319" bestFit="1" customWidth="1"/>
    <col min="7" max="9" width="7.453125" style="319" customWidth="1"/>
    <col min="10" max="10" width="7.45312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25" t="s">
        <v>2787</v>
      </c>
      <c r="B1" s="325" t="s">
        <v>2788</v>
      </c>
      <c r="C1" s="325" t="s">
        <v>1017</v>
      </c>
      <c r="D1" s="325" t="s">
        <v>2789</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2191</v>
      </c>
      <c r="D3" s="353">
        <v>7</v>
      </c>
      <c r="E3" s="64" t="s">
        <v>2197</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35">
      <c r="A4" s="355" t="s">
        <v>2169</v>
      </c>
      <c r="B4" s="355" t="s">
        <v>2170</v>
      </c>
      <c r="C4" s="356" t="s">
        <v>2212</v>
      </c>
      <c r="D4" s="353">
        <v>12</v>
      </c>
      <c r="E4" s="64" t="s">
        <v>2213</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National</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35">
      <c r="A5" s="355" t="s">
        <v>2169</v>
      </c>
      <c r="B5" s="355" t="s">
        <v>2170</v>
      </c>
      <c r="C5" s="356" t="s">
        <v>2212</v>
      </c>
      <c r="D5" s="353">
        <v>13</v>
      </c>
      <c r="E5" s="64" t="s">
        <v>2779</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National</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35">
      <c r="A6" s="355" t="s">
        <v>2169</v>
      </c>
      <c r="B6" s="355" t="s">
        <v>2170</v>
      </c>
      <c r="C6" s="356" t="s">
        <v>2212</v>
      </c>
      <c r="D6" s="353">
        <v>14</v>
      </c>
      <c r="E6" s="64" t="s">
        <v>2780</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National</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35">
      <c r="A7" s="355" t="s">
        <v>2169</v>
      </c>
      <c r="B7" s="356" t="s">
        <v>2219</v>
      </c>
      <c r="C7" s="356"/>
      <c r="D7" s="353">
        <v>15</v>
      </c>
      <c r="E7" s="64" t="s">
        <v>2641</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National</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35">
      <c r="A8" s="355" t="s">
        <v>2169</v>
      </c>
      <c r="B8" s="356" t="s">
        <v>2219</v>
      </c>
      <c r="C8" s="356"/>
      <c r="D8" s="353">
        <v>17</v>
      </c>
      <c r="E8" s="64" t="s">
        <v>2643</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2169</v>
      </c>
      <c r="B9" s="356" t="s">
        <v>2219</v>
      </c>
      <c r="C9" s="356"/>
      <c r="D9" s="353">
        <v>18</v>
      </c>
      <c r="E9" s="64" t="s">
        <v>2644</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National</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2169</v>
      </c>
      <c r="B10" s="356" t="s">
        <v>2219</v>
      </c>
      <c r="C10" s="356"/>
      <c r="D10" s="353">
        <v>19</v>
      </c>
      <c r="E10" s="64" t="s">
        <v>2231</v>
      </c>
      <c r="F10" s="319" t="str">
        <f>VLOOKUP(E10,TaskValues_ref!E:F,2,FALSE)</f>
        <v>Pneumonia/fever</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National</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35">
      <c r="A11" s="355" t="s">
        <v>2169</v>
      </c>
      <c r="B11" s="356" t="s">
        <v>2219</v>
      </c>
      <c r="C11" s="356"/>
      <c r="D11" s="353">
        <v>19</v>
      </c>
      <c r="E11" s="64" t="s">
        <v>2233</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National</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35">
      <c r="A12" s="355" t="s">
        <v>2169</v>
      </c>
      <c r="B12" s="356" t="s">
        <v>2219</v>
      </c>
      <c r="C12" s="356"/>
      <c r="D12" s="353">
        <v>19</v>
      </c>
      <c r="E12" s="64" t="s">
        <v>2234</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National</v>
      </c>
      <c r="L12" s="195">
        <f>IF(VLOOKUP($E12,TaskValues_ref!$E:$Z,11,FALSE)=0,"",VLOOKUP($E12,TaskValues_ref!$E:$Z,11,FALSE))</f>
        <v>0.46089999999999998</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35">
      <c r="A13" s="355" t="s">
        <v>2169</v>
      </c>
      <c r="B13" s="356" t="s">
        <v>2219</v>
      </c>
      <c r="C13" s="356"/>
      <c r="D13" s="353">
        <v>23</v>
      </c>
      <c r="E13" s="64" t="s">
        <v>2648</v>
      </c>
      <c r="F13" s="319" t="str">
        <f>VLOOKUP(E13,TaskValues_ref!E:F,2,FALSE)</f>
        <v>Deworming &amp; VitA</v>
      </c>
      <c r="G13" s="321" t="str">
        <f>VLOOKUP($E13,TaskValues_ref!$E:$Z,3,FALSE)</f>
        <v>Clinical</v>
      </c>
      <c r="H13" s="321" t="str">
        <f>VLOOKUP($E13,TaskValues_ref!$E:$Z,4,FALSE)</f>
        <v>Preventive</v>
      </c>
      <c r="I13" s="321" t="str">
        <f>VLOOKUP($E13,TaskValues_ref!$E:$Z,5,FALSE)</f>
        <v>Nutrition</v>
      </c>
      <c r="J13" s="320" t="str">
        <f>VLOOKUP($E13,TaskValues_ref!$E:$Z,6,FALSE)</f>
        <v>1-4</v>
      </c>
      <c r="K13" s="321" t="str">
        <f>VLOOKUP($E13,TaskValues_ref!$E:$Z,10,FALSE)</f>
        <v>National</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f>IF(VLOOKUP($E13,TaskValues_ref!$E:$Z,17,FALSE)=0,"",VLOOKUP($E13,TaskValues_ref!$E:$Z,17,FALSE))</f>
        <v>2</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35">
      <c r="A14" s="355" t="s">
        <v>2169</v>
      </c>
      <c r="B14" s="356" t="s">
        <v>2219</v>
      </c>
      <c r="C14" s="356"/>
      <c r="D14" s="353">
        <v>24</v>
      </c>
      <c r="E14" s="64" t="s">
        <v>2649</v>
      </c>
      <c r="F14" s="319" t="str">
        <f>VLOOKUP(E14,TaskValues_ref!E:F,2,FALSE)</f>
        <v>Paediatric palliative</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3.5500000000000006E-3</v>
      </c>
      <c r="M14" s="321" t="str">
        <f>IF(VLOOKUP($E14,TaskValues_ref!$E:$Z,13,FALSE)=0,"",VLOOKUP($E14,TaskValues_ref!$E:$Z,13,FALSE))</f>
        <v/>
      </c>
      <c r="N14" s="89">
        <f>IF(VLOOKUP($E14,TaskValues_ref!$E:$Z,15,FALSE)=0,"",VLOOKUP($E14,TaskValues_ref!$E:$Z,15,FALSE))</f>
        <v>0.95480225988700573</v>
      </c>
      <c r="O14">
        <f>IF(VLOOKUP($E14,TaskValues_ref!$E:$Z,16,FALSE)=0,"",VLOOKUP($E14,TaskValues_ref!$E:$Z,16,FALSE))</f>
        <v>1</v>
      </c>
      <c r="P14" t="str">
        <f>IF(VLOOKUP($E14,TaskValues_ref!$E:$Z,17,FALSE)=0,"",VLOOKUP($E14,TaskValues_ref!$E:$Z,17,FALSE))</f>
        <v/>
      </c>
      <c r="Q14">
        <f>IF(VLOOKUP($E14,TaskValues_ref!$E:$Z,18,FALSE)=0,"",VLOOKUP($E14,TaskValues_ref!$E:$Z,18,FALSE))</f>
        <v>15</v>
      </c>
      <c r="R14" t="str">
        <f>IF(VLOOKUP($E14,TaskValues_ref!$E:$Z,19,FALSE)=0,"",VLOOKUP($E14,TaskValues_ref!$E:$Z,19,FALSE))</f>
        <v/>
      </c>
      <c r="S14" t="str">
        <f>IF(VLOOKUP($E14,TaskValues_ref!$E:$Z,20,FALSE)=0,"",VLOOKUP($E14,TaskValues_ref!$E:$Z,20,FALSE))</f>
        <v/>
      </c>
    </row>
    <row r="15" spans="1:19" x14ac:dyDescent="0.35">
      <c r="A15" s="355" t="s">
        <v>2169</v>
      </c>
      <c r="B15" s="356" t="s">
        <v>2219</v>
      </c>
      <c r="C15" s="356"/>
      <c r="D15" s="353">
        <v>29</v>
      </c>
      <c r="E15" s="64" t="s">
        <v>2652</v>
      </c>
      <c r="F15" s="319" t="str">
        <f>VLOOKUP(E15,TaskValues_ref!E:F,2,FALSE)</f>
        <v>Child abuse</v>
      </c>
      <c r="G15" s="321" t="str">
        <f>VLOOKUP($E15,TaskValues_ref!$E:$Z,3,FALSE)</f>
        <v>Non-clinical</v>
      </c>
      <c r="H15" s="321" t="str">
        <f>VLOOKUP($E15,TaskValues_ref!$E:$Z,4,FALSE)</f>
        <v>Public Health</v>
      </c>
      <c r="I15" s="321" t="str">
        <f>VLOOKUP($E15,TaskValues_ref!$E:$Z,5,FALSE)</f>
        <v>-</v>
      </c>
      <c r="J15" s="320" t="str">
        <f>VLOOKUP($E15,TaskValues_ref!$E:$Z,6,FALSE)</f>
        <v>18 yo adults</v>
      </c>
      <c r="K15" s="321" t="str">
        <f>VLOOKUP($E15,TaskValues_ref!$E:$Z,10,FALSE)</f>
        <v>National</v>
      </c>
      <c r="L15" s="195">
        <f>IF(VLOOKUP($E15,TaskValues_ref!$E:$Z,11,FALSE)=0,"",VLOOKUP($E15,TaskValues_ref!$E:$Z,11,FALSE))</f>
        <v>0.1</v>
      </c>
      <c r="M15" s="321" t="str">
        <f>IF(VLOOKUP($E15,TaskValues_ref!$E:$Z,13,FALSE)=0,"",VLOOKUP($E15,TaskValues_ref!$E:$Z,13,FALSE))</f>
        <v/>
      </c>
      <c r="N15" s="89">
        <f>IF(VLOOKUP($E15,TaskValues_ref!$E:$Z,15,FALSE)=0,"",VLOOKUP($E15,TaskValues_ref!$E:$Z,15,FALSE))</f>
        <v>1</v>
      </c>
      <c r="O15">
        <f>IF(VLOOKUP($E15,TaskValues_ref!$E:$Z,16,FALSE)=0,"",VLOOKUP($E15,TaskValues_ref!$E:$Z,16,FALSE))</f>
        <v>2</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35">
      <c r="A16" s="355" t="s">
        <v>2169</v>
      </c>
      <c r="B16" s="356" t="s">
        <v>2219</v>
      </c>
      <c r="C16" s="356"/>
      <c r="D16" s="353">
        <v>30</v>
      </c>
      <c r="E16" s="64" t="s">
        <v>2653</v>
      </c>
      <c r="F16" s="319" t="str">
        <f>VLOOKUP(E16,TaskValues_ref!E:F,2,FALSE)</f>
        <v>Social services</v>
      </c>
      <c r="G16" s="321" t="str">
        <f>VLOOKUP($E16,TaskValues_ref!$E:$Z,3,FALSE)</f>
        <v>Non-clinical</v>
      </c>
      <c r="H16" s="321" t="str">
        <f>VLOOKUP($E16,TaskValues_ref!$E:$Z,4,FALSE)</f>
        <v>Public Health</v>
      </c>
      <c r="I16" s="321" t="str">
        <f>VLOOKUP($E16,TaskValues_ref!$E:$Z,5,FALSE)</f>
        <v>-</v>
      </c>
      <c r="J16" s="320" t="str">
        <f>VLOOKUP($E16,TaskValues_ref!$E:$Z,6,FALSE)</f>
        <v>1-18</v>
      </c>
      <c r="K16" s="321" t="str">
        <f>VLOOKUP($E16,TaskValues_ref!$E:$Z,10,FALSE)</f>
        <v>National</v>
      </c>
      <c r="L16" s="195" t="str">
        <f>IF(VLOOKUP($E16,TaskValues_ref!$E:$Z,11,FALSE)=0,"",VLOOKUP($E16,TaskValues_ref!$E:$Z,11,FALSE))</f>
        <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35">
      <c r="A17" s="355" t="s">
        <v>2169</v>
      </c>
      <c r="B17" s="356" t="s">
        <v>2243</v>
      </c>
      <c r="C17" s="356"/>
      <c r="D17" s="353">
        <v>31</v>
      </c>
      <c r="E17" s="64" t="s">
        <v>2261</v>
      </c>
      <c r="F17" s="319" t="str">
        <f>VLOOKUP(E17,TaskValues_ref!E:F,2,FALSE)</f>
        <v>Promotion of immunization</v>
      </c>
      <c r="G17" s="321" t="str">
        <f>VLOOKUP($E17,TaskValues_ref!$E:$Z,3,FALSE)</f>
        <v>Non-clinical</v>
      </c>
      <c r="H17" s="321" t="str">
        <f>VLOOKUP($E17,TaskValues_ref!$E:$Z,4,FALSE)</f>
        <v>Public Health</v>
      </c>
      <c r="I17" s="321" t="str">
        <f>VLOOKUP($E17,TaskValues_ref!$E:$Z,5,FALSE)</f>
        <v>Immunization</v>
      </c>
      <c r="J17" s="320" t="str">
        <f>VLOOKUP($E17,TaskValues_ref!$E:$Z,6,FALSE)</f>
        <v>-</v>
      </c>
      <c r="K17" s="321" t="str">
        <f>VLOOKUP($E17,TaskValues_ref!$E:$Z,10,FALSE)</f>
        <v>National</v>
      </c>
      <c r="L17" s="195" t="str">
        <f>IF(VLOOKUP($E17,TaskValues_ref!$E:$Z,11,FALSE)=0,"",VLOOKUP($E17,TaskValues_ref!$E:$Z,11,FALSE))</f>
        <v/>
      </c>
      <c r="M17" s="321" t="str">
        <f>IF(VLOOKUP($E17,TaskValues_ref!$E:$Z,13,FALSE)=0,"",VLOOKUP($E17,TaskValues_ref!$E:$Z,13,FALSE))</f>
        <v/>
      </c>
      <c r="N17" s="89" t="str">
        <f>IF(VLOOKUP($E17,TaskValues_ref!$E:$Z,15,FALSE)=0,"",VLOOKUP($E17,TaskValues_ref!$E:$Z,15,FALSE))</f>
        <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2169</v>
      </c>
      <c r="B18" s="356" t="s">
        <v>2243</v>
      </c>
      <c r="C18" s="356"/>
      <c r="D18" s="353">
        <v>32</v>
      </c>
      <c r="E18" s="64" t="s">
        <v>2267</v>
      </c>
      <c r="F18" s="319" t="str">
        <f>VLOOKUP(E18,TaskValues_ref!E:F,2,FALSE)</f>
        <v>RI birth</v>
      </c>
      <c r="G18" s="321" t="str">
        <f>VLOOKUP($E18,TaskValues_ref!$E:$Z,3,FALSE)</f>
        <v>Clinical</v>
      </c>
      <c r="H18" s="321" t="str">
        <f>VLOOKUP($E18,TaskValues_ref!$E:$Z,4,FALSE)</f>
        <v>Preventive</v>
      </c>
      <c r="I18" s="321" t="str">
        <f>VLOOKUP($E18,TaskValues_ref!$E:$Z,5,FALSE)</f>
        <v>Immunization</v>
      </c>
      <c r="J18" s="320" t="str">
        <f>VLOOKUP($E18,TaskValues_ref!$E:$Z,6,FALSE)</f>
        <v>births</v>
      </c>
      <c r="K18" s="321" t="str">
        <f>VLOOKUP($E18,TaskValues_ref!$E:$Z,10,FALSE)</f>
        <v>National</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2169</v>
      </c>
      <c r="B19" s="356" t="s">
        <v>2243</v>
      </c>
      <c r="C19" s="356"/>
      <c r="D19" s="353">
        <v>32</v>
      </c>
      <c r="E19" s="64" t="s">
        <v>2268</v>
      </c>
      <c r="F19" s="319" t="str">
        <f>VLOOKUP(E19,TaskValues_ref!E:F,2,FALSE)</f>
        <v>RI 1st year</v>
      </c>
      <c r="G19" s="321" t="str">
        <f>VLOOKUP($E19,TaskValues_ref!$E:$Z,3,FALSE)</f>
        <v>Clinical</v>
      </c>
      <c r="H19" s="321" t="str">
        <f>VLOOKUP($E19,TaskValues_ref!$E:$Z,4,FALSE)</f>
        <v>Preventive</v>
      </c>
      <c r="I19" s="321" t="str">
        <f>VLOOKUP($E19,TaskValues_ref!$E:$Z,5,FALSE)</f>
        <v>Immunization</v>
      </c>
      <c r="J19" s="320" t="str">
        <f>VLOOKUP($E19,TaskValues_ref!$E:$Z,6,FALSE)</f>
        <v>1 yo</v>
      </c>
      <c r="K19" s="321" t="str">
        <f>VLOOKUP($E19,TaskValues_ref!$E:$Z,10,FALSE)</f>
        <v>National</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2169</v>
      </c>
      <c r="B20" s="356" t="s">
        <v>2243</v>
      </c>
      <c r="C20" s="356"/>
      <c r="D20" s="353">
        <v>32</v>
      </c>
      <c r="E20" s="64" t="s">
        <v>2269</v>
      </c>
      <c r="F20" s="319" t="str">
        <f>VLOOKUP(E20,TaskValues_ref!E:F,2,FALSE)</f>
        <v>RI 2nd year</v>
      </c>
      <c r="G20" s="321" t="str">
        <f>VLOOKUP($E20,TaskValues_ref!$E:$Z,3,FALSE)</f>
        <v>Clinical</v>
      </c>
      <c r="H20" s="321" t="str">
        <f>VLOOKUP($E20,TaskValues_ref!$E:$Z,4,FALSE)</f>
        <v>Preventive</v>
      </c>
      <c r="I20" s="321" t="str">
        <f>VLOOKUP($E20,TaskValues_ref!$E:$Z,5,FALSE)</f>
        <v>Immunization</v>
      </c>
      <c r="J20" s="320" t="str">
        <f>VLOOKUP($E20,TaskValues_ref!$E:$Z,6,FALSE)</f>
        <v>2 yo</v>
      </c>
      <c r="K20" s="321" t="str">
        <f>VLOOKUP($E20,TaskValues_ref!$E:$Z,10,FALSE)</f>
        <v>National</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2243</v>
      </c>
      <c r="C21" s="356"/>
      <c r="D21" s="353">
        <v>32</v>
      </c>
      <c r="E21" s="64" t="s">
        <v>2270</v>
      </c>
      <c r="F21" s="319" t="str">
        <f>VLOOKUP(E21,TaskValues_ref!E:F,2,FALSE)</f>
        <v>RI Td CBA</v>
      </c>
      <c r="G21" s="321" t="str">
        <f>VLOOKUP($E21,TaskValues_ref!$E:$Z,3,FALSE)</f>
        <v>Clinical</v>
      </c>
      <c r="H21" s="321" t="str">
        <f>VLOOKUP($E21,TaskValues_ref!$E:$Z,4,FALSE)</f>
        <v>Preventive</v>
      </c>
      <c r="I21" s="321" t="str">
        <f>VLOOKUP($E21,TaskValues_ref!$E:$Z,5,FALSE)</f>
        <v>Immunization</v>
      </c>
      <c r="J21" s="320" t="str">
        <f>VLOOKUP($E21,TaskValues_ref!$E:$Z,6,FALSE)</f>
        <v>births</v>
      </c>
      <c r="K21" s="321" t="str">
        <f>VLOOKUP($E21,TaskValues_ref!$E:$Z,10,FALSE)</f>
        <v>National</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2</v>
      </c>
      <c r="P21" t="str">
        <f>IF(VLOOKUP($E21,TaskValues_ref!$E:$Z,17,FALSE)=0,"",VLOOKUP($E21,TaskValues_ref!$E:$Z,17,FALSE))</f>
        <v/>
      </c>
      <c r="Q21" t="str">
        <f>IF(VLOOKUP($E21,TaskValues_ref!$E:$Z,18,FALSE)=0,"",VLOOKUP($E21,TaskValues_ref!$E:$Z,18,FALSE))</f>
        <v/>
      </c>
      <c r="R21" t="str">
        <f>IF(VLOOKUP($E21,TaskValues_ref!$E:$Z,19,FALSE)=0,"",VLOOKUP($E21,TaskValues_ref!$E:$Z,19,FALSE))</f>
        <v/>
      </c>
      <c r="S21" t="str">
        <f>IF(VLOOKUP($E21,TaskValues_ref!$E:$Z,20,FALSE)=0,"",VLOOKUP($E21,TaskValues_ref!$E:$Z,20,FALSE))</f>
        <v/>
      </c>
    </row>
    <row r="22" spans="1:19" x14ac:dyDescent="0.35">
      <c r="A22" s="355" t="s">
        <v>2169</v>
      </c>
      <c r="B22" s="356" t="s">
        <v>2243</v>
      </c>
      <c r="C22" s="356"/>
      <c r="D22" s="353">
        <v>33</v>
      </c>
      <c r="E22" s="64" t="s">
        <v>2262</v>
      </c>
      <c r="F22" s="319" t="str">
        <f>VLOOKUP(E22,TaskValues_ref!E:F,2,FALSE)</f>
        <v>SIAs</v>
      </c>
      <c r="G22" s="321" t="str">
        <f>VLOOKUP($E22,TaskValues_ref!$E:$Z,3,FALSE)</f>
        <v>Clinical</v>
      </c>
      <c r="H22" s="321" t="str">
        <f>VLOOKUP($E22,TaskValues_ref!$E:$Z,4,FALSE)</f>
        <v>Preventive</v>
      </c>
      <c r="I22" s="321" t="str">
        <f>VLOOKUP($E22,TaskValues_ref!$E:$Z,5,FALSE)</f>
        <v>Immunization</v>
      </c>
      <c r="J22" s="320" t="str">
        <f>VLOOKUP($E22,TaskValues_ref!$E:$Z,6,FALSE)</f>
        <v>1-4</v>
      </c>
      <c r="K22" s="321" t="str">
        <f>VLOOKUP($E22,TaskValues_ref!$E:$Z,10,FALSE)</f>
        <v>National</v>
      </c>
      <c r="L22" s="195">
        <f>IF(VLOOKUP($E22,TaskValues_ref!$E:$Z,11,FALSE)=0,"",VLOOKUP($E22,TaskValues_ref!$E:$Z,11,FALSE))</f>
        <v>1</v>
      </c>
      <c r="M22" s="321" t="str">
        <f>IF(VLOOKUP($E22,TaskValues_ref!$E:$Z,13,FALSE)=0,"",VLOOKUP($E22,TaskValues_ref!$E:$Z,13,FALSE))</f>
        <v/>
      </c>
      <c r="N22" s="89" t="str">
        <f>IF(VLOOKUP($E22,TaskValues_ref!$E:$Z,15,FALSE)=0,"",VLOOKUP($E22,TaskValues_ref!$E:$Z,15,FALSE))</f>
        <v/>
      </c>
      <c r="O22" t="str">
        <f>IF(VLOOKUP($E22,TaskValues_ref!$E:$Z,16,FALSE)=0,"",VLOOKUP($E22,TaskValues_ref!$E:$Z,16,FALSE))</f>
        <v/>
      </c>
      <c r="P22">
        <f>IF(VLOOKUP($E22,TaskValues_ref!$E:$Z,17,FALSE)=0,"",VLOOKUP($E22,TaskValues_ref!$E:$Z,17,FALSE))</f>
        <v>1</v>
      </c>
      <c r="Q22">
        <f>IF(VLOOKUP($E22,TaskValues_ref!$E:$Z,18,FALSE)=0,"",VLOOKUP($E22,TaskValues_ref!$E:$Z,18,FALSE))</f>
        <v>2</v>
      </c>
      <c r="R22" t="str">
        <f>IF(VLOOKUP($E22,TaskValues_ref!$E:$Z,19,FALSE)=0,"",VLOOKUP($E22,TaskValues_ref!$E:$Z,19,FALSE))</f>
        <v/>
      </c>
      <c r="S22" t="str">
        <f>IF(VLOOKUP($E22,TaskValues_ref!$E:$Z,20,FALSE)=0,"",VLOOKUP($E22,TaskValues_ref!$E:$Z,20,FALSE))</f>
        <v/>
      </c>
    </row>
    <row r="23" spans="1:19" x14ac:dyDescent="0.35">
      <c r="A23" s="355" t="s">
        <v>2169</v>
      </c>
      <c r="B23" s="356" t="s">
        <v>2243</v>
      </c>
      <c r="C23" s="356"/>
      <c r="D23" s="353">
        <v>34</v>
      </c>
      <c r="E23" s="64" t="s">
        <v>2263</v>
      </c>
      <c r="F23" s="319" t="str">
        <f>VLOOKUP(E23,TaskValues_ref!E:F,2,FALSE)</f>
        <v>RI adverse effects</v>
      </c>
      <c r="G23" s="321" t="str">
        <f>VLOOKUP($E23,TaskValues_ref!$E:$Z,3,FALSE)</f>
        <v>Clinical</v>
      </c>
      <c r="H23" s="321" t="str">
        <f>VLOOKUP($E23,TaskValues_ref!$E:$Z,4,FALSE)</f>
        <v>Acute</v>
      </c>
      <c r="I23" s="321" t="str">
        <f>VLOOKUP($E23,TaskValues_ref!$E:$Z,5,FALSE)</f>
        <v>Immunization</v>
      </c>
      <c r="J23" s="320" t="str">
        <f>VLOOKUP($E23,TaskValues_ref!$E:$Z,6,FALSE)</f>
        <v>-</v>
      </c>
      <c r="K23" s="321" t="str">
        <f>VLOOKUP($E23,TaskValues_ref!$E:$Z,10,FALSE)</f>
        <v>National</v>
      </c>
      <c r="L23" s="195">
        <f>IF(VLOOKUP($E23,TaskValues_ref!$E:$Z,11,FALSE)=0,"",VLOOKUP($E23,TaskValues_ref!$E:$Z,11,FALSE))</f>
        <v>1.4999999999999999E-2</v>
      </c>
      <c r="M23" s="321" t="str">
        <f>IF(VLOOKUP($E23,TaskValues_ref!$E:$Z,13,FALSE)=0,"",VLOOKUP($E23,TaskValues_ref!$E:$Z,13,FALSE))</f>
        <v/>
      </c>
      <c r="N23" s="89">
        <f>IF(VLOOKUP($E23,TaskValues_ref!$E:$Z,15,FALSE)=0,"",VLOOKUP($E23,TaskValues_ref!$E:$Z,15,FALSE))</f>
        <v>1</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2169</v>
      </c>
      <c r="B24" s="356" t="s">
        <v>2243</v>
      </c>
      <c r="C24" s="356"/>
      <c r="D24" s="353">
        <v>35</v>
      </c>
      <c r="E24" s="64" t="s">
        <v>2264</v>
      </c>
      <c r="F24" s="319" t="str">
        <f>VLOOKUP(E24,TaskValues_ref!E:F,2,FALSE)</f>
        <v>Outbreak detection &amp; response</v>
      </c>
      <c r="G24" s="321" t="str">
        <f>VLOOKUP($E24,TaskValues_ref!$E:$Z,3,FALSE)</f>
        <v>Non-clinical</v>
      </c>
      <c r="H24" s="321" t="str">
        <f>VLOOKUP($E24,TaskValues_ref!$E:$Z,4,FALSE)</f>
        <v>Public Health</v>
      </c>
      <c r="I24" s="321" t="str">
        <f>VLOOKUP($E24,TaskValues_ref!$E:$Z,5,FALSE)</f>
        <v>Immunization</v>
      </c>
      <c r="J24" s="320" t="str">
        <f>VLOOKUP($E24,TaskValues_ref!$E:$Z,6,FALSE)</f>
        <v>-</v>
      </c>
      <c r="K24" s="321" t="str">
        <f>VLOOKUP($E24,TaskValues_ref!$E:$Z,10,FALSE)</f>
        <v>National</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35">
      <c r="A25" s="355" t="s">
        <v>2169</v>
      </c>
      <c r="B25" s="356" t="s">
        <v>2243</v>
      </c>
      <c r="C25" s="356"/>
      <c r="D25" s="353">
        <v>36</v>
      </c>
      <c r="E25" s="64" t="s">
        <v>2265</v>
      </c>
      <c r="F25" s="319" t="str">
        <f>VLOOKUP(E25,TaskValues_ref!E:F,2,FALSE)</f>
        <v>Mobiliation &amp; promotion of EPI</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National</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5" t="s">
        <v>2169</v>
      </c>
      <c r="B26" s="356" t="s">
        <v>2243</v>
      </c>
      <c r="C26" s="356"/>
      <c r="D26" s="353">
        <v>37</v>
      </c>
      <c r="E26" s="64" t="s">
        <v>2266</v>
      </c>
      <c r="F26" s="319" t="str">
        <f>VLOOKUP(E26,TaskValues_ref!E:F,2,FALSE)</f>
        <v>VPD surveillance</v>
      </c>
      <c r="G26" s="321" t="str">
        <f>VLOOKUP($E26,TaskValues_ref!$E:$Z,3,FALSE)</f>
        <v>Non-productive</v>
      </c>
      <c r="H26" s="321" t="str">
        <f>VLOOKUP($E26,TaskValues_ref!$E:$Z,4,FALSE)</f>
        <v>Public Health</v>
      </c>
      <c r="I26" s="321" t="str">
        <f>VLOOKUP($E26,TaskValues_ref!$E:$Z,5,FALSE)</f>
        <v>Immunization</v>
      </c>
      <c r="J26" s="320" t="str">
        <f>VLOOKUP($E26,TaskValues_ref!$E:$Z,6,FALSE)</f>
        <v>-</v>
      </c>
      <c r="K26" s="321" t="str">
        <f>VLOOKUP($E26,TaskValues_ref!$E:$Z,10,FALSE)</f>
        <v>National</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2169</v>
      </c>
      <c r="B27" s="356" t="s">
        <v>2274</v>
      </c>
      <c r="C27" s="356"/>
      <c r="D27" s="353">
        <v>38</v>
      </c>
      <c r="E27" s="64" t="s">
        <v>2302</v>
      </c>
      <c r="F27" s="319" t="str">
        <f>VLOOKUP(E27,TaskValues_ref!E:F,2,FALSE)</f>
        <v>FP consult first time</v>
      </c>
      <c r="G27" s="321" t="str">
        <f>VLOOKUP($E27,TaskValues_ref!$E:$Z,3,FALSE)</f>
        <v>Clinical</v>
      </c>
      <c r="H27" s="321" t="str">
        <f>VLOOKUP($E27,TaskValues_ref!$E:$Z,4,FALSE)</f>
        <v>Preventive</v>
      </c>
      <c r="I27" s="321" t="str">
        <f>VLOOKUP($E27,TaskValues_ref!$E:$Z,5,FALSE)</f>
        <v>Family planning</v>
      </c>
      <c r="J27" s="320" t="str">
        <f>VLOOKUP($E27,TaskValues_ref!$E:$Z,6,FALSE)</f>
        <v>18 yo women</v>
      </c>
      <c r="K27" s="321" t="str">
        <f>VLOOKUP($E27,TaskValues_ref!$E:$Z,10,FALSE)</f>
        <v>National</v>
      </c>
      <c r="L27" s="195">
        <f>IF(VLOOKUP($E27,TaskValues_ref!$E:$Z,11,FALSE)=0,"",VLOOKUP($E27,TaskValues_ref!$E:$Z,11,FALSE))</f>
        <v>0.58399999999999996</v>
      </c>
      <c r="M27" s="321" t="str">
        <f>IF(VLOOKUP($E27,TaskValues_ref!$E:$Z,13,FALSE)=0,"",VLOOKUP($E27,TaskValues_ref!$E:$Z,13,FALSE))</f>
        <v/>
      </c>
      <c r="N27" s="89">
        <f>IF(VLOOKUP($E27,TaskValues_ref!$E:$Z,15,FALSE)=0,"",VLOOKUP($E27,TaskValues_ref!$E:$Z,15,FALSE))</f>
        <v>1</v>
      </c>
      <c r="O27">
        <f>IF(VLOOKUP($E27,TaskValues_ref!$E:$Z,16,FALSE)=0,"",VLOOKUP($E27,TaskValues_ref!$E:$Z,16,FALSE))</f>
        <v>1</v>
      </c>
      <c r="P27" t="str">
        <f>IF(VLOOKUP($E27,TaskValues_ref!$E:$Z,17,FALSE)=0,"",VLOOKUP($E27,TaskValues_ref!$E:$Z,17,FALSE))</f>
        <v/>
      </c>
      <c r="Q27">
        <f>IF(VLOOKUP($E27,TaskValues_ref!$E:$Z,18,FALSE)=0,"",VLOOKUP($E27,TaskValues_ref!$E:$Z,18,FALSE))</f>
        <v>15</v>
      </c>
      <c r="R27" t="str">
        <f>IF(VLOOKUP($E27,TaskValues_ref!$E:$Z,19,FALSE)=0,"",VLOOKUP($E27,TaskValues_ref!$E:$Z,19,FALSE))</f>
        <v/>
      </c>
      <c r="S27" t="str">
        <f>IF(VLOOKUP($E27,TaskValues_ref!$E:$Z,20,FALSE)=0,"",VLOOKUP($E27,TaskValues_ref!$E:$Z,20,FALSE))</f>
        <v/>
      </c>
    </row>
    <row r="28" spans="1:19" x14ac:dyDescent="0.35">
      <c r="A28" s="355" t="s">
        <v>2169</v>
      </c>
      <c r="B28" s="356" t="s">
        <v>2274</v>
      </c>
      <c r="C28" s="356"/>
      <c r="D28" s="353">
        <v>38</v>
      </c>
      <c r="E28" s="64" t="s">
        <v>2303</v>
      </c>
      <c r="F28" s="319" t="str">
        <f>VLOOKUP(E28,TaskValues_ref!E:F,2,FALSE)</f>
        <v>FP consult postpartum</v>
      </c>
      <c r="G28" s="321" t="str">
        <f>VLOOKUP($E28,TaskValues_ref!$E:$Z,3,FALSE)</f>
        <v>Clinical</v>
      </c>
      <c r="H28" s="321" t="str">
        <f>VLOOKUP($E28,TaskValues_ref!$E:$Z,4,FALSE)</f>
        <v>Preventive</v>
      </c>
      <c r="I28" s="321" t="str">
        <f>VLOOKUP($E28,TaskValues_ref!$E:$Z,5,FALSE)</f>
        <v>Family planning</v>
      </c>
      <c r="J28" s="320" t="str">
        <f>VLOOKUP($E28,TaskValues_ref!$E:$Z,6,FALSE)</f>
        <v>births</v>
      </c>
      <c r="K28" s="321" t="str">
        <f>VLOOKUP($E28,TaskValues_ref!$E:$Z,10,FALSE)</f>
        <v>National</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2169</v>
      </c>
      <c r="B29" s="356" t="s">
        <v>2274</v>
      </c>
      <c r="C29" s="356"/>
      <c r="D29" s="353">
        <v>38</v>
      </c>
      <c r="E29" s="64" t="s">
        <v>2304</v>
      </c>
      <c r="F29" s="319" t="str">
        <f>VLOOKUP(E29,TaskValues_ref!E:F,2,FALSE)</f>
        <v>FP consult switch</v>
      </c>
      <c r="G29" s="321" t="str">
        <f>VLOOKUP($E29,TaskValues_ref!$E:$Z,3,FALSE)</f>
        <v>Clinical</v>
      </c>
      <c r="H29" s="321" t="str">
        <f>VLOOKUP($E29,TaskValues_ref!$E:$Z,4,FALSE)</f>
        <v>Preventive</v>
      </c>
      <c r="I29" s="321" t="str">
        <f>VLOOKUP($E29,TaskValues_ref!$E:$Z,5,FALSE)</f>
        <v>Family planning</v>
      </c>
      <c r="J29" s="320" t="str">
        <f>VLOOKUP($E29,TaskValues_ref!$E:$Z,6,FALSE)</f>
        <v>women 15-49</v>
      </c>
      <c r="K29" s="321" t="str">
        <f>VLOOKUP($E29,TaskValues_ref!$E:$Z,10,FALSE)</f>
        <v>National</v>
      </c>
      <c r="L29" s="195">
        <f>IF(VLOOKUP($E29,TaskValues_ref!$E:$Z,11,FALSE)=0,"",VLOOKUP($E29,TaskValues_ref!$E:$Z,11,FALSE))</f>
        <v>5.0116865018980945E-2</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2169</v>
      </c>
      <c r="B30" s="356" t="s">
        <v>2274</v>
      </c>
      <c r="C30" s="356"/>
      <c r="D30" s="353">
        <v>38</v>
      </c>
      <c r="E30" s="64" t="s">
        <v>2305</v>
      </c>
      <c r="F30" s="319" t="str">
        <f>VLOOKUP(E30,TaskValues_ref!E:F,2,FALSE)</f>
        <v>FP consult discontinue</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National</v>
      </c>
      <c r="L30" s="195">
        <f>IF(VLOOKUP($E30,TaskValues_ref!$E:$Z,11,FALSE)=0,"",VLOOKUP($E30,TaskValues_ref!$E:$Z,11,FALSE))</f>
        <v>0.26812151014720248</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35">
      <c r="A31" s="355" t="s">
        <v>2169</v>
      </c>
      <c r="B31" s="356" t="s">
        <v>2274</v>
      </c>
      <c r="C31" s="356"/>
      <c r="D31" s="353">
        <v>39</v>
      </c>
      <c r="E31" s="64" t="s">
        <v>2654</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National</v>
      </c>
      <c r="L31" s="195">
        <f>IF(VLOOKUP($E31,TaskValues_ref!$E:$Z,11,FALSE)=0,"",VLOOKUP($E31,TaskValues_ref!$E:$Z,11,FALSE))</f>
        <v>0.40457124527547378</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2169</v>
      </c>
      <c r="B32" s="356" t="s">
        <v>2274</v>
      </c>
      <c r="C32" s="356"/>
      <c r="D32" s="353">
        <v>42</v>
      </c>
      <c r="E32" s="64" t="s">
        <v>2657</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National</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2169</v>
      </c>
      <c r="B33" s="356" t="s">
        <v>2274</v>
      </c>
      <c r="C33" s="356"/>
      <c r="D33" s="353">
        <v>44</v>
      </c>
      <c r="E33" s="64" t="s">
        <v>2659</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National</v>
      </c>
      <c r="L33" s="195">
        <f>IF(VLOOKUP($E33,TaskValues_ref!$E:$Z,11,FALSE)=0,"",VLOOKUP($E33,TaskValues_ref!$E:$Z,11,FALSE))</f>
        <v>9.6000000000000002E-2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35">
      <c r="A34" s="355" t="s">
        <v>2169</v>
      </c>
      <c r="B34" s="356" t="s">
        <v>2274</v>
      </c>
      <c r="C34" s="356"/>
      <c r="D34" s="353">
        <v>45</v>
      </c>
      <c r="E34" s="64" t="s">
        <v>2660</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National</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2274</v>
      </c>
      <c r="C35" s="356"/>
      <c r="D35" s="353">
        <v>47</v>
      </c>
      <c r="E35" s="64" t="s">
        <v>2662</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National</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2169</v>
      </c>
      <c r="B36" s="356" t="s">
        <v>2274</v>
      </c>
      <c r="C36" s="356"/>
      <c r="D36" s="353">
        <v>48</v>
      </c>
      <c r="E36" s="64" t="s">
        <v>2663</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2169</v>
      </c>
      <c r="B37" s="356" t="s">
        <v>2274</v>
      </c>
      <c r="C37" s="356"/>
      <c r="D37" s="353">
        <v>49</v>
      </c>
      <c r="E37" s="64" t="s">
        <v>2664</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National</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2169</v>
      </c>
      <c r="B38" s="356" t="s">
        <v>2274</v>
      </c>
      <c r="C38" s="356"/>
      <c r="D38" s="353">
        <v>50</v>
      </c>
      <c r="E38" s="64" t="s">
        <v>2665</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National</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2169</v>
      </c>
      <c r="B39" s="356" t="s">
        <v>2274</v>
      </c>
      <c r="C39" s="356"/>
      <c r="D39" s="353">
        <v>51</v>
      </c>
      <c r="E39" s="64" t="s">
        <v>2666</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National</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35">
      <c r="A40" s="355" t="s">
        <v>2169</v>
      </c>
      <c r="B40" s="356" t="s">
        <v>2274</v>
      </c>
      <c r="C40" s="356"/>
      <c r="D40" s="353">
        <v>52</v>
      </c>
      <c r="E40" s="64" t="s">
        <v>2667</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National</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2169</v>
      </c>
      <c r="B41" s="356" t="s">
        <v>2274</v>
      </c>
      <c r="C41" s="356"/>
      <c r="D41" s="353">
        <v>53</v>
      </c>
      <c r="E41" s="64" t="s">
        <v>2668</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2169</v>
      </c>
      <c r="B42" s="356" t="s">
        <v>2274</v>
      </c>
      <c r="C42" s="356"/>
      <c r="D42" s="353">
        <v>58</v>
      </c>
      <c r="E42" s="64" t="s">
        <v>2673</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National</v>
      </c>
      <c r="L42" s="195">
        <f>IF(VLOOKUP($E42,TaskValues_ref!$E:$Z,11,FALSE)=0,"",VLOOKUP($E42,TaskValues_ref!$E:$Z,11,FALSE))</f>
        <v>0.37019999999999997</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35">
      <c r="A43" s="355" t="s">
        <v>2169</v>
      </c>
      <c r="B43" s="356" t="s">
        <v>2274</v>
      </c>
      <c r="C43" s="356"/>
      <c r="D43" s="353">
        <v>59</v>
      </c>
      <c r="E43" s="64" t="s">
        <v>2674</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National</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2169</v>
      </c>
      <c r="B44" s="356" t="s">
        <v>2274</v>
      </c>
      <c r="C44" s="356"/>
      <c r="D44" s="353">
        <v>62</v>
      </c>
      <c r="E44" s="64" t="s">
        <v>2677</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35">
      <c r="A45" s="355" t="s">
        <v>2169</v>
      </c>
      <c r="B45" s="356" t="s">
        <v>70</v>
      </c>
      <c r="C45" s="356"/>
      <c r="D45" s="353">
        <v>64</v>
      </c>
      <c r="E45" s="64" t="s">
        <v>2678</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National</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35">
      <c r="A46" s="355" t="s">
        <v>2169</v>
      </c>
      <c r="B46" s="356" t="s">
        <v>70</v>
      </c>
      <c r="C46" s="356"/>
      <c r="D46" s="353">
        <v>65</v>
      </c>
      <c r="E46" s="64" t="s">
        <v>2679</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National</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2169</v>
      </c>
      <c r="B47" s="356" t="s">
        <v>70</v>
      </c>
      <c r="C47" s="356"/>
      <c r="D47" s="353">
        <v>66</v>
      </c>
      <c r="E47" s="64" t="s">
        <v>2680</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National</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2169</v>
      </c>
      <c r="B48" s="356" t="s">
        <v>70</v>
      </c>
      <c r="C48" s="356"/>
      <c r="D48" s="353">
        <v>67</v>
      </c>
      <c r="E48" s="64" t="s">
        <v>2681</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2169</v>
      </c>
      <c r="B49" s="356" t="s">
        <v>70</v>
      </c>
      <c r="C49" s="356"/>
      <c r="D49" s="372">
        <v>70</v>
      </c>
      <c r="E49" s="64" t="s">
        <v>2683</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2169</v>
      </c>
      <c r="B50" s="356" t="s">
        <v>70</v>
      </c>
      <c r="C50" s="356"/>
      <c r="D50" s="372">
        <v>71</v>
      </c>
      <c r="E50" s="64" t="s">
        <v>2684</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2169</v>
      </c>
      <c r="B51" s="356" t="s">
        <v>70</v>
      </c>
      <c r="C51" s="356"/>
      <c r="D51" s="372">
        <v>74</v>
      </c>
      <c r="E51" s="64" t="s">
        <v>2687</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2169</v>
      </c>
      <c r="B52" s="356" t="s">
        <v>70</v>
      </c>
      <c r="C52" s="356"/>
      <c r="D52" s="372">
        <v>75</v>
      </c>
      <c r="E52" s="64" t="s">
        <v>2688</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2169</v>
      </c>
      <c r="B53" s="356" t="s">
        <v>70</v>
      </c>
      <c r="C53" s="356"/>
      <c r="D53" s="372">
        <v>76</v>
      </c>
      <c r="E53" s="64" t="s">
        <v>2689</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National</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2169</v>
      </c>
      <c r="B54" s="356" t="s">
        <v>70</v>
      </c>
      <c r="C54" s="356"/>
      <c r="D54" s="372">
        <v>77</v>
      </c>
      <c r="E54" s="64" t="s">
        <v>2690</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National</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35">
      <c r="A55" s="355" t="s">
        <v>2169</v>
      </c>
      <c r="B55" s="356" t="s">
        <v>70</v>
      </c>
      <c r="C55" s="356"/>
      <c r="D55" s="372">
        <v>78</v>
      </c>
      <c r="E55" s="64" t="s">
        <v>2691</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National</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2169</v>
      </c>
      <c r="B56" s="356" t="s">
        <v>70</v>
      </c>
      <c r="C56" s="356"/>
      <c r="D56" s="372">
        <v>79</v>
      </c>
      <c r="E56" s="64" t="s">
        <v>2692</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National</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2169</v>
      </c>
      <c r="B57" s="356" t="s">
        <v>70</v>
      </c>
      <c r="C57" s="356"/>
      <c r="D57" s="372">
        <v>80</v>
      </c>
      <c r="E57" s="64" t="s">
        <v>2693</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2169</v>
      </c>
      <c r="B58" s="356" t="s">
        <v>70</v>
      </c>
      <c r="C58" s="356"/>
      <c r="D58" s="372">
        <v>81</v>
      </c>
      <c r="E58" s="64" t="s">
        <v>2694</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70</v>
      </c>
      <c r="C59" s="356"/>
      <c r="D59" s="372">
        <v>82</v>
      </c>
      <c r="E59" s="64" t="s">
        <v>2695</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70</v>
      </c>
      <c r="C60" s="356"/>
      <c r="D60" s="372">
        <v>83</v>
      </c>
      <c r="E60" s="64" t="s">
        <v>2696</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70</v>
      </c>
      <c r="C61" s="356"/>
      <c r="D61" s="372">
        <v>84</v>
      </c>
      <c r="E61" s="64" t="s">
        <v>2697</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2169</v>
      </c>
      <c r="B62" s="356" t="s">
        <v>70</v>
      </c>
      <c r="C62" s="356"/>
      <c r="D62" s="372">
        <v>85</v>
      </c>
      <c r="E62" s="64" t="s">
        <v>2698</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2169</v>
      </c>
      <c r="B63" s="356" t="s">
        <v>70</v>
      </c>
      <c r="C63" s="356"/>
      <c r="D63" s="372">
        <v>86</v>
      </c>
      <c r="E63" s="64" t="s">
        <v>2699</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7" t="s">
        <v>2347</v>
      </c>
      <c r="B64" s="357" t="s">
        <v>2345</v>
      </c>
      <c r="C64" s="357" t="s">
        <v>2346</v>
      </c>
      <c r="D64" s="66">
        <v>95</v>
      </c>
      <c r="E64" s="64" t="s">
        <v>2701</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National</v>
      </c>
      <c r="L64" s="195">
        <f>IF(VLOOKUP($E64,TaskValues_ref!$E:$Z,11,FALSE)=0,"",VLOOKUP($E64,TaskValues_ref!$E:$Z,11,FALSE))</f>
        <v>2.0926851436312916E-4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35">
      <c r="A65" s="357" t="s">
        <v>2347</v>
      </c>
      <c r="B65" s="357" t="s">
        <v>2345</v>
      </c>
      <c r="C65" s="357" t="s">
        <v>2346</v>
      </c>
      <c r="D65" s="66">
        <v>99</v>
      </c>
      <c r="E65" s="64" t="s">
        <v>2705</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National</v>
      </c>
      <c r="L65" s="195">
        <f>IF(VLOOKUP($E65,TaskValues_ref!$E:$Z,11,FALSE)=0,"",VLOOKUP($E65,TaskValues_ref!$E:$Z,11,FALSE))</f>
        <v>2.0926851436312916E-4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35">
      <c r="A66" s="357" t="s">
        <v>2347</v>
      </c>
      <c r="B66" s="357" t="s">
        <v>2345</v>
      </c>
      <c r="C66" s="357" t="s">
        <v>69</v>
      </c>
      <c r="D66" s="66">
        <v>102</v>
      </c>
      <c r="E66" s="64" t="s">
        <v>2708</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National</v>
      </c>
      <c r="L66" s="195">
        <f>IF(VLOOKUP($E66,TaskValues_ref!$E:$Z,11,FALSE)=0,"",VLOOKUP($E66,TaskValues_ref!$E:$Z,11,FALSE))</f>
        <v>0.21739130434782611</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35">
      <c r="A67" s="357" t="s">
        <v>2347</v>
      </c>
      <c r="B67" s="357" t="s">
        <v>2345</v>
      </c>
      <c r="C67" s="357" t="s">
        <v>69</v>
      </c>
      <c r="D67" s="66">
        <v>105</v>
      </c>
      <c r="E67" s="64" t="s">
        <v>2709</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7" t="s">
        <v>2347</v>
      </c>
      <c r="B68" s="357" t="s">
        <v>2345</v>
      </c>
      <c r="C68" s="357" t="s">
        <v>69</v>
      </c>
      <c r="D68" s="66">
        <v>106</v>
      </c>
      <c r="E68" s="64" t="s">
        <v>2710</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7" t="s">
        <v>2347</v>
      </c>
      <c r="B69" s="357" t="s">
        <v>2345</v>
      </c>
      <c r="C69" s="357" t="s">
        <v>69</v>
      </c>
      <c r="D69" s="66">
        <v>107</v>
      </c>
      <c r="E69" s="64" t="s">
        <v>2711</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National</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7" t="s">
        <v>2347</v>
      </c>
      <c r="B70" s="357" t="s">
        <v>2345</v>
      </c>
      <c r="C70" s="357" t="s">
        <v>2377</v>
      </c>
      <c r="D70" s="66">
        <v>108</v>
      </c>
      <c r="E70" s="64" t="s">
        <v>2383</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National</v>
      </c>
      <c r="L70" s="195">
        <f>IF(VLOOKUP($E70,TaskValues_ref!$E:$Z,11,FALSE)=0,"",VLOOKUP($E70,TaskValues_ref!$E:$Z,11,FALSE))</f>
        <v>1.2945230835262726E-3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7" t="s">
        <v>2347</v>
      </c>
      <c r="B71" s="357" t="s">
        <v>2345</v>
      </c>
      <c r="C71" s="357" t="s">
        <v>2377</v>
      </c>
      <c r="D71" s="66">
        <v>108</v>
      </c>
      <c r="E71" s="64" t="s">
        <v>2384</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National</v>
      </c>
      <c r="L71" s="195">
        <f>IF(VLOOKUP($E71,TaskValues_ref!$E:$Z,11,FALSE)=0,"",VLOOKUP($E71,TaskValues_ref!$E:$Z,11,FALSE))</f>
        <v>1.2945230835262726E-3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35">
      <c r="A72" s="357" t="s">
        <v>2347</v>
      </c>
      <c r="B72" s="357" t="s">
        <v>2345</v>
      </c>
      <c r="C72" s="357" t="s">
        <v>2377</v>
      </c>
      <c r="D72" s="66">
        <v>110</v>
      </c>
      <c r="E72" s="64" t="s">
        <v>2713</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7" t="s">
        <v>2347</v>
      </c>
      <c r="B73" s="357" t="s">
        <v>2388</v>
      </c>
      <c r="C73" s="357" t="s">
        <v>2389</v>
      </c>
      <c r="D73" s="66">
        <v>112</v>
      </c>
      <c r="E73" s="64" t="s">
        <v>2393</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7" t="s">
        <v>2347</v>
      </c>
      <c r="B74" s="357" t="s">
        <v>2388</v>
      </c>
      <c r="C74" s="357" t="s">
        <v>2389</v>
      </c>
      <c r="D74" s="66">
        <v>113</v>
      </c>
      <c r="E74" s="64" t="s">
        <v>2394</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7" t="s">
        <v>2347</v>
      </c>
      <c r="B75" s="357" t="s">
        <v>2388</v>
      </c>
      <c r="C75" s="357" t="s">
        <v>2389</v>
      </c>
      <c r="D75" s="66">
        <v>114</v>
      </c>
      <c r="E75" s="64" t="s">
        <v>2395</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7" t="s">
        <v>2347</v>
      </c>
      <c r="B76" s="357" t="s">
        <v>2388</v>
      </c>
      <c r="C76" s="357" t="s">
        <v>2396</v>
      </c>
      <c r="D76" s="66">
        <v>115</v>
      </c>
      <c r="E76" s="64" t="s">
        <v>2714</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7" t="s">
        <v>2347</v>
      </c>
      <c r="B77" s="357" t="s">
        <v>2388</v>
      </c>
      <c r="C77" s="357" t="s">
        <v>2396</v>
      </c>
      <c r="D77" s="66">
        <v>117</v>
      </c>
      <c r="E77" s="64" t="s">
        <v>2716</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7" t="s">
        <v>2347</v>
      </c>
      <c r="B78" s="357" t="s">
        <v>2388</v>
      </c>
      <c r="C78" s="357" t="s">
        <v>2396</v>
      </c>
      <c r="D78" s="66">
        <v>119</v>
      </c>
      <c r="E78" s="64" t="s">
        <v>2718</v>
      </c>
      <c r="F78" s="319" t="str">
        <f>VLOOKUP(E78,TaskValues_ref!E:F,2,FALSE)</f>
        <v>Palliative care for cancer</v>
      </c>
      <c r="G78" s="321" t="str">
        <f>VLOOKUP($E78,TaskValues_ref!$E:$Z,3,FALSE)</f>
        <v>Clinical</v>
      </c>
      <c r="H78" s="321" t="str">
        <f>VLOOKUP($E78,TaskValues_ref!$E:$Z,4,FALSE)</f>
        <v>Acute</v>
      </c>
      <c r="I78" s="321" t="str">
        <f>VLOOKUP($E78,TaskValues_ref!$E:$Z,5,FALSE)</f>
        <v>NCDs</v>
      </c>
      <c r="J78" s="320" t="str">
        <f>VLOOKUP($E78,TaskValues_ref!$E:$Z,6,FALSE)</f>
        <v>adults 18+</v>
      </c>
      <c r="K78" s="321" t="str">
        <f>VLOOKUP($E78,TaskValues_ref!$E:$Z,10,FALSE)</f>
        <v>National</v>
      </c>
      <c r="L78" s="195">
        <f>IF(VLOOKUP($E78,TaskValues_ref!$E:$Z,11,FALSE)=0,"",VLOOKUP($E78,TaskValues_ref!$E:$Z,11,FALSE))</f>
        <v>4.5114286321434503E-4</v>
      </c>
      <c r="M78" s="321">
        <f>IF(VLOOKUP($E78,TaskValues_ref!$E:$Z,13,FALSE)=0,"",VLOOKUP($E78,TaskValues_ref!$E:$Z,13,FALSE))</f>
        <v>0.5</v>
      </c>
      <c r="N78" s="89">
        <f>IF(VLOOKUP($E78,TaskValues_ref!$E:$Z,15,FALSE)=0,"",VLOOKUP($E78,TaskValues_ref!$E:$Z,15,FALSE))</f>
        <v>1.01</v>
      </c>
      <c r="O78">
        <f>IF(VLOOKUP($E78,TaskValues_ref!$E:$Z,16,FALSE)=0,"",VLOOKUP($E78,TaskValues_ref!$E:$Z,16,FALSE))</f>
        <v>6</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35">
      <c r="A79" s="357" t="s">
        <v>2347</v>
      </c>
      <c r="B79" s="357" t="s">
        <v>2388</v>
      </c>
      <c r="C79" s="357" t="s">
        <v>2403</v>
      </c>
      <c r="D79" s="66">
        <v>120</v>
      </c>
      <c r="E79" s="64" t="s">
        <v>2719</v>
      </c>
      <c r="F79" s="319" t="str">
        <f>VLOOKUP(E79,TaskValues_ref!E:F,2,FALSE)</f>
        <v>Lifestyle counseling</v>
      </c>
      <c r="G79" s="321" t="str">
        <f>VLOOKUP($E79,TaskValues_ref!$E:$Z,3,FALSE)</f>
        <v>Clinical</v>
      </c>
      <c r="H79" s="321" t="str">
        <f>VLOOKUP($E79,TaskValues_ref!$E:$Z,4,FALSE)</f>
        <v>Preventive</v>
      </c>
      <c r="I79" s="321" t="str">
        <f>VLOOKUP($E79,TaskValues_ref!$E:$Z,5,FALSE)</f>
        <v>NCDs</v>
      </c>
      <c r="J79" s="320" t="str">
        <f>VLOOKUP($E79,TaskValues_ref!$E:$Z,6,FALSE)</f>
        <v>50 yo adults</v>
      </c>
      <c r="K79" s="321" t="str">
        <f>VLOOKUP($E79,TaskValues_ref!$E:$Z,10,FALSE)</f>
        <v>National</v>
      </c>
      <c r="L79" s="195" t="str">
        <f>IF(VLOOKUP($E79,TaskValues_ref!$E:$Z,11,FALSE)=0,"",VLOOKUP($E79,TaskValues_ref!$E:$Z,11,FALSE))</f>
        <v/>
      </c>
      <c r="M79" s="321" t="str">
        <f>IF(VLOOKUP($E79,TaskValues_ref!$E:$Z,13,FALSE)=0,"",VLOOKUP($E79,TaskValues_ref!$E:$Z,13,FALSE))</f>
        <v/>
      </c>
      <c r="N79" s="89">
        <f>IF(VLOOKUP($E79,TaskValues_ref!$E:$Z,15,FALSE)=0,"",VLOOKUP($E79,TaskValues_ref!$E:$Z,15,FALSE))</f>
        <v>1</v>
      </c>
      <c r="O79" t="str">
        <f>IF(VLOOKUP($E79,TaskValues_ref!$E:$Z,16,FALSE)=0,"",VLOOKUP($E79,TaskValues_ref!$E:$Z,16,FALSE))</f>
        <v/>
      </c>
      <c r="P79">
        <f>IF(VLOOKUP($E79,TaskValues_ref!$E:$Z,17,FALSE)=0,"",VLOOKUP($E79,TaskValues_ref!$E:$Z,17,FALSE))</f>
        <v>1</v>
      </c>
      <c r="Q79">
        <f>IF(VLOOKUP($E79,TaskValues_ref!$E:$Z,18,FALSE)=0,"",VLOOKUP($E79,TaskValues_ref!$E:$Z,18,FALSE))</f>
        <v>10</v>
      </c>
      <c r="R79" t="str">
        <f>IF(VLOOKUP($E79,TaskValues_ref!$E:$Z,19,FALSE)=0,"",VLOOKUP($E79,TaskValues_ref!$E:$Z,19,FALSE))</f>
        <v/>
      </c>
      <c r="S79" t="str">
        <f>IF(VLOOKUP($E79,TaskValues_ref!$E:$Z,20,FALSE)=0,"",VLOOKUP($E79,TaskValues_ref!$E:$Z,20,FALSE))</f>
        <v/>
      </c>
    </row>
    <row r="80" spans="1:19" x14ac:dyDescent="0.35">
      <c r="A80" s="357" t="s">
        <v>2347</v>
      </c>
      <c r="B80" s="357" t="s">
        <v>2388</v>
      </c>
      <c r="C80" s="357" t="s">
        <v>524</v>
      </c>
      <c r="D80" s="66">
        <v>123</v>
      </c>
      <c r="E80" s="64" t="s">
        <v>2722</v>
      </c>
      <c r="F80" s="319" t="str">
        <f>VLOOKUP(E80,TaskValues_ref!E:F,2,FALSE)</f>
        <v>Lifestyle counseling</v>
      </c>
      <c r="G80" s="321" t="str">
        <f>VLOOKUP($E80,TaskValues_ref!$E:$Z,3,FALSE)</f>
        <v>Clinical</v>
      </c>
      <c r="H80" s="321" t="str">
        <f>VLOOKUP($E80,TaskValues_ref!$E:$Z,4,FALSE)</f>
        <v>Preventive</v>
      </c>
      <c r="I80" s="321" t="str">
        <f>VLOOKUP($E80,TaskValues_ref!$E:$Z,5,FALSE)</f>
        <v>NCDs</v>
      </c>
      <c r="J80" s="320" t="str">
        <f>VLOOKUP($E80,TaskValues_ref!$E:$Z,6,FALSE)</f>
        <v>50 yo adults</v>
      </c>
      <c r="K80" s="321" t="str">
        <f>VLOOKUP($E80,TaskValues_ref!$E:$Z,10,FALSE)</f>
        <v>National</v>
      </c>
      <c r="L80" s="195" t="str">
        <f>IF(VLOOKUP($E80,TaskValues_ref!$E:$Z,11,FALSE)=0,"",VLOOKUP($E80,TaskValues_ref!$E:$Z,11,FALSE))</f>
        <v/>
      </c>
      <c r="M80" s="321" t="str">
        <f>IF(VLOOKUP($E80,TaskValues_ref!$E:$Z,13,FALSE)=0,"",VLOOKUP($E80,TaskValues_ref!$E:$Z,13,FALSE))</f>
        <v/>
      </c>
      <c r="N80" s="89">
        <f>IF(VLOOKUP($E80,TaskValues_ref!$E:$Z,15,FALSE)=0,"",VLOOKUP($E80,TaskValues_ref!$E:$Z,15,FALSE))</f>
        <v>1</v>
      </c>
      <c r="O80" t="str">
        <f>IF(VLOOKUP($E80,TaskValues_ref!$E:$Z,16,FALSE)=0,"",VLOOKUP($E80,TaskValues_ref!$E:$Z,16,FALSE))</f>
        <v/>
      </c>
      <c r="P80">
        <f>IF(VLOOKUP($E80,TaskValues_ref!$E:$Z,17,FALSE)=0,"",VLOOKUP($E80,TaskValues_ref!$E:$Z,17,FALSE))</f>
        <v>1</v>
      </c>
      <c r="Q80">
        <f>IF(VLOOKUP($E80,TaskValues_ref!$E:$Z,18,FALSE)=0,"",VLOOKUP($E80,TaskValues_ref!$E:$Z,18,FALSE))</f>
        <v>10</v>
      </c>
      <c r="R80" t="str">
        <f>IF(VLOOKUP($E80,TaskValues_ref!$E:$Z,19,FALSE)=0,"",VLOOKUP($E80,TaskValues_ref!$E:$Z,19,FALSE))</f>
        <v/>
      </c>
      <c r="S80" t="str">
        <f>IF(VLOOKUP($E80,TaskValues_ref!$E:$Z,20,FALSE)=0,"",VLOOKUP($E80,TaskValues_ref!$E:$Z,20,FALSE))</f>
        <v/>
      </c>
    </row>
    <row r="81" spans="1:19" x14ac:dyDescent="0.35">
      <c r="A81" s="357" t="s">
        <v>2347</v>
      </c>
      <c r="B81" s="357" t="s">
        <v>2388</v>
      </c>
      <c r="C81" s="357" t="s">
        <v>2404</v>
      </c>
      <c r="D81" s="66">
        <v>126</v>
      </c>
      <c r="E81" s="64" t="s">
        <v>2725</v>
      </c>
      <c r="F81" s="319" t="str">
        <f>VLOOKUP(E81,TaskValues_ref!E:F,2,FALSE)</f>
        <v>Smoking cessation</v>
      </c>
      <c r="G81" s="321" t="str">
        <f>VLOOKUP($E81,TaskValues_ref!$E:$Z,3,FALSE)</f>
        <v>Clinical</v>
      </c>
      <c r="H81" s="321" t="str">
        <f>VLOOKUP($E81,TaskValues_ref!$E:$Z,4,FALSE)</f>
        <v>Preventive</v>
      </c>
      <c r="I81" s="321" t="str">
        <f>VLOOKUP($E81,TaskValues_ref!$E:$Z,5,FALSE)</f>
        <v>NCDs</v>
      </c>
      <c r="J81" s="320" t="str">
        <f>VLOOKUP($E81,TaskValues_ref!$E:$Z,6,FALSE)</f>
        <v>men 18+</v>
      </c>
      <c r="K81" s="321" t="str">
        <f>VLOOKUP($E81,TaskValues_ref!$E:$Z,10,FALSE)</f>
        <v>National</v>
      </c>
      <c r="L81" s="195">
        <f>IF(VLOOKUP($E81,TaskValues_ref!$E:$Z,11,FALSE)=0,"",VLOOKUP($E81,TaskValues_ref!$E:$Z,11,FALSE))</f>
        <v>8.8999999999999996E-2</v>
      </c>
      <c r="M81" s="321">
        <f>IF(VLOOKUP($E81,TaskValues_ref!$E:$Z,13,FALSE)=0,"",VLOOKUP($E81,TaskValues_ref!$E:$Z,13,FALSE))</f>
        <v>0.1</v>
      </c>
      <c r="N81" s="89">
        <f>IF(VLOOKUP($E81,TaskValues_ref!$E:$Z,15,FALSE)=0,"",VLOOKUP($E81,TaskValues_ref!$E:$Z,15,FALSE))</f>
        <v>1</v>
      </c>
      <c r="O81">
        <f>IF(VLOOKUP($E81,TaskValues_ref!$E:$Z,16,FALSE)=0,"",VLOOKUP($E81,TaskValues_ref!$E:$Z,16,FALSE))</f>
        <v>2</v>
      </c>
      <c r="P81" t="str">
        <f>IF(VLOOKUP($E81,TaskValues_ref!$E:$Z,17,FALSE)=0,"",VLOOKUP($E81,TaskValues_ref!$E:$Z,17,FALSE))</f>
        <v/>
      </c>
      <c r="Q81">
        <f>IF(VLOOKUP($E81,TaskValues_ref!$E:$Z,18,FALSE)=0,"",VLOOKUP($E81,TaskValues_ref!$E:$Z,18,FALSE))</f>
        <v>10</v>
      </c>
      <c r="R81" t="str">
        <f>IF(VLOOKUP($E81,TaskValues_ref!$E:$Z,19,FALSE)=0,"",VLOOKUP($E81,TaskValues_ref!$E:$Z,19,FALSE))</f>
        <v/>
      </c>
      <c r="S81" t="str">
        <f>IF(VLOOKUP($E81,TaskValues_ref!$E:$Z,20,FALSE)=0,"",VLOOKUP($E81,TaskValues_ref!$E:$Z,20,FALSE))</f>
        <v/>
      </c>
    </row>
    <row r="82" spans="1:19" x14ac:dyDescent="0.35">
      <c r="A82" s="357" t="s">
        <v>2347</v>
      </c>
      <c r="B82" s="357" t="s">
        <v>2388</v>
      </c>
      <c r="C82" s="357" t="s">
        <v>2404</v>
      </c>
      <c r="D82" s="66">
        <v>127</v>
      </c>
      <c r="E82" s="64" t="s">
        <v>2726</v>
      </c>
      <c r="F82" s="319" t="str">
        <f>VLOOKUP(E82,TaskValues_ref!E:F,2,FALSE)</f>
        <v>Prevention of risk factors</v>
      </c>
      <c r="G82" s="321" t="str">
        <f>VLOOKUP($E82,TaskValues_ref!$E:$Z,3,FALSE)</f>
        <v>Clinical</v>
      </c>
      <c r="H82" s="321" t="str">
        <f>VLOOKUP($E82,TaskValues_ref!$E:$Z,4,FALSE)</f>
        <v>Preventive</v>
      </c>
      <c r="I82" s="321" t="str">
        <f>VLOOKUP($E82,TaskValues_ref!$E:$Z,5,FALSE)</f>
        <v>NCDs</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7" t="s">
        <v>2347</v>
      </c>
      <c r="B83" s="357" t="s">
        <v>2388</v>
      </c>
      <c r="C83" s="357" t="s">
        <v>232</v>
      </c>
      <c r="D83" s="66">
        <v>130</v>
      </c>
      <c r="E83" s="64" t="s">
        <v>2453</v>
      </c>
      <c r="F83" s="319" t="str">
        <f>VLOOKUP(E83,TaskValues_ref!E:F,2,FALSE)</f>
        <v>Generate community awareness</v>
      </c>
      <c r="G83" s="321" t="str">
        <f>VLOOKUP($E83,TaskValues_ref!$E:$Z,3,FALSE)</f>
        <v>Non-clinical</v>
      </c>
      <c r="H83" s="321" t="str">
        <f>VLOOKUP($E83,TaskValues_ref!$E:$Z,4,FALSE)</f>
        <v>Public health</v>
      </c>
      <c r="I83" s="321" t="str">
        <f>VLOOKUP($E83,TaskValues_ref!$E:$Z,5,FALSE)</f>
        <v>Mental health</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7" t="s">
        <v>2347</v>
      </c>
      <c r="B84" s="357" t="s">
        <v>2388</v>
      </c>
      <c r="C84" s="357" t="s">
        <v>232</v>
      </c>
      <c r="D84" s="66">
        <v>130</v>
      </c>
      <c r="E84" s="64" t="s">
        <v>2454</v>
      </c>
      <c r="F84" s="319" t="str">
        <f>VLOOKUP(E84,TaskValues_ref!E:F,2,FALSE)</f>
        <v>Identify &amp; link to care</v>
      </c>
      <c r="G84" s="321" t="str">
        <f>VLOOKUP($E84,TaskValues_ref!$E:$Z,3,FALSE)</f>
        <v>Clinical</v>
      </c>
      <c r="H84" s="321" t="str">
        <f>VLOOKUP($E84,TaskValues_ref!$E:$Z,4,FALSE)</f>
        <v>Acute</v>
      </c>
      <c r="I84" s="321" t="str">
        <f>VLOOKUP($E84,TaskValues_ref!$E:$Z,5,FALSE)</f>
        <v>Mental health</v>
      </c>
      <c r="J84" s="320" t="str">
        <f>VLOOKUP($E84,TaskValues_ref!$E:$Z,6,FALSE)</f>
        <v>30 yo adults</v>
      </c>
      <c r="K84" s="321" t="str">
        <f>VLOOKUP($E84,TaskValues_ref!$E:$Z,10,FALSE)</f>
        <v>National</v>
      </c>
      <c r="L84" s="195">
        <f>IF(VLOOKUP($E84,TaskValues_ref!$E:$Z,11,FALSE)=0,"",VLOOKUP($E84,TaskValues_ref!$E:$Z,11,FALSE))</f>
        <v>0.21579999999999999</v>
      </c>
      <c r="M84" s="321" t="str">
        <f>IF(VLOOKUP($E84,TaskValues_ref!$E:$Z,13,FALSE)=0,"",VLOOKUP($E84,TaskValues_ref!$E:$Z,13,FALSE))</f>
        <v/>
      </c>
      <c r="N84" s="89">
        <f>IF(VLOOKUP($E84,TaskValues_ref!$E:$Z,15,FALSE)=0,"",VLOOKUP($E84,TaskValues_ref!$E:$Z,15,FALSE))</f>
        <v>1</v>
      </c>
      <c r="O84">
        <f>IF(VLOOKUP($E84,TaskValues_ref!$E:$Z,16,FALSE)=0,"",VLOOKUP($E84,TaskValues_ref!$E:$Z,16,FALSE))</f>
        <v>1</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35">
      <c r="A85" s="357" t="s">
        <v>2347</v>
      </c>
      <c r="B85" s="357" t="s">
        <v>2388</v>
      </c>
      <c r="C85" s="357" t="s">
        <v>232</v>
      </c>
      <c r="D85" s="66">
        <v>131</v>
      </c>
      <c r="E85" s="64" t="s">
        <v>2729</v>
      </c>
      <c r="F85" s="319" t="str">
        <f>VLOOKUP(E85,TaskValues_ref!E:F,2,FALSE)</f>
        <v>Workplace stress reduction</v>
      </c>
      <c r="G85" s="321" t="str">
        <f>VLOOKUP($E85,TaskValues_ref!$E:$Z,3,FALSE)</f>
        <v>Non-clinical</v>
      </c>
      <c r="H85" s="321" t="str">
        <f>VLOOKUP($E85,TaskValues_ref!$E:$Z,4,FALSE)</f>
        <v>Public health</v>
      </c>
      <c r="I85" s="321" t="str">
        <f>VLOOKUP($E85,TaskValues_ref!$E:$Z,5,FALSE)</f>
        <v>Mental health</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7" t="s">
        <v>2347</v>
      </c>
      <c r="B86" s="357" t="s">
        <v>2388</v>
      </c>
      <c r="C86" s="357" t="s">
        <v>232</v>
      </c>
      <c r="D86" s="66">
        <v>132</v>
      </c>
      <c r="E86" s="64" t="s">
        <v>2730</v>
      </c>
      <c r="F86" s="319" t="str">
        <f>VLOOKUP(E86,TaskValues_ref!E:F,2,FALSE)</f>
        <v>School-based mental health programs</v>
      </c>
      <c r="G86" s="321" t="str">
        <f>VLOOKUP($E86,TaskValues_ref!$E:$Z,3,FALSE)</f>
        <v>Non-clinical</v>
      </c>
      <c r="H86" s="321" t="str">
        <f>VLOOKUP($E86,TaskValues_ref!$E:$Z,4,FALSE)</f>
        <v>Public health</v>
      </c>
      <c r="I86" s="321" t="str">
        <f>VLOOKUP($E86,TaskValues_ref!$E:$Z,5,FALSE)</f>
        <v>Mental health</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2347</v>
      </c>
      <c r="B87" s="357" t="s">
        <v>2388</v>
      </c>
      <c r="C87" s="357" t="s">
        <v>232</v>
      </c>
      <c r="D87" s="66">
        <v>133</v>
      </c>
      <c r="E87" s="64" t="s">
        <v>2731</v>
      </c>
      <c r="F87" s="319" t="str">
        <f>VLOOKUP(E87,TaskValues_ref!E:F,2,FALSE)</f>
        <v>Identify &amp; assess drug use</v>
      </c>
      <c r="G87" s="321" t="str">
        <f>VLOOKUP($E87,TaskValues_ref!$E:$Z,3,FALSE)</f>
        <v>Clinical</v>
      </c>
      <c r="H87" s="321" t="str">
        <f>VLOOKUP($E87,TaskValues_ref!$E:$Z,4,FALSE)</f>
        <v>Acute</v>
      </c>
      <c r="I87" s="321" t="str">
        <f>VLOOKUP($E87,TaskValues_ref!$E:$Z,5,FALSE)</f>
        <v>Mental health</v>
      </c>
      <c r="J87" s="320" t="str">
        <f>VLOOKUP($E87,TaskValues_ref!$E:$Z,6,FALSE)</f>
        <v>30 yo adults</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f>IF(VLOOKUP($E87,TaskValues_ref!$E:$Z,16,FALSE)=0,"",VLOOKUP($E87,TaskValues_ref!$E:$Z,16,FALSE))</f>
        <v>1</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35">
      <c r="A88" s="357" t="s">
        <v>2347</v>
      </c>
      <c r="B88" s="357" t="s">
        <v>2388</v>
      </c>
      <c r="C88" s="357" t="s">
        <v>232</v>
      </c>
      <c r="D88" s="66">
        <v>134</v>
      </c>
      <c r="E88" s="64" t="s">
        <v>2732</v>
      </c>
      <c r="F88" s="319" t="str">
        <f>VLOOKUP(E88,TaskValues_ref!E:F,2,FALSE)</f>
        <v>Safer storage of pesticides</v>
      </c>
      <c r="G88" s="321" t="str">
        <f>VLOOKUP($E88,TaskValues_ref!$E:$Z,3,FALSE)</f>
        <v>Non-clinical</v>
      </c>
      <c r="H88" s="321" t="str">
        <f>VLOOKUP($E88,TaskValues_ref!$E:$Z,4,FALSE)</f>
        <v>Public health</v>
      </c>
      <c r="I88" s="321" t="str">
        <f>VLOOKUP($E88,TaskValues_ref!$E:$Z,5,FALSE)</f>
        <v>Mental health</v>
      </c>
      <c r="J88" s="320" t="str">
        <f>VLOOKUP($E88,TaskValues_ref!$E:$Z,6,FALSE)</f>
        <v>-</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7" t="s">
        <v>2347</v>
      </c>
      <c r="B89" s="357" t="s">
        <v>2388</v>
      </c>
      <c r="C89" s="357" t="s">
        <v>232</v>
      </c>
      <c r="D89" s="66">
        <v>135</v>
      </c>
      <c r="E89" s="64" t="s">
        <v>2733</v>
      </c>
      <c r="F89" s="319" t="str">
        <f>VLOOKUP(E89,TaskValues_ref!E:F,2,FALSE)</f>
        <v>Emergency poisoning response</v>
      </c>
      <c r="G89" s="321" t="str">
        <f>VLOOKUP($E89,TaskValues_ref!$E:$Z,3,FALSE)</f>
        <v>Clinical</v>
      </c>
      <c r="H89" s="321" t="str">
        <f>VLOOKUP($E89,TaskValues_ref!$E:$Z,4,FALSE)</f>
        <v>Acute</v>
      </c>
      <c r="I89" s="321" t="str">
        <f>VLOOKUP($E89,TaskValues_ref!$E:$Z,5,FALSE)</f>
        <v>Mental health</v>
      </c>
      <c r="J89" s="320" t="str">
        <f>VLOOKUP($E89,TaskValues_ref!$E:$Z,6,FALSE)</f>
        <v>adults 18+</v>
      </c>
      <c r="K89" s="321" t="str">
        <f>VLOOKUP($E89,TaskValues_ref!$E:$Z,10,FALSE)</f>
        <v>National</v>
      </c>
      <c r="L89" s="195" t="str">
        <f>IF(VLOOKUP($E89,TaskValues_ref!$E:$Z,11,FALSE)=0,"",VLOOKUP($E89,TaskValues_ref!$E:$Z,11,FALSE))</f>
        <v/>
      </c>
      <c r="M89" s="321" t="str">
        <f>IF(VLOOKUP($E89,TaskValues_ref!$E:$Z,13,FALSE)=0,"",VLOOKUP($E89,TaskValues_ref!$E:$Z,13,FALSE))</f>
        <v/>
      </c>
      <c r="N89" s="89">
        <f>IF(VLOOKUP($E89,TaskValues_ref!$E:$Z,15,FALSE)=0,"",VLOOKUP($E89,TaskValues_ref!$E:$Z,15,FALSE))</f>
        <v>1</v>
      </c>
      <c r="O89">
        <f>IF(VLOOKUP($E89,TaskValues_ref!$E:$Z,16,FALSE)=0,"",VLOOKUP($E89,TaskValues_ref!$E:$Z,16,FALSE))</f>
        <v>1</v>
      </c>
      <c r="P89" t="str">
        <f>IF(VLOOKUP($E89,TaskValues_ref!$E:$Z,17,FALSE)=0,"",VLOOKUP($E89,TaskValues_ref!$E:$Z,17,FALSE))</f>
        <v/>
      </c>
      <c r="Q89">
        <f>IF(VLOOKUP($E89,TaskValues_ref!$E:$Z,18,FALSE)=0,"",VLOOKUP($E89,TaskValues_ref!$E:$Z,18,FALSE))</f>
        <v>15</v>
      </c>
      <c r="R89" t="str">
        <f>IF(VLOOKUP($E89,TaskValues_ref!$E:$Z,19,FALSE)=0,"",VLOOKUP($E89,TaskValues_ref!$E:$Z,19,FALSE))</f>
        <v/>
      </c>
      <c r="S89" t="str">
        <f>IF(VLOOKUP($E89,TaskValues_ref!$E:$Z,20,FALSE)=0,"",VLOOKUP($E89,TaskValues_ref!$E:$Z,20,FALSE))</f>
        <v/>
      </c>
    </row>
    <row r="90" spans="1:19" x14ac:dyDescent="0.35">
      <c r="A90" s="357" t="s">
        <v>2347</v>
      </c>
      <c r="B90" s="357" t="s">
        <v>2388</v>
      </c>
      <c r="C90" s="357" t="s">
        <v>2405</v>
      </c>
      <c r="D90" s="66">
        <v>136</v>
      </c>
      <c r="E90" s="64" t="s">
        <v>2734</v>
      </c>
      <c r="F90" s="319" t="str">
        <f>VLOOKUP(E90,TaskValues_ref!E:F,2,FALSE)</f>
        <v>Awareness &amp; screening for cataracts</v>
      </c>
      <c r="G90" s="321" t="str">
        <f>VLOOKUP($E90,TaskValues_ref!$E:$Z,3,FALSE)</f>
        <v>Clinical</v>
      </c>
      <c r="H90" s="321" t="str">
        <f>VLOOKUP($E90,TaskValues_ref!$E:$Z,4,FALSE)</f>
        <v>Preventive</v>
      </c>
      <c r="I90" s="321" t="str">
        <f>VLOOKUP($E90,TaskValues_ref!$E:$Z,5,FALSE)</f>
        <v>NCDs</v>
      </c>
      <c r="J90" s="320" t="str">
        <f>VLOOKUP($E90,TaskValues_ref!$E:$Z,6,FALSE)</f>
        <v>adults 18+</v>
      </c>
      <c r="K90" s="321" t="str">
        <f>VLOOKUP($E90,TaskValues_ref!$E:$Z,10,FALSE)</f>
        <v>National</v>
      </c>
      <c r="L90" s="195">
        <f>IF(VLOOKUP($E90,TaskValues_ref!$E:$Z,11,FALSE)=0,"",VLOOKUP($E90,TaskValues_ref!$E:$Z,11,FALSE))</f>
        <v>4.8212E-4</v>
      </c>
      <c r="M90" s="321" t="str">
        <f>IF(VLOOKUP($E90,TaskValues_ref!$E:$Z,13,FALSE)=0,"",VLOOKUP($E90,TaskValues_ref!$E:$Z,13,FALSE))</f>
        <v/>
      </c>
      <c r="N90" s="89">
        <f>IF(VLOOKUP($E90,TaskValues_ref!$E:$Z,15,FALSE)=0,"",VLOOKUP($E90,TaskValues_ref!$E:$Z,15,FALSE))</f>
        <v>1.0311999999999999</v>
      </c>
      <c r="O90">
        <f>IF(VLOOKUP($E90,TaskValues_ref!$E:$Z,16,FALSE)=0,"",VLOOKUP($E90,TaskValues_ref!$E:$Z,16,FALSE))</f>
        <v>1</v>
      </c>
      <c r="P90" t="str">
        <f>IF(VLOOKUP($E90,TaskValues_ref!$E:$Z,17,FALSE)=0,"",VLOOKUP($E90,TaskValues_ref!$E:$Z,17,FALSE))</f>
        <v/>
      </c>
      <c r="Q90">
        <f>IF(VLOOKUP($E90,TaskValues_ref!$E:$Z,18,FALSE)=0,"",VLOOKUP($E90,TaskValues_ref!$E:$Z,18,FALSE))</f>
        <v>10</v>
      </c>
      <c r="R90" t="str">
        <f>IF(VLOOKUP($E90,TaskValues_ref!$E:$Z,19,FALSE)=0,"",VLOOKUP($E90,TaskValues_ref!$E:$Z,19,FALSE))</f>
        <v/>
      </c>
      <c r="S90" t="str">
        <f>IF(VLOOKUP($E90,TaskValues_ref!$E:$Z,20,FALSE)=0,"",VLOOKUP($E90,TaskValues_ref!$E:$Z,20,FALSE))</f>
        <v/>
      </c>
    </row>
    <row r="91" spans="1:19" x14ac:dyDescent="0.35">
      <c r="A91" s="357" t="s">
        <v>2347</v>
      </c>
      <c r="B91" s="357" t="s">
        <v>2388</v>
      </c>
      <c r="C91" s="357" t="s">
        <v>2405</v>
      </c>
      <c r="D91" s="66">
        <v>137</v>
      </c>
      <c r="E91" s="64" t="s">
        <v>2735</v>
      </c>
      <c r="F91" s="319" t="str">
        <f>VLOOKUP(E91,TaskValues_ref!E:F,2,FALSE)</f>
        <v>Awareness of eye glasses</v>
      </c>
      <c r="G91" s="321" t="str">
        <f>VLOOKUP($E91,TaskValues_ref!$E:$Z,3,FALSE)</f>
        <v>Clinical</v>
      </c>
      <c r="H91" s="321" t="str">
        <f>VLOOKUP($E91,TaskValues_ref!$E:$Z,4,FALSE)</f>
        <v>Public health</v>
      </c>
      <c r="I91" s="321" t="str">
        <f>VLOOKUP($E91,TaskValues_ref!$E:$Z,5,FALSE)</f>
        <v>NCDs</v>
      </c>
      <c r="J91" s="320" t="str">
        <f>VLOOKUP($E91,TaskValues_ref!$E:$Z,6,FALSE)</f>
        <v>-</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7" t="s">
        <v>2347</v>
      </c>
      <c r="B92" s="357" t="s">
        <v>2388</v>
      </c>
      <c r="C92" s="357" t="s">
        <v>2405</v>
      </c>
      <c r="D92" s="66">
        <v>140</v>
      </c>
      <c r="E92" s="64" t="s">
        <v>2738</v>
      </c>
      <c r="F92" s="319" t="str">
        <f>VLOOKUP(E92,TaskValues_ref!E:F,2,FALSE)</f>
        <v>Awareness &amp; screening for glaucoma</v>
      </c>
      <c r="G92" s="321" t="str">
        <f>VLOOKUP($E92,TaskValues_ref!$E:$Z,3,FALSE)</f>
        <v>Clinical</v>
      </c>
      <c r="H92" s="321" t="str">
        <f>VLOOKUP($E92,TaskValues_ref!$E:$Z,4,FALSE)</f>
        <v>Preventive</v>
      </c>
      <c r="I92" s="321" t="str">
        <f>VLOOKUP($E92,TaskValues_ref!$E:$Z,5,FALSE)</f>
        <v>NCDs</v>
      </c>
      <c r="J92" s="320" t="str">
        <f>VLOOKUP($E92,TaskValues_ref!$E:$Z,6,FALSE)</f>
        <v>50 yo adults</v>
      </c>
      <c r="K92" s="321" t="str">
        <f>VLOOKUP($E92,TaskValues_ref!$E:$Z,10,FALSE)</f>
        <v>National</v>
      </c>
      <c r="L92" s="195" t="str">
        <f>IF(VLOOKUP($E92,TaskValues_ref!$E:$Z,11,FALSE)=0,"",VLOOKUP($E92,TaskValues_ref!$E:$Z,11,FALSE))</f>
        <v/>
      </c>
      <c r="M92" s="321" t="str">
        <f>IF(VLOOKUP($E92,TaskValues_ref!$E:$Z,13,FALSE)=0,"",VLOOKUP($E92,TaskValues_ref!$E:$Z,13,FALSE))</f>
        <v/>
      </c>
      <c r="N92" s="89">
        <f>IF(VLOOKUP($E92,TaskValues_ref!$E:$Z,15,FALSE)=0,"",VLOOKUP($E92,TaskValues_ref!$E:$Z,15,FALSE))</f>
        <v>1</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66" t="s">
        <v>2347</v>
      </c>
      <c r="B93" s="66" t="s">
        <v>533</v>
      </c>
      <c r="D93" s="66">
        <v>156</v>
      </c>
      <c r="E93" s="64" t="s">
        <v>2462</v>
      </c>
      <c r="F93" s="319" t="str">
        <f>VLOOKUP(E93,TaskValues_ref!E:F,2,FALSE)</f>
        <v>Surveillance for NTDs</v>
      </c>
      <c r="G93" s="321" t="str">
        <f>VLOOKUP($E93,TaskValues_ref!$E:$Z,3,FALSE)</f>
        <v>Non-productive</v>
      </c>
      <c r="H93" s="321" t="str">
        <f>VLOOKUP($E93,TaskValues_ref!$E:$Z,4,FALSE)</f>
        <v>Public Health</v>
      </c>
      <c r="I93" s="321" t="str">
        <f>VLOOKUP($E93,TaskValues_ref!$E:$Z,5,FALSE)</f>
        <v>-</v>
      </c>
      <c r="J93" s="320" t="str">
        <f>VLOOKUP($E93,TaskValues_ref!$E:$Z,6,FALSE)</f>
        <v>-</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66" t="s">
        <v>2347</v>
      </c>
      <c r="B94" s="66" t="s">
        <v>533</v>
      </c>
      <c r="C94" s="66" t="s">
        <v>2464</v>
      </c>
      <c r="D94" s="66">
        <v>157</v>
      </c>
      <c r="E94" s="64" t="s">
        <v>2741</v>
      </c>
      <c r="F94" s="319" t="str">
        <f>VLOOKUP(E94,TaskValues_ref!E:F,2,FALSE)</f>
        <v>LF screening &amp; referral</v>
      </c>
      <c r="G94" s="321" t="str">
        <f>VLOOKUP($E94,TaskValues_ref!$E:$Z,3,FALSE)</f>
        <v>Clinical</v>
      </c>
      <c r="H94" s="321" t="str">
        <f>VLOOKUP($E94,TaskValues_ref!$E:$Z,4,FALSE)</f>
        <v>Acute</v>
      </c>
      <c r="I94" s="321" t="str">
        <f>VLOOKUP($E94,TaskValues_ref!$E:$Z,5,FALSE)</f>
        <v>NTDs</v>
      </c>
      <c r="J94" s="320" t="str">
        <f>VLOOKUP($E94,TaskValues_ref!$E:$Z,6,FALSE)</f>
        <v>adults 18+</v>
      </c>
      <c r="K94" s="321" t="str">
        <f>VLOOKUP($E94,TaskValues_ref!$E:$Z,10,FALSE)</f>
        <v>National</v>
      </c>
      <c r="L94" s="195">
        <f>IF(VLOOKUP($E94,TaskValues_ref!$E:$Z,11,FALSE)=0,"",VLOOKUP($E94,TaskValues_ref!$E:$Z,11,FALSE))</f>
        <v>2.0800000000000001E-5</v>
      </c>
      <c r="M94" s="321" t="str">
        <f>IF(VLOOKUP($E94,TaskValues_ref!$E:$Z,13,FALSE)=0,"",VLOOKUP($E94,TaskValues_ref!$E:$Z,13,FALSE))</f>
        <v/>
      </c>
      <c r="N94" s="89">
        <f>IF(VLOOKUP($E94,TaskValues_ref!$E:$Z,15,FALSE)=0,"",VLOOKUP($E94,TaskValues_ref!$E:$Z,15,FALSE))</f>
        <v>0.98</v>
      </c>
      <c r="O94">
        <f>IF(VLOOKUP($E94,TaskValues_ref!$E:$Z,16,FALSE)=0,"",VLOOKUP($E94,TaskValues_ref!$E:$Z,16,FALSE))</f>
        <v>1</v>
      </c>
      <c r="P94" t="str">
        <f>IF(VLOOKUP($E94,TaskValues_ref!$E:$Z,17,FALSE)=0,"",VLOOKUP($E94,TaskValues_ref!$E:$Z,17,FALSE))</f>
        <v/>
      </c>
      <c r="Q94">
        <f>IF(VLOOKUP($E94,TaskValues_ref!$E:$Z,18,FALSE)=0,"",VLOOKUP($E94,TaskValues_ref!$E:$Z,18,FALSE))</f>
        <v>5</v>
      </c>
      <c r="R94" t="str">
        <f>IF(VLOOKUP($E94,TaskValues_ref!$E:$Z,19,FALSE)=0,"",VLOOKUP($E94,TaskValues_ref!$E:$Z,19,FALSE))</f>
        <v/>
      </c>
      <c r="S94" t="str">
        <f>IF(VLOOKUP($E94,TaskValues_ref!$E:$Z,20,FALSE)=0,"",VLOOKUP($E94,TaskValues_ref!$E:$Z,20,FALSE))</f>
        <v/>
      </c>
    </row>
    <row r="95" spans="1:19" x14ac:dyDescent="0.35">
      <c r="A95" s="66" t="s">
        <v>2347</v>
      </c>
      <c r="B95" s="66" t="s">
        <v>533</v>
      </c>
      <c r="C95" s="66" t="s">
        <v>2464</v>
      </c>
      <c r="D95" s="66">
        <v>159</v>
      </c>
      <c r="E95" s="64" t="s">
        <v>2743</v>
      </c>
      <c r="F95" s="319" t="str">
        <f>VLOOKUP(E95,TaskValues_ref!E:F,2,FALSE)</f>
        <v>LLINs and IRS</v>
      </c>
      <c r="G95" s="321" t="str">
        <f>VLOOKUP($E95,TaskValues_ref!$E:$Z,3,FALSE)</f>
        <v>Non-clinical</v>
      </c>
      <c r="H95" s="321" t="str">
        <f>VLOOKUP($E95,TaskValues_ref!$E:$Z,4,FALSE)</f>
        <v>Public Health</v>
      </c>
      <c r="I95" s="321" t="str">
        <f>VLOOKUP($E95,TaskValues_ref!$E:$Z,5,FALSE)</f>
        <v>NTDs</v>
      </c>
      <c r="J95" s="320" t="str">
        <f>VLOOKUP($E95,TaskValues_ref!$E:$Z,6,FALSE)</f>
        <v>all</v>
      </c>
      <c r="K95" s="321" t="str">
        <f>VLOOKUP($E95,TaskValues_ref!$E:$Z,10,FALSE)</f>
        <v>National</v>
      </c>
      <c r="L95" s="195">
        <f>IF(VLOOKUP($E95,TaskValues_ref!$E:$Z,11,FALSE)=0,"",VLOOKUP($E95,TaskValues_ref!$E:$Z,11,FALSE))</f>
        <v>0.21739130434782611</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f>IF(VLOOKUP($E95,TaskValues_ref!$E:$Z,17,FALSE)=0,"",VLOOKUP($E95,TaskValues_ref!$E:$Z,17,FALSE))</f>
        <v>1</v>
      </c>
      <c r="Q95">
        <f>IF(VLOOKUP($E95,TaskValues_ref!$E:$Z,18,FALSE)=0,"",VLOOKUP($E95,TaskValues_ref!$E:$Z,18,FALSE))</f>
        <v>5</v>
      </c>
      <c r="R95" t="str">
        <f>IF(VLOOKUP($E95,TaskValues_ref!$E:$Z,19,FALSE)=0,"",VLOOKUP($E95,TaskValues_ref!$E:$Z,19,FALSE))</f>
        <v/>
      </c>
      <c r="S95" t="str">
        <f>IF(VLOOKUP($E95,TaskValues_ref!$E:$Z,20,FALSE)=0,"",VLOOKUP($E95,TaskValues_ref!$E:$Z,20,FALSE))</f>
        <v/>
      </c>
    </row>
    <row r="96" spans="1:19" x14ac:dyDescent="0.35">
      <c r="A96" s="66" t="s">
        <v>2347</v>
      </c>
      <c r="B96" s="66" t="s">
        <v>533</v>
      </c>
      <c r="C96" s="66" t="s">
        <v>411</v>
      </c>
      <c r="D96" s="66">
        <v>160</v>
      </c>
      <c r="E96" s="64" t="s">
        <v>2744</v>
      </c>
      <c r="F96" s="319" t="str">
        <f>VLOOKUP(E96,TaskValues_ref!E:F,2,FALSE)</f>
        <v>LF behavior change</v>
      </c>
      <c r="G96" s="321" t="str">
        <f>VLOOKUP($E96,TaskValues_ref!$E:$Z,3,FALSE)</f>
        <v>Non-clinical</v>
      </c>
      <c r="H96" s="321" t="str">
        <f>VLOOKUP($E96,TaskValues_ref!$E:$Z,4,FALSE)</f>
        <v>Public Health</v>
      </c>
      <c r="I96" s="321" t="str">
        <f>VLOOKUP($E96,TaskValues_ref!$E:$Z,5,FALSE)</f>
        <v>NTDs</v>
      </c>
      <c r="J96" s="320" t="str">
        <f>VLOOKUP($E96,TaskValues_ref!$E:$Z,6,FALSE)</f>
        <v>-</v>
      </c>
      <c r="K96" s="321" t="str">
        <f>VLOOKUP($E96,TaskValues_ref!$E:$Z,10,FALSE)</f>
        <v>National</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35">
      <c r="A97" s="66" t="s">
        <v>2347</v>
      </c>
      <c r="B97" s="66" t="s">
        <v>533</v>
      </c>
      <c r="C97" s="66" t="s">
        <v>415</v>
      </c>
      <c r="D97" s="66">
        <v>162</v>
      </c>
      <c r="E97" s="64" t="s">
        <v>2746</v>
      </c>
      <c r="F97" s="319" t="str">
        <f>VLOOKUP(E97,TaskValues_ref!E:F,2,FALSE)</f>
        <v>Oncho behavior change</v>
      </c>
      <c r="G97" s="321" t="str">
        <f>VLOOKUP($E97,TaskValues_ref!$E:$Z,3,FALSE)</f>
        <v>Non-clinical</v>
      </c>
      <c r="H97" s="321" t="str">
        <f>VLOOKUP($E97,TaskValues_ref!$E:$Z,4,FALSE)</f>
        <v>Public Health</v>
      </c>
      <c r="I97" s="321" t="str">
        <f>VLOOKUP($E97,TaskValues_ref!$E:$Z,5,FALSE)</f>
        <v>NTDs</v>
      </c>
      <c r="J97" s="320" t="str">
        <f>VLOOKUP($E97,TaskValues_ref!$E:$Z,6,FALSE)</f>
        <v>-</v>
      </c>
      <c r="K97" s="321" t="str">
        <f>VLOOKUP($E97,TaskValues_ref!$E:$Z,10,FALSE)</f>
        <v>National</v>
      </c>
      <c r="L97" s="195" t="str">
        <f>IF(VLOOKUP($E97,TaskValues_ref!$E:$Z,11,FALSE)=0,"",VLOOKUP($E97,TaskValues_ref!$E:$Z,11,FALSE))</f>
        <v/>
      </c>
      <c r="M97" s="321" t="str">
        <f>IF(VLOOKUP($E97,TaskValues_ref!$E:$Z,13,FALSE)=0,"",VLOOKUP($E97,TaskValues_ref!$E:$Z,13,FALSE))</f>
        <v/>
      </c>
      <c r="N97" s="89" t="str">
        <f>IF(VLOOKUP($E97,TaskValues_ref!$E:$Z,15,FALSE)=0,"",VLOOKUP($E97,TaskValues_ref!$E:$Z,15,FALSE))</f>
        <v/>
      </c>
      <c r="O97" t="str">
        <f>IF(VLOOKUP($E97,TaskValues_ref!$E:$Z,16,FALSE)=0,"",VLOOKUP($E97,TaskValues_ref!$E:$Z,16,FALSE))</f>
        <v/>
      </c>
      <c r="P97" t="str">
        <f>IF(VLOOKUP($E97,TaskValues_ref!$E:$Z,17,FALSE)=0,"",VLOOKUP($E97,TaskValues_ref!$E:$Z,17,FALSE))</f>
        <v/>
      </c>
      <c r="Q97" t="str">
        <f>IF(VLOOKUP($E97,TaskValues_ref!$E:$Z,18,FALSE)=0,"",VLOOKUP($E97,TaskValues_ref!$E:$Z,18,FALSE))</f>
        <v/>
      </c>
      <c r="R97" t="str">
        <f>IF(VLOOKUP($E97,TaskValues_ref!$E:$Z,19,FALSE)=0,"",VLOOKUP($E97,TaskValues_ref!$E:$Z,19,FALSE))</f>
        <v/>
      </c>
      <c r="S97" t="str">
        <f>IF(VLOOKUP($E97,TaskValues_ref!$E:$Z,20,FALSE)=0,"",VLOOKUP($E97,TaskValues_ref!$E:$Z,20,FALSE))</f>
        <v/>
      </c>
    </row>
    <row r="98" spans="1:19" x14ac:dyDescent="0.35">
      <c r="A98" s="66" t="s">
        <v>2347</v>
      </c>
      <c r="B98" s="66" t="s">
        <v>533</v>
      </c>
      <c r="C98" s="66" t="s">
        <v>415</v>
      </c>
      <c r="D98" s="66">
        <v>163</v>
      </c>
      <c r="E98" s="64" t="s">
        <v>2747</v>
      </c>
      <c r="F98" s="319" t="str">
        <f>VLOOKUP(E98,TaskValues_ref!E:F,2,FALSE)</f>
        <v>Trachoma behavior change</v>
      </c>
      <c r="G98" s="321" t="str">
        <f>VLOOKUP($E98,TaskValues_ref!$E:$Z,3,FALSE)</f>
        <v>Non-clinical</v>
      </c>
      <c r="H98" s="321" t="str">
        <f>VLOOKUP($E98,TaskValues_ref!$E:$Z,4,FALSE)</f>
        <v>Public Health</v>
      </c>
      <c r="I98" s="321" t="str">
        <f>VLOOKUP($E98,TaskValues_ref!$E:$Z,5,FALSE)</f>
        <v>NTDs</v>
      </c>
      <c r="J98" s="320" t="str">
        <f>VLOOKUP($E98,TaskValues_ref!$E:$Z,6,FALSE)</f>
        <v>-</v>
      </c>
      <c r="K98" s="321" t="str">
        <f>VLOOKUP($E98,TaskValues_ref!$E:$Z,10,FALSE)</f>
        <v>National</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35">
      <c r="A99" s="66" t="s">
        <v>2347</v>
      </c>
      <c r="B99" s="66" t="s">
        <v>533</v>
      </c>
      <c r="C99" s="66" t="s">
        <v>415</v>
      </c>
      <c r="D99" s="66">
        <v>164</v>
      </c>
      <c r="E99" s="64" t="s">
        <v>2748</v>
      </c>
      <c r="F99" s="319" t="str">
        <f>VLOOKUP(E99,TaskValues_ref!E:F,2,FALSE)</f>
        <v>Promote water and sanitation</v>
      </c>
      <c r="G99" s="321" t="str">
        <f>VLOOKUP($E99,TaskValues_ref!$E:$Z,3,FALSE)</f>
        <v>Non-clinical</v>
      </c>
      <c r="H99" s="321" t="str">
        <f>VLOOKUP($E99,TaskValues_ref!$E:$Z,4,FALSE)</f>
        <v>Public Health</v>
      </c>
      <c r="I99" s="321" t="str">
        <f>VLOOKUP($E99,TaskValues_ref!$E:$Z,5,FALSE)</f>
        <v>NTDs</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66" t="s">
        <v>2347</v>
      </c>
      <c r="B100" s="66" t="s">
        <v>533</v>
      </c>
      <c r="C100" s="66" t="s">
        <v>2466</v>
      </c>
      <c r="D100" s="66">
        <v>168</v>
      </c>
      <c r="E100" s="64" t="s">
        <v>2752</v>
      </c>
      <c r="F100" s="319" t="str">
        <f>VLOOKUP(E100,TaskValues_ref!E:F,2,FALSE)</f>
        <v>Promote face washing</v>
      </c>
      <c r="G100" s="321" t="str">
        <f>VLOOKUP($E100,TaskValues_ref!$E:$Z,3,FALSE)</f>
        <v>Non-clinical</v>
      </c>
      <c r="H100" s="321" t="str">
        <f>VLOOKUP($E100,TaskValues_ref!$E:$Z,4,FALSE)</f>
        <v>Public Health</v>
      </c>
      <c r="I100" s="321" t="str">
        <f>VLOOKUP($E100,TaskValues_ref!$E:$Z,5,FALSE)</f>
        <v>NTDs</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66" t="s">
        <v>2347</v>
      </c>
      <c r="B101" s="66" t="s">
        <v>533</v>
      </c>
      <c r="C101" s="66" t="s">
        <v>2245</v>
      </c>
      <c r="D101" s="66">
        <v>169</v>
      </c>
      <c r="E101" s="64" t="s">
        <v>2753</v>
      </c>
      <c r="F101" s="319" t="str">
        <f>VLOOKUP(E101,TaskValues_ref!E:F,2,FALSE)</f>
        <v>Schisto behavior change</v>
      </c>
      <c r="G101" s="321" t="str">
        <f>VLOOKUP($E101,TaskValues_ref!$E:$Z,3,FALSE)</f>
        <v>Non-clinical</v>
      </c>
      <c r="H101" s="321" t="str">
        <f>VLOOKUP($E101,TaskValues_ref!$E:$Z,4,FALSE)</f>
        <v>Public Health</v>
      </c>
      <c r="I101" s="321" t="str">
        <f>VLOOKUP($E101,TaskValues_ref!$E:$Z,5,FALSE)</f>
        <v>NTDs</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66" t="s">
        <v>2347</v>
      </c>
      <c r="B102" s="66" t="s">
        <v>533</v>
      </c>
      <c r="C102" s="66" t="s">
        <v>2467</v>
      </c>
      <c r="D102" s="66">
        <v>171</v>
      </c>
      <c r="E102" s="64" t="s">
        <v>2755</v>
      </c>
      <c r="F102" s="319" t="str">
        <f>VLOOKUP(E102,TaskValues_ref!E:F,2,FALSE)</f>
        <v>Schisto MDA</v>
      </c>
      <c r="G102" s="321" t="str">
        <f>VLOOKUP($E102,TaskValues_ref!$E:$Z,3,FALSE)</f>
        <v>Non-clinical</v>
      </c>
      <c r="H102" s="321" t="str">
        <f>VLOOKUP($E102,TaskValues_ref!$E:$Z,4,FALSE)</f>
        <v>Public Health</v>
      </c>
      <c r="I102" s="321" t="str">
        <f>VLOOKUP($E102,TaskValues_ref!$E:$Z,5,FALSE)</f>
        <v>NTDs</v>
      </c>
      <c r="J102" s="320" t="str">
        <f>VLOOKUP($E102,TaskValues_ref!$E:$Z,6,FALSE)</f>
        <v>all</v>
      </c>
      <c r="K102" s="321" t="str">
        <f>VLOOKUP($E102,TaskValues_ref!$E:$Z,10,FALSE)</f>
        <v>National</v>
      </c>
      <c r="L102" s="195">
        <f>IF(VLOOKUP($E102,TaskValues_ref!$E:$Z,11,FALSE)=0,"",VLOOKUP($E102,TaskValues_ref!$E:$Z,11,FALSE))</f>
        <v>0.21739130434782611</v>
      </c>
      <c r="M102" s="321" t="str">
        <f>IF(VLOOKUP($E102,TaskValues_ref!$E:$Z,13,FALSE)=0,"",VLOOKUP($E102,TaskValues_ref!$E:$Z,13,FALSE))</f>
        <v/>
      </c>
      <c r="N102" s="89" t="str">
        <f>IF(VLOOKUP($E102,TaskValues_ref!$E:$Z,15,FALSE)=0,"",VLOOKUP($E102,TaskValues_ref!$E:$Z,15,FALSE))</f>
        <v/>
      </c>
      <c r="O102" t="str">
        <f>IF(VLOOKUP($E102,TaskValues_ref!$E:$Z,16,FALSE)=0,"",VLOOKUP($E102,TaskValues_ref!$E:$Z,16,FALSE))</f>
        <v/>
      </c>
      <c r="P102">
        <f>IF(VLOOKUP($E102,TaskValues_ref!$E:$Z,17,FALSE)=0,"",VLOOKUP($E102,TaskValues_ref!$E:$Z,17,FALSE))</f>
        <v>1</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66" t="s">
        <v>2347</v>
      </c>
      <c r="B103" s="66" t="s">
        <v>533</v>
      </c>
      <c r="C103" s="66" t="s">
        <v>2467</v>
      </c>
      <c r="D103" s="66">
        <v>172</v>
      </c>
      <c r="E103" s="64" t="s">
        <v>2756</v>
      </c>
      <c r="F103" s="319" t="str">
        <f>VLOOKUP(E103,TaskValues_ref!E:F,2,FALSE)</f>
        <v>STH behavior change</v>
      </c>
      <c r="G103" s="321" t="str">
        <f>VLOOKUP($E103,TaskValues_ref!$E:$Z,3,FALSE)</f>
        <v>Non-clinical</v>
      </c>
      <c r="H103" s="321" t="str">
        <f>VLOOKUP($E103,TaskValues_ref!$E:$Z,4,FALSE)</f>
        <v>Public Health</v>
      </c>
      <c r="I103" s="321" t="str">
        <f>VLOOKUP($E103,TaskValues_ref!$E:$Z,5,FALSE)</f>
        <v>NTDs</v>
      </c>
      <c r="J103" s="320" t="str">
        <f>VLOOKUP($E103,TaskValues_ref!$E:$Z,6,FALSE)</f>
        <v>-</v>
      </c>
      <c r="K103" s="321" t="str">
        <f>VLOOKUP($E103,TaskValues_ref!$E:$Z,10,FALSE)</f>
        <v>National</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35">
      <c r="A104" s="66" t="s">
        <v>2347</v>
      </c>
      <c r="B104" s="66" t="s">
        <v>533</v>
      </c>
      <c r="C104" s="66" t="s">
        <v>2493</v>
      </c>
      <c r="D104" s="66">
        <v>175</v>
      </c>
      <c r="E104" s="64" t="s">
        <v>2759</v>
      </c>
      <c r="F104" s="319" t="str">
        <f>VLOOKUP(E104,TaskValues_ref!E:F,2,FALSE)</f>
        <v>Scabies behavior change</v>
      </c>
      <c r="G104" s="321" t="str">
        <f>VLOOKUP($E104,TaskValues_ref!$E:$Z,3,FALSE)</f>
        <v>Non-clinical</v>
      </c>
      <c r="H104" s="321" t="str">
        <f>VLOOKUP($E104,TaskValues_ref!$E:$Z,4,FALSE)</f>
        <v>Public Health</v>
      </c>
      <c r="I104" s="321" t="str">
        <f>VLOOKUP($E104,TaskValues_ref!$E:$Z,5,FALSE)</f>
        <v>NTDs</v>
      </c>
      <c r="J104" s="320" t="str">
        <f>VLOOKUP($E104,TaskValues_ref!$E:$Z,6,FALSE)</f>
        <v>-</v>
      </c>
      <c r="K104" s="321" t="str">
        <f>VLOOKUP($E104,TaskValues_ref!$E:$Z,10,FALSE)</f>
        <v>National</v>
      </c>
      <c r="L104" s="195" t="str">
        <f>IF(VLOOKUP($E104,TaskValues_ref!$E:$Z,11,FALSE)=0,"",VLOOKUP($E104,TaskValues_ref!$E:$Z,11,FALSE))</f>
        <v/>
      </c>
      <c r="M104" s="321"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35">
      <c r="A105" s="66" t="s">
        <v>2495</v>
      </c>
      <c r="D105" s="66" t="s">
        <v>2497</v>
      </c>
      <c r="E105" s="64" t="s">
        <v>2636</v>
      </c>
      <c r="F105" s="319" t="str">
        <f>VLOOKUP(E105,TaskValues_ref!E:F,2,FALSE)</f>
        <v>Model household program</v>
      </c>
      <c r="G105" s="321" t="str">
        <f>VLOOKUP($E105,TaskValues_ref!$E:$Z,3,FALSE)</f>
        <v>Non-clinical</v>
      </c>
      <c r="H105" s="321" t="str">
        <f>VLOOKUP($E105,TaskValues_ref!$E:$Z,4,FALSE)</f>
        <v>-</v>
      </c>
      <c r="I105" s="321" t="str">
        <f>VLOOKUP($E105,TaskValues_ref!$E:$Z,5,FALSE)</f>
        <v>-</v>
      </c>
      <c r="J105" s="320" t="str">
        <f>VLOOKUP($E105,TaskValues_ref!$E:$Z,6,FALSE)</f>
        <v>all</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f>IF(VLOOKUP($E105,TaskValues_ref!$E:$Z,19,FALSE)=0,"",VLOOKUP($E105,TaskValues_ref!$E:$Z,19,FALSE))</f>
        <v>7</v>
      </c>
      <c r="S105" t="str">
        <f>IF(VLOOKUP($E105,TaskValues_ref!$E:$Z,20,FALSE)=0,"",VLOOKUP($E105,TaskValues_ref!$E:$Z,20,FALSE))</f>
        <v/>
      </c>
    </row>
    <row r="106" spans="1:19" x14ac:dyDescent="0.35">
      <c r="A106" s="66" t="s">
        <v>2498</v>
      </c>
      <c r="D106" s="66" t="s">
        <v>2499</v>
      </c>
      <c r="E106" s="64" t="s">
        <v>2637</v>
      </c>
      <c r="F106" s="319" t="str">
        <f>VLOOKUP(E106,TaskValues_ref!E:F,2,FALSE)</f>
        <v>Model household program</v>
      </c>
      <c r="G106" s="321" t="str">
        <f>VLOOKUP($E106,TaskValues_ref!$E:$Z,3,FALSE)</f>
        <v>Non-clinical</v>
      </c>
      <c r="H106" s="321" t="str">
        <f>VLOOKUP($E106,TaskValues_ref!$E:$Z,4,FALSE)</f>
        <v>-</v>
      </c>
      <c r="I106" s="321" t="str">
        <f>VLOOKUP($E106,TaskValues_ref!$E:$Z,5,FALSE)</f>
        <v>-</v>
      </c>
      <c r="J106" s="320" t="str">
        <f>VLOOKUP($E106,TaskValues_ref!$E:$Z,6,FALSE)</f>
        <v>all</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f>IF(VLOOKUP($E106,TaskValues_ref!$E:$Z,19,FALSE)=0,"",VLOOKUP($E106,TaskValues_ref!$E:$Z,19,FALSE))</f>
        <v>7</v>
      </c>
      <c r="S106" t="str">
        <f>IF(VLOOKUP($E106,TaskValues_ref!$E:$Z,20,FALSE)=0,"",VLOOKUP($E106,TaskValues_ref!$E:$Z,20,FALSE))</f>
        <v/>
      </c>
    </row>
    <row r="107" spans="1:19" x14ac:dyDescent="0.35">
      <c r="A107" s="319" t="s">
        <v>1958</v>
      </c>
      <c r="E107" s="64" t="s">
        <v>1958</v>
      </c>
      <c r="F107" s="319" t="str">
        <f>VLOOKUP(E107,TaskValues_ref!E:F,2,FALSE)</f>
        <v>Record keeping</v>
      </c>
      <c r="G107" s="321" t="str">
        <f>VLOOKUP($E107,TaskValues_ref!$E:$Z,3,FALSE)</f>
        <v>Non-productive</v>
      </c>
      <c r="H107" s="321" t="str">
        <f>VLOOKUP($E107,TaskValues_ref!$E:$Z,4,FALSE)</f>
        <v>-</v>
      </c>
      <c r="I107" s="321" t="str">
        <f>VLOOKUP($E107,TaskValues_ref!$E:$Z,5,FALSE)</f>
        <v>-</v>
      </c>
      <c r="J107" s="320" t="str">
        <f>VLOOKUP($E107,TaskValues_ref!$E:$Z,6,FALSE)</f>
        <v>all</v>
      </c>
      <c r="K107" s="321" t="str">
        <f>VLOOKUP($E107,TaskValues_ref!$E:$Z,10,FALSE)</f>
        <v>National</v>
      </c>
      <c r="L107" s="195">
        <f>IF(VLOOKUP($E107,TaskValues_ref!$E:$Z,11,FALSE)=0,"",VLOOKUP($E107,TaskValues_ref!$E:$Z,11,FALSE))</f>
        <v>0.1</v>
      </c>
      <c r="M107" s="321" t="str">
        <f>IF(VLOOKUP($E107,TaskValues_ref!$E:$Z,13,FALSE)=0,"",VLOOKUP($E107,TaskValues_ref!$E:$Z,13,FALSE))</f>
        <v/>
      </c>
      <c r="N107" s="89">
        <f>IF(VLOOKUP($E107,TaskValues_ref!$E:$Z,15,FALSE)=0,"",VLOOKUP($E107,TaskValues_ref!$E:$Z,15,FALSE))</f>
        <v>1</v>
      </c>
      <c r="O107">
        <f>IF(VLOOKUP($E107,TaskValues_ref!$E:$Z,16,FALSE)=0,"",VLOOKUP($E107,TaskValues_ref!$E:$Z,16,FALSE))</f>
        <v>1</v>
      </c>
      <c r="P107" t="str">
        <f>IF(VLOOKUP($E107,TaskValues_ref!$E:$Z,17,FALSE)=0,"",VLOOKUP($E107,TaskValues_ref!$E:$Z,17,FALSE))</f>
        <v/>
      </c>
      <c r="Q107">
        <f>IF(VLOOKUP($E107,TaskValues_ref!$E:$Z,18,FALSE)=0,"",VLOOKUP($E107,TaskValues_ref!$E:$Z,18,FALSE))</f>
        <v>45.844447190612613</v>
      </c>
      <c r="R107" t="str">
        <f>IF(VLOOKUP($E107,TaskValues_ref!$E:$Z,19,FALSE)=0,"",VLOOKUP($E107,TaskValues_ref!$E:$Z,19,FALSE))</f>
        <v/>
      </c>
      <c r="S107" t="str">
        <f>IF(VLOOKUP($E107,TaskValues_ref!$E:$Z,20,FALSE)=0,"",VLOOKUP($E107,TaskValues_ref!$E:$Z,20,FALSE))</f>
        <v/>
      </c>
    </row>
    <row r="108" spans="1:19" s="127" customFormat="1" x14ac:dyDescent="0.35">
      <c r="A108" s="375" t="s">
        <v>2781</v>
      </c>
      <c r="B108" s="375"/>
      <c r="C108" s="375"/>
      <c r="D108" s="375"/>
      <c r="E108" s="375" t="s">
        <v>2781</v>
      </c>
      <c r="F108" s="376" t="str">
        <f>VLOOKUP(E108,TaskValues_ref!E:F,2,FALSE)</f>
        <v>Test additional</v>
      </c>
      <c r="G108" s="376"/>
      <c r="H108" s="376"/>
      <c r="I108" s="376"/>
      <c r="J108" s="378"/>
      <c r="K108" s="127" t="str">
        <f>VLOOKUP($E108,TaskValues_ref!$E:$Z,10,FALSE)</f>
        <v>National</v>
      </c>
      <c r="L108" s="335"/>
      <c r="N108" s="379"/>
      <c r="Q108" s="258"/>
      <c r="S108" s="127">
        <v>1E-3</v>
      </c>
    </row>
    <row r="109" spans="1:19" s="127" customFormat="1" x14ac:dyDescent="0.35">
      <c r="A109" s="375"/>
      <c r="B109" s="375"/>
      <c r="C109" s="375"/>
      <c r="D109" s="375"/>
      <c r="E109" s="127" t="s">
        <v>2185</v>
      </c>
      <c r="F109" s="376" t="str">
        <f>VLOOKUP(E109,TaskValues_ref!E:F,2,FALSE)</f>
        <v>Normal labor management</v>
      </c>
      <c r="G109" s="376" t="s">
        <v>154</v>
      </c>
      <c r="H109" s="376" t="s">
        <v>155</v>
      </c>
      <c r="I109" s="377" t="s">
        <v>65</v>
      </c>
      <c r="J109" s="378" t="s">
        <v>156</v>
      </c>
      <c r="K109" s="377" t="str">
        <f>VLOOKUP($E109,TaskValues_ref!$E:$Z,10,FALSE)</f>
        <v>National</v>
      </c>
      <c r="L109" s="335">
        <v>1</v>
      </c>
      <c r="N109" s="379">
        <v>1</v>
      </c>
      <c r="O109" s="127">
        <v>1</v>
      </c>
      <c r="Q109" s="380">
        <v>0</v>
      </c>
    </row>
    <row r="110" spans="1:19" s="127" customFormat="1" x14ac:dyDescent="0.35">
      <c r="A110" s="375"/>
      <c r="B110" s="375"/>
      <c r="C110" s="375"/>
      <c r="D110" s="375"/>
      <c r="E110" s="127" t="s">
        <v>2187</v>
      </c>
      <c r="F110" s="376" t="str">
        <f>VLOOKUP(E110,TaskValues_ref!E:F,2,FALSE)</f>
        <v>Emergency OB</v>
      </c>
      <c r="G110" s="376" t="s">
        <v>154</v>
      </c>
      <c r="H110" s="376" t="s">
        <v>155</v>
      </c>
      <c r="I110" s="377" t="s">
        <v>65</v>
      </c>
      <c r="J110" s="378" t="s">
        <v>156</v>
      </c>
      <c r="K110" s="377" t="str">
        <f>VLOOKUP($E110,TaskValues_ref!$E:$Z,10,FALSE)</f>
        <v>National</v>
      </c>
      <c r="L110" s="335">
        <v>1</v>
      </c>
      <c r="N110" s="379">
        <v>1</v>
      </c>
      <c r="O110" s="127">
        <v>1</v>
      </c>
      <c r="Q110" s="380">
        <v>0</v>
      </c>
    </row>
    <row r="111" spans="1:19" s="127" customFormat="1" x14ac:dyDescent="0.35">
      <c r="A111" s="375"/>
      <c r="B111" s="375"/>
      <c r="C111" s="375"/>
      <c r="D111" s="375"/>
      <c r="E111" s="127" t="s">
        <v>2186</v>
      </c>
      <c r="F111" s="376" t="str">
        <f>VLOOKUP(E111,TaskValues_ref!E:F,2,FALSE)</f>
        <v>Active management 3rd stage</v>
      </c>
      <c r="G111" s="376" t="s">
        <v>154</v>
      </c>
      <c r="H111" s="376" t="s">
        <v>155</v>
      </c>
      <c r="I111" s="377" t="s">
        <v>65</v>
      </c>
      <c r="J111" s="378" t="s">
        <v>156</v>
      </c>
      <c r="K111" s="377" t="str">
        <f>VLOOKUP($E111,TaskValues_ref!$E:$Z,10,FALSE)</f>
        <v>National</v>
      </c>
      <c r="L111" s="335">
        <v>1</v>
      </c>
      <c r="N111" s="379">
        <v>1</v>
      </c>
      <c r="O111" s="127">
        <v>1</v>
      </c>
      <c r="Q111" s="380">
        <v>0</v>
      </c>
    </row>
    <row r="112" spans="1:19" s="127" customFormat="1" x14ac:dyDescent="0.35">
      <c r="A112" s="375"/>
      <c r="B112" s="375"/>
      <c r="C112" s="375"/>
      <c r="D112" s="375"/>
      <c r="E112" s="127" t="s">
        <v>2198</v>
      </c>
      <c r="F112" s="376" t="str">
        <f>VLOOKUP(E112,TaskValues_ref!E:F,2,FALSE)</f>
        <v>Maternal sepsis</v>
      </c>
      <c r="G112" s="376" t="s">
        <v>154</v>
      </c>
      <c r="H112" s="376" t="s">
        <v>155</v>
      </c>
      <c r="I112" s="377" t="s">
        <v>65</v>
      </c>
      <c r="J112" s="378" t="s">
        <v>156</v>
      </c>
      <c r="K112" s="377" t="str">
        <f>VLOOKUP($E112,TaskValues_ref!$E:$Z,10,FALSE)</f>
        <v>National</v>
      </c>
      <c r="L112" s="335">
        <v>1</v>
      </c>
      <c r="N112" s="379">
        <v>1</v>
      </c>
      <c r="O112" s="127">
        <v>1</v>
      </c>
      <c r="Q112" s="380">
        <v>0</v>
      </c>
    </row>
    <row r="113" spans="1:19" s="127" customFormat="1" x14ac:dyDescent="0.35">
      <c r="A113" s="384" t="s">
        <v>2169</v>
      </c>
      <c r="B113" s="384" t="s">
        <v>2170</v>
      </c>
      <c r="C113" s="385" t="s">
        <v>153</v>
      </c>
      <c r="D113" s="386">
        <v>2</v>
      </c>
      <c r="E113" s="383" t="s">
        <v>2204</v>
      </c>
      <c r="F113" s="376" t="str">
        <f>VLOOKUP(E113,TaskValues_ref!E:F,2,FALSE)</f>
        <v>ANC rapid testing</v>
      </c>
      <c r="G113" s="376" t="s">
        <v>154</v>
      </c>
      <c r="H113" s="376" t="s">
        <v>155</v>
      </c>
      <c r="I113" s="377" t="s">
        <v>65</v>
      </c>
      <c r="J113" s="378" t="s">
        <v>156</v>
      </c>
      <c r="K113" s="377" t="str">
        <f>VLOOKUP($E113,TaskValues_ref!$E:$Z,10,FALSE)</f>
        <v>National</v>
      </c>
      <c r="L113" s="335">
        <v>1</v>
      </c>
      <c r="N113" s="379">
        <v>1</v>
      </c>
      <c r="O113" s="127">
        <v>1</v>
      </c>
      <c r="Q113" s="380">
        <v>0</v>
      </c>
    </row>
    <row r="114" spans="1:19" s="127" customFormat="1" x14ac:dyDescent="0.35">
      <c r="A114" s="384" t="s">
        <v>2169</v>
      </c>
      <c r="B114" s="385" t="s">
        <v>70</v>
      </c>
      <c r="C114" s="385"/>
      <c r="D114" s="386">
        <v>68</v>
      </c>
      <c r="E114" s="383" t="s">
        <v>2682</v>
      </c>
      <c r="F114" s="376" t="str">
        <f>VLOOKUP(E114,TaskValues_ref!E:F,2,FALSE)</f>
        <v>Treat malnourished mothers</v>
      </c>
      <c r="G114" s="377" t="str">
        <f>VLOOKUP($E114,TaskValues_ref!$E:$Z,3,FALSE)</f>
        <v>Clinical</v>
      </c>
      <c r="H114" s="377" t="str">
        <f>VLOOKUP($E114,TaskValues_ref!$E:$Z,4,FALSE)</f>
        <v>Acute</v>
      </c>
      <c r="I114" s="377" t="str">
        <f>VLOOKUP($E114,TaskValues_ref!$E:$Z,5,FALSE)</f>
        <v>Nutrition</v>
      </c>
      <c r="J114" s="378" t="str">
        <f>VLOOKUP($E114,TaskValues_ref!$E:$Z,6,FALSE)</f>
        <v>births</v>
      </c>
      <c r="K114" s="377" t="str">
        <f>VLOOKUP($E114,TaskValues_ref!$E:$Z,10,FALSE)</f>
        <v>National</v>
      </c>
      <c r="L114" s="335">
        <v>1</v>
      </c>
      <c r="N114" s="379">
        <v>1</v>
      </c>
      <c r="O114" s="127">
        <v>1</v>
      </c>
      <c r="Q114" s="380">
        <v>0</v>
      </c>
      <c r="R114" s="127" t="str">
        <f>IF(VLOOKUP($E114,TaskValues_ref!$E:$Z,19,FALSE)=0,"",VLOOKUP($E114,TaskValues_ref!$E:$Z,19,FALSE))</f>
        <v/>
      </c>
      <c r="S114" s="127" t="str">
        <f>IF(VLOOKUP($E114,TaskValues_ref!$E:$Z,20,FALSE)=0,"",VLOOKUP($E114,TaskValues_ref!$E:$Z,20,FALSE))</f>
        <v/>
      </c>
    </row>
    <row r="115" spans="1:19" s="127" customFormat="1" x14ac:dyDescent="0.35">
      <c r="A115" s="384" t="s">
        <v>2169</v>
      </c>
      <c r="B115" s="385" t="s">
        <v>2219</v>
      </c>
      <c r="C115" s="385"/>
      <c r="D115" s="386">
        <v>21</v>
      </c>
      <c r="E115" s="383" t="s">
        <v>2232</v>
      </c>
      <c r="F115" s="376" t="str">
        <f>VLOOKUP(E115,TaskValues_ref!E:F,2,FALSE)</f>
        <v>Well child check &amp; growth monitoring</v>
      </c>
      <c r="G115" s="377" t="str">
        <f>VLOOKUP($E115,TaskValues_ref!$E:$Z,3,FALSE)</f>
        <v>Clinical</v>
      </c>
      <c r="H115" s="377" t="str">
        <f>VLOOKUP($E115,TaskValues_ref!$E:$Z,4,FALSE)</f>
        <v>Preventive</v>
      </c>
      <c r="I115" s="377" t="str">
        <f>VLOOKUP($E115,TaskValues_ref!$E:$Z,5,FALSE)</f>
        <v>Nutrition</v>
      </c>
      <c r="J115" s="378" t="str">
        <f>VLOOKUP($E115,TaskValues_ref!$E:$Z,6,FALSE)</f>
        <v>1-4</v>
      </c>
      <c r="K115" s="377" t="str">
        <f>VLOOKUP($E115,TaskValues_ref!$E:$Z,10,FALSE)</f>
        <v>National</v>
      </c>
      <c r="L115" s="335">
        <v>1</v>
      </c>
      <c r="N115" s="379">
        <v>1</v>
      </c>
      <c r="O115" s="127">
        <v>1</v>
      </c>
      <c r="Q115" s="380">
        <v>0</v>
      </c>
      <c r="R115" s="127" t="str">
        <f>IF(VLOOKUP($E115,TaskValues_ref!$E:$Z,19,FALSE)=0,"",VLOOKUP($E115,TaskValues_ref!$E:$Z,19,FALSE))</f>
        <v/>
      </c>
      <c r="S115" s="127" t="str">
        <f>IF(VLOOKUP($E115,TaskValues_ref!$E:$Z,20,FALSE)=0,"",VLOOKUP($E115,TaskValues_ref!$E:$Z,20,FALSE))</f>
        <v/>
      </c>
    </row>
    <row r="116" spans="1:19" s="127" customFormat="1" x14ac:dyDescent="0.35">
      <c r="A116" s="384" t="s">
        <v>2169</v>
      </c>
      <c r="B116" s="385" t="s">
        <v>2219</v>
      </c>
      <c r="C116" s="385"/>
      <c r="D116" s="386">
        <v>21</v>
      </c>
      <c r="E116" s="383" t="s">
        <v>2646</v>
      </c>
      <c r="F116" s="376" t="str">
        <f>VLOOKUP(E116,TaskValues_ref!E:F,2,FALSE)</f>
        <v>Treat severe malnutrition</v>
      </c>
      <c r="G116" s="377" t="str">
        <f>VLOOKUP($E116,TaskValues_ref!$E:$Z,3,FALSE)</f>
        <v>Clinical</v>
      </c>
      <c r="H116" s="377" t="str">
        <f>VLOOKUP($E116,TaskValues_ref!$E:$Z,4,FALSE)</f>
        <v>Acute</v>
      </c>
      <c r="I116" s="377" t="str">
        <f>VLOOKUP($E116,TaskValues_ref!$E:$Z,5,FALSE)</f>
        <v>Nutrition</v>
      </c>
      <c r="J116" s="378" t="str">
        <f>VLOOKUP($E116,TaskValues_ref!$E:$Z,6,FALSE)</f>
        <v>1-4</v>
      </c>
      <c r="K116" s="377" t="str">
        <f>VLOOKUP($E116,TaskValues_ref!$E:$Z,10,FALSE)</f>
        <v>National</v>
      </c>
      <c r="L116" s="335">
        <v>1</v>
      </c>
      <c r="N116" s="379">
        <v>1</v>
      </c>
      <c r="O116" s="127">
        <v>1</v>
      </c>
      <c r="Q116" s="380">
        <v>0</v>
      </c>
      <c r="R116" s="127" t="str">
        <f>IF(VLOOKUP($E116,TaskValues_ref!$E:$Z,19,FALSE)=0,"",VLOOKUP($E116,TaskValues_ref!$E:$Z,19,FALSE))</f>
        <v/>
      </c>
      <c r="S116" s="127" t="str">
        <f>IF(VLOOKUP($E116,TaskValues_ref!$E:$Z,20,FALSE)=0,"",VLOOKUP($E116,TaskValues_ref!$E:$Z,20,FALSE))</f>
        <v/>
      </c>
    </row>
    <row r="117" spans="1:19" s="127" customFormat="1" x14ac:dyDescent="0.35">
      <c r="A117" s="384" t="s">
        <v>2169</v>
      </c>
      <c r="B117" s="385" t="s">
        <v>2219</v>
      </c>
      <c r="C117" s="385"/>
      <c r="D117" s="386">
        <v>22</v>
      </c>
      <c r="E117" s="383" t="s">
        <v>2647</v>
      </c>
      <c r="F117" s="376" t="str">
        <f>VLOOKUP(E117,TaskValues_ref!E:F,2,FALSE)</f>
        <v>Treat moderate malnutrition</v>
      </c>
      <c r="G117" s="377" t="str">
        <f>VLOOKUP($E117,TaskValues_ref!$E:$Z,3,FALSE)</f>
        <v>Clinical</v>
      </c>
      <c r="H117" s="377" t="str">
        <f>VLOOKUP($E117,TaskValues_ref!$E:$Z,4,FALSE)</f>
        <v>Acute</v>
      </c>
      <c r="I117" s="377" t="str">
        <f>VLOOKUP($E117,TaskValues_ref!$E:$Z,5,FALSE)</f>
        <v>Nutrition</v>
      </c>
      <c r="J117" s="378" t="str">
        <f>VLOOKUP($E117,TaskValues_ref!$E:$Z,6,FALSE)</f>
        <v>1-4</v>
      </c>
      <c r="K117" s="377" t="str">
        <f>VLOOKUP($E117,TaskValues_ref!$E:$Z,10,FALSE)</f>
        <v>National</v>
      </c>
      <c r="L117" s="335">
        <v>1</v>
      </c>
      <c r="N117" s="379">
        <v>1</v>
      </c>
      <c r="O117" s="127">
        <v>1</v>
      </c>
      <c r="Q117" s="380">
        <v>0</v>
      </c>
      <c r="R117" s="127" t="str">
        <f>IF(VLOOKUP($E117,TaskValues_ref!$E:$Z,19,FALSE)=0,"",VLOOKUP($E117,TaskValues_ref!$E:$Z,19,FALSE))</f>
        <v/>
      </c>
      <c r="S117" s="127" t="str">
        <f>IF(VLOOKUP($E117,TaskValues_ref!$E:$Z,20,FALSE)=0,"",VLOOKUP($E117,TaskValues_ref!$E:$Z,20,FALSE))</f>
        <v/>
      </c>
    </row>
    <row r="118" spans="1:19" s="127" customFormat="1" x14ac:dyDescent="0.35">
      <c r="A118" s="387" t="s">
        <v>2347</v>
      </c>
      <c r="B118" s="387" t="s">
        <v>2345</v>
      </c>
      <c r="C118" s="387" t="s">
        <v>69</v>
      </c>
      <c r="D118" s="375">
        <v>103</v>
      </c>
      <c r="E118" s="383" t="s">
        <v>2364</v>
      </c>
      <c r="F118" s="376" t="str">
        <f>VLOOKUP(E118,TaskValues_ref!E:F,2,FALSE)</f>
        <v>Uncomplicated malaria in adults</v>
      </c>
      <c r="G118" s="377" t="str">
        <f>VLOOKUP($E118,TaskValues_ref!$E:$Z,3,FALSE)</f>
        <v>Clinical</v>
      </c>
      <c r="H118" s="377" t="str">
        <f>VLOOKUP($E118,TaskValues_ref!$E:$Z,4,FALSE)</f>
        <v>Acute</v>
      </c>
      <c r="I118" s="377" t="str">
        <f>VLOOKUP($E118,TaskValues_ref!$E:$Z,5,FALSE)</f>
        <v>Malaria</v>
      </c>
      <c r="J118" s="378" t="str">
        <f>VLOOKUP($E118,TaskValues_ref!$E:$Z,6,FALSE)</f>
        <v>adults 18+</v>
      </c>
      <c r="K118" s="377" t="str">
        <f>VLOOKUP($E118,TaskValues_ref!$E:$Z,10,FALSE)</f>
        <v>National</v>
      </c>
      <c r="L118" s="335">
        <v>1</v>
      </c>
      <c r="N118" s="379">
        <v>1</v>
      </c>
      <c r="O118" s="127">
        <v>1</v>
      </c>
      <c r="Q118" s="380">
        <v>0</v>
      </c>
      <c r="R118" s="127" t="str">
        <f>IF(VLOOKUP($E118,TaskValues_ref!$E:$Z,19,FALSE)=0,"",VLOOKUP($E118,TaskValues_ref!$E:$Z,19,FALSE))</f>
        <v/>
      </c>
      <c r="S118" s="127" t="str">
        <f>IF(VLOOKUP($E118,TaskValues_ref!$E:$Z,20,FALSE)=0,"",VLOOKUP($E118,TaskValues_ref!$E:$Z,20,FALSE))</f>
        <v/>
      </c>
    </row>
    <row r="119" spans="1:19" s="127" customFormat="1" x14ac:dyDescent="0.35">
      <c r="A119" s="387" t="s">
        <v>2347</v>
      </c>
      <c r="B119" s="387" t="s">
        <v>2345</v>
      </c>
      <c r="C119" s="387" t="s">
        <v>69</v>
      </c>
      <c r="D119" s="375">
        <v>103</v>
      </c>
      <c r="E119" s="383" t="s">
        <v>2365</v>
      </c>
      <c r="F119" s="376" t="str">
        <f>VLOOKUP(E119,TaskValues_ref!E:F,2,FALSE)</f>
        <v>Uncomplicated malaria in children</v>
      </c>
      <c r="G119" s="377" t="str">
        <f>VLOOKUP($E119,TaskValues_ref!$E:$Z,3,FALSE)</f>
        <v>Clinical</v>
      </c>
      <c r="H119" s="377" t="str">
        <f>VLOOKUP($E119,TaskValues_ref!$E:$Z,4,FALSE)</f>
        <v>Acute</v>
      </c>
      <c r="I119" s="377" t="str">
        <f>VLOOKUP($E119,TaskValues_ref!$E:$Z,5,FALSE)</f>
        <v>Malaria</v>
      </c>
      <c r="J119" s="378" t="str">
        <f>VLOOKUP($E119,TaskValues_ref!$E:$Z,6,FALSE)</f>
        <v>1-18</v>
      </c>
      <c r="K119" s="377" t="str">
        <f>VLOOKUP($E119,TaskValues_ref!$E:$Z,10,FALSE)</f>
        <v>National</v>
      </c>
      <c r="L119" s="335">
        <v>1</v>
      </c>
      <c r="N119" s="379">
        <v>1</v>
      </c>
      <c r="O119" s="127">
        <v>1</v>
      </c>
      <c r="Q119" s="380">
        <v>0</v>
      </c>
      <c r="R119" s="127" t="str">
        <f>IF(VLOOKUP($E119,TaskValues_ref!$E:$Z,19,FALSE)=0,"",VLOOKUP($E119,TaskValues_ref!$E:$Z,19,FALSE))</f>
        <v/>
      </c>
      <c r="S119" s="127" t="str">
        <f>IF(VLOOKUP($E119,TaskValues_ref!$E:$Z,20,FALSE)=0,"",VLOOKUP($E119,TaskValues_ref!$E:$Z,20,FALSE))</f>
        <v/>
      </c>
    </row>
    <row r="120" spans="1:19" s="127" customFormat="1" x14ac:dyDescent="0.35">
      <c r="A120" s="387" t="s">
        <v>2347</v>
      </c>
      <c r="B120" s="387" t="s">
        <v>2345</v>
      </c>
      <c r="C120" s="387" t="s">
        <v>69</v>
      </c>
      <c r="D120" s="375">
        <v>103</v>
      </c>
      <c r="E120" s="383" t="s">
        <v>2368</v>
      </c>
      <c r="F120" s="376" t="str">
        <f>VLOOKUP(E120,TaskValues_ref!E:F,2,FALSE)</f>
        <v>Testing non-malaria cases</v>
      </c>
      <c r="G120" s="377" t="str">
        <f>VLOOKUP($E120,TaskValues_ref!$E:$Z,3,FALSE)</f>
        <v>Clinical</v>
      </c>
      <c r="H120" s="377" t="str">
        <f>VLOOKUP($E120,TaskValues_ref!$E:$Z,4,FALSE)</f>
        <v>Public Health</v>
      </c>
      <c r="I120" s="377" t="str">
        <f>VLOOKUP($E120,TaskValues_ref!$E:$Z,5,FALSE)</f>
        <v>Malaria</v>
      </c>
      <c r="J120" s="378" t="str">
        <f>VLOOKUP($E120,TaskValues_ref!$E:$Z,6,FALSE)</f>
        <v>all</v>
      </c>
      <c r="K120" s="377" t="str">
        <f>VLOOKUP($E120,TaskValues_ref!$E:$Z,10,FALSE)</f>
        <v>National</v>
      </c>
      <c r="L120" s="335">
        <v>1</v>
      </c>
      <c r="N120" s="379">
        <v>1</v>
      </c>
      <c r="O120" s="127">
        <v>1</v>
      </c>
      <c r="Q120" s="380">
        <v>0</v>
      </c>
      <c r="R120" s="127" t="str">
        <f>IF(VLOOKUP($E120,TaskValues_ref!$E:$Z,19,FALSE)=0,"",VLOOKUP($E120,TaskValues_ref!$E:$Z,19,FALSE))</f>
        <v/>
      </c>
      <c r="S120" s="127" t="str">
        <f>IF(VLOOKUP($E120,TaskValues_ref!$E:$Z,20,FALSE)=0,"",VLOOKUP($E120,TaskValues_ref!$E:$Z,20,FALSE))</f>
        <v/>
      </c>
    </row>
    <row r="121" spans="1:19" s="127" customFormat="1" x14ac:dyDescent="0.35">
      <c r="A121" s="387" t="s">
        <v>2347</v>
      </c>
      <c r="B121" s="387" t="s">
        <v>2345</v>
      </c>
      <c r="C121" s="387" t="s">
        <v>69</v>
      </c>
      <c r="D121" s="375">
        <v>104</v>
      </c>
      <c r="E121" s="383" t="s">
        <v>2366</v>
      </c>
      <c r="F121" s="376" t="str">
        <f>VLOOKUP(E121,TaskValues_ref!E:F,2,FALSE)</f>
        <v>Severe malaria in adults</v>
      </c>
      <c r="G121" s="377" t="str">
        <f>VLOOKUP($E121,TaskValues_ref!$E:$Z,3,FALSE)</f>
        <v>Clinical</v>
      </c>
      <c r="H121" s="377" t="str">
        <f>VLOOKUP($E121,TaskValues_ref!$E:$Z,4,FALSE)</f>
        <v>Acute</v>
      </c>
      <c r="I121" s="377" t="str">
        <f>VLOOKUP($E121,TaskValues_ref!$E:$Z,5,FALSE)</f>
        <v>Malaria</v>
      </c>
      <c r="J121" s="378" t="str">
        <f>VLOOKUP($E121,TaskValues_ref!$E:$Z,6,FALSE)</f>
        <v>adults 18+</v>
      </c>
      <c r="K121" s="377" t="str">
        <f>VLOOKUP($E121,TaskValues_ref!$E:$Z,10,FALSE)</f>
        <v>National</v>
      </c>
      <c r="L121" s="335">
        <v>1</v>
      </c>
      <c r="N121" s="379">
        <v>1</v>
      </c>
      <c r="O121" s="127">
        <v>1</v>
      </c>
      <c r="Q121" s="380">
        <v>0</v>
      </c>
      <c r="R121" s="127" t="str">
        <f>IF(VLOOKUP($E121,TaskValues_ref!$E:$Z,19,FALSE)=0,"",VLOOKUP($E121,TaskValues_ref!$E:$Z,19,FALSE))</f>
        <v/>
      </c>
      <c r="S121" s="127" t="str">
        <f>IF(VLOOKUP($E121,TaskValues_ref!$E:$Z,20,FALSE)=0,"",VLOOKUP($E121,TaskValues_ref!$E:$Z,20,FALSE))</f>
        <v/>
      </c>
    </row>
    <row r="122" spans="1:19" s="127" customFormat="1" x14ac:dyDescent="0.35">
      <c r="A122" s="387" t="s">
        <v>2347</v>
      </c>
      <c r="B122" s="387" t="s">
        <v>2345</v>
      </c>
      <c r="C122" s="387" t="s">
        <v>69</v>
      </c>
      <c r="D122" s="375">
        <v>104</v>
      </c>
      <c r="E122" s="383" t="s">
        <v>2367</v>
      </c>
      <c r="F122" s="376" t="str">
        <f>VLOOKUP(E122,TaskValues_ref!E:F,2,FALSE)</f>
        <v>Severe malaria in children</v>
      </c>
      <c r="G122" s="377" t="str">
        <f>VLOOKUP($E122,TaskValues_ref!$E:$Z,3,FALSE)</f>
        <v>Clinical</v>
      </c>
      <c r="H122" s="377" t="str">
        <f>VLOOKUP($E122,TaskValues_ref!$E:$Z,4,FALSE)</f>
        <v>Acute</v>
      </c>
      <c r="I122" s="377" t="str">
        <f>VLOOKUP($E122,TaskValues_ref!$E:$Z,5,FALSE)</f>
        <v>Malaria</v>
      </c>
      <c r="J122" s="378" t="str">
        <f>VLOOKUP($E122,TaskValues_ref!$E:$Z,6,FALSE)</f>
        <v>1-18</v>
      </c>
      <c r="K122" s="377" t="str">
        <f>VLOOKUP($E122,TaskValues_ref!$E:$Z,10,FALSE)</f>
        <v>National</v>
      </c>
      <c r="L122" s="335">
        <v>1</v>
      </c>
      <c r="N122" s="379">
        <v>1</v>
      </c>
      <c r="O122" s="127">
        <v>1</v>
      </c>
      <c r="Q122" s="380">
        <v>0</v>
      </c>
      <c r="R122" s="127" t="str">
        <f>IF(VLOOKUP($E122,TaskValues_ref!$E:$Z,19,FALSE)=0,"",VLOOKUP($E122,TaskValues_ref!$E:$Z,19,FALSE))</f>
        <v/>
      </c>
      <c r="S122" s="127" t="str">
        <f>IF(VLOOKUP($E122,TaskValues_ref!$E:$Z,20,FALSE)=0,"",VLOOKUP($E122,TaskValues_ref!$E:$Z,20,FALSE))</f>
        <v/>
      </c>
    </row>
    <row r="123" spans="1:19" x14ac:dyDescent="0.35">
      <c r="A123" s="66" t="s">
        <v>192</v>
      </c>
      <c r="E123" s="64" t="s">
        <v>2804</v>
      </c>
      <c r="F123" s="319" t="str">
        <f>VLOOKUP(E123,TaskValues_ref!E:F,2,FALSE)</f>
        <v>Travel HEH</v>
      </c>
      <c r="G123" s="321" t="str">
        <f>VLOOKUP($E123,TaskValues_ref!$E:$Z,3,FALSE)</f>
        <v>Non-productive</v>
      </c>
      <c r="H123" s="321" t="str">
        <f>VLOOKUP($E123,TaskValues_ref!$E:$Z,4,FALSE)</f>
        <v>-</v>
      </c>
      <c r="I123" s="321" t="str">
        <f>VLOOKUP($E123,TaskValues_ref!$E:$Z,5,FALSE)</f>
        <v>-</v>
      </c>
      <c r="J123" s="320" t="str">
        <f>VLOOKUP($E123,TaskValues_ref!$E:$Z,6,FALSE)</f>
        <v>all</v>
      </c>
      <c r="K123" s="321" t="str">
        <f>VLOOKUP($E123,TaskValues_ref!$E:$Z,10,FALSE)</f>
        <v>National</v>
      </c>
      <c r="L123" s="195">
        <f>IF(VLOOKUP($E123,TaskValues_ref!$E:$Z,11,FALSE)=0,"",VLOOKUP($E123,TaskValues_ref!$E:$Z,11,FALSE))</f>
        <v>0.05</v>
      </c>
      <c r="M123" s="321"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35">
      <c r="A124" s="66" t="s">
        <v>192</v>
      </c>
      <c r="E124" s="64" t="s">
        <v>2805</v>
      </c>
      <c r="F124" s="319" t="str">
        <f>VLOOKUP(E124,TaskValues_ref!E:F,2,FALSE)</f>
        <v>Travel HEP</v>
      </c>
      <c r="G124" s="321" t="str">
        <f>VLOOKUP($E124,TaskValues_ref!$E:$Z,3,FALSE)</f>
        <v>Non-productive</v>
      </c>
      <c r="H124" s="321" t="str">
        <f>VLOOKUP($E124,TaskValues_ref!$E:$Z,4,FALSE)</f>
        <v>-</v>
      </c>
      <c r="I124" s="321" t="str">
        <f>VLOOKUP($E124,TaskValues_ref!$E:$Z,5,FALSE)</f>
        <v>-</v>
      </c>
      <c r="J124" s="320" t="str">
        <f>VLOOKUP($E124,TaskValues_ref!$E:$Z,6,FALSE)</f>
        <v>all</v>
      </c>
      <c r="K124" s="321" t="str">
        <f>VLOOKUP($E124,TaskValues_ref!$E:$Z,10,FALSE)</f>
        <v>National</v>
      </c>
      <c r="L124" s="195">
        <f>IF(VLOOKUP($E124,TaskValues_ref!$E:$Z,11,FALSE)=0,"",VLOOKUP($E124,TaskValues_ref!$E:$Z,11,FALSE))</f>
        <v>0.05</v>
      </c>
      <c r="M124" s="321" t="str">
        <f>IF(VLOOKUP($E124,TaskValues_ref!$E:$Z,13,FALSE)=0,"",VLOOKUP($E124,TaskValues_ref!$E:$Z,13,FALSE))</f>
        <v/>
      </c>
      <c r="N124" s="89">
        <f>IF(VLOOKUP($E124,TaskValues_ref!$E:$Z,15,FALSE)=0,"",VLOOKUP($E124,TaskValues_ref!$E:$Z,15,FALSE))</f>
        <v>0.98</v>
      </c>
      <c r="O124">
        <f>IF(VLOOKUP($E124,TaskValues_ref!$E:$Z,16,FALSE)=0,"",VLOOKUP($E124,TaskValues_ref!$E:$Z,16,FALSE))</f>
        <v>1</v>
      </c>
      <c r="P124" t="str">
        <f>IF(VLOOKUP($E124,TaskValues_ref!$E:$Z,17,FALSE)=0,"",VLOOKUP($E124,TaskValues_ref!$E:$Z,17,FALSE))</f>
        <v/>
      </c>
      <c r="Q124">
        <f>IF(VLOOKUP($E124,TaskValues_ref!$E:$Z,18,FALSE)=0,"",VLOOKUP($E124,TaskValues_ref!$E:$Z,18,FALSE))</f>
        <v>53.832494807158753</v>
      </c>
      <c r="R124" t="str">
        <f>IF(VLOOKUP($E124,TaskValues_ref!$E:$Z,19,FALSE)=0,"",VLOOKUP($E124,TaskValues_ref!$E:$Z,19,FALSE))</f>
        <v/>
      </c>
      <c r="S124" t="str">
        <f>IF(VLOOKUP($E124,TaskValues_ref!$E:$Z,20,FALSE)=0,"",VLOOKUP($E124,TaskValues_ref!$E:$Z,20,FALSE))</f>
        <v/>
      </c>
    </row>
    <row r="125" spans="1:19" x14ac:dyDescent="0.35">
      <c r="E125" s="64" t="s">
        <v>2822</v>
      </c>
      <c r="F125" s="321" t="s">
        <v>2828</v>
      </c>
      <c r="G125" s="321" t="str">
        <f>VLOOKUP($E125,TaskValues_ref!$E:$Z,3,FALSE)</f>
        <v>Non-productive</v>
      </c>
      <c r="H125" s="321" t="str">
        <f>VLOOKUP($E125,TaskValues_ref!$E:$Z,4,FALSE)</f>
        <v>-</v>
      </c>
      <c r="I125" s="321" t="str">
        <f>VLOOKUP($E125,TaskValues_ref!$E:$Z,5,FALSE)</f>
        <v>-</v>
      </c>
      <c r="J125" s="320" t="str">
        <f>VLOOKUP($E125,TaskValues_ref!$E:$Z,6,FALSE)</f>
        <v>-</v>
      </c>
      <c r="K125" s="321" t="str">
        <f>VLOOKUP($E125,TaskValues_ref!$E:$Z,10,FALSE)</f>
        <v>National</v>
      </c>
      <c r="L125" s="195" t="str">
        <f>IF(VLOOKUP($E125,TaskValues_ref!$E:$Z,11,FALSE)=0,"",VLOOKUP($E125,TaskValues_ref!$E:$Z,11,FALSE))</f>
        <v/>
      </c>
      <c r="M125" s="321"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row r="126" spans="1:19" x14ac:dyDescent="0.35">
      <c r="E126" s="64" t="s">
        <v>2823</v>
      </c>
      <c r="F126" s="321" t="s">
        <v>2829</v>
      </c>
      <c r="G126" s="321" t="str">
        <f>VLOOKUP($E126,TaskValues_ref!$E:$Z,3,FALSE)</f>
        <v>Non-productive</v>
      </c>
      <c r="H126" s="321" t="str">
        <f>VLOOKUP($E126,TaskValues_ref!$E:$Z,4,FALSE)</f>
        <v>-</v>
      </c>
      <c r="I126" s="321" t="str">
        <f>VLOOKUP($E126,TaskValues_ref!$E:$Z,5,FALSE)</f>
        <v>-</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f>IF(VLOOKUP($E126,TaskValues_ref!$E:$Z,19,FALSE)=0,"",VLOOKUP($E126,TaskValues_ref!$E:$Z,19,FALSE))</f>
        <v>4.5120000000000005</v>
      </c>
      <c r="S126" t="str">
        <f>IF(VLOOKUP($E126,TaskValues_ref!$E:$Z,20,FALSE)=0,"",VLOOKUP($E126,TaskValues_ref!$E:$Z,20,FALSE))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H108:H122 H127:H328</xm:sqref>
        </x14:dataValidation>
        <x14:dataValidation type="list" allowBlank="1" showInputMessage="1" showErrorMessage="1" xr:uid="{8D8007AD-CB0B-468B-83B5-C2695482895C}">
          <x14:formula1>
            <xm:f>lookups!$D$2:$D$15</xm:f>
          </x14:formula1>
          <xm:sqref>I108:I122 I127:I427</xm:sqref>
        </x14:dataValidation>
        <x14:dataValidation type="list" allowBlank="1" showInputMessage="1" showErrorMessage="1" xr:uid="{9CD67D9B-2247-4CF6-A5EF-2043133EFEFF}">
          <x14:formula1>
            <xm:f>lookups!$F$2:$F$24</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84"/>
  <sheetViews>
    <sheetView zoomScale="80" zoomScaleNormal="80" workbookViewId="0">
      <pane ySplit="1" topLeftCell="A1048554" activePane="bottomLeft" state="frozen"/>
      <selection activeCell="B15" sqref="B15"/>
      <selection pane="bottomLeft" activeCell="I1" sqref="I1"/>
    </sheetView>
  </sheetViews>
  <sheetFormatPr defaultRowHeight="14.5" x14ac:dyDescent="0.35"/>
  <cols>
    <col min="1" max="1" width="15.1796875" style="319" customWidth="1"/>
    <col min="2" max="2" width="42" style="319" bestFit="1" customWidth="1"/>
    <col min="3" max="4" width="3.81640625" style="319" customWidth="1"/>
    <col min="5" max="5" width="3.81640625" style="320" customWidth="1"/>
    <col min="6" max="6" width="3.81640625" style="64" customWidth="1"/>
    <col min="7" max="9" width="3.81640625" style="319" customWidth="1"/>
    <col min="10" max="10" width="3.81640625" style="320" customWidth="1"/>
    <col min="11" max="11" width="3.81640625" style="64" customWidth="1"/>
    <col min="12" max="17" width="3.81640625" style="319" customWidth="1"/>
    <col min="18" max="18" width="3.81640625" style="320" customWidth="1"/>
    <col min="19" max="19" width="3.81640625" style="64" customWidth="1"/>
    <col min="20" max="24" width="3.81640625" style="319" customWidth="1"/>
    <col min="25" max="25" width="3.81640625" style="320" customWidth="1"/>
  </cols>
  <sheetData>
    <row r="1" spans="1:25" s="177" customFormat="1" ht="87.5" customHeight="1" x14ac:dyDescent="0.35">
      <c r="A1" s="328" t="s">
        <v>135</v>
      </c>
      <c r="B1" s="328" t="s">
        <v>136</v>
      </c>
      <c r="C1" s="364" t="s">
        <v>2638</v>
      </c>
      <c r="D1" s="364" t="s">
        <v>2640</v>
      </c>
      <c r="E1" s="365" t="s">
        <v>2639</v>
      </c>
      <c r="F1" s="363" t="s">
        <v>2801</v>
      </c>
      <c r="G1" s="364" t="s">
        <v>2761</v>
      </c>
      <c r="H1" s="364" t="s">
        <v>2762</v>
      </c>
      <c r="I1" s="364" t="s">
        <v>2765</v>
      </c>
      <c r="J1" s="365" t="s">
        <v>2766</v>
      </c>
      <c r="K1" s="363" t="s">
        <v>2802</v>
      </c>
      <c r="L1" s="364" t="s">
        <v>2767</v>
      </c>
      <c r="M1" s="364" t="s">
        <v>2768</v>
      </c>
      <c r="N1" s="364" t="s">
        <v>2763</v>
      </c>
      <c r="O1" s="364" t="s">
        <v>2769</v>
      </c>
      <c r="P1" s="364" t="s">
        <v>2770</v>
      </c>
      <c r="Q1" s="364" t="s">
        <v>2771</v>
      </c>
      <c r="R1" s="365" t="s">
        <v>2772</v>
      </c>
      <c r="S1" s="363" t="s">
        <v>2803</v>
      </c>
      <c r="T1" s="364" t="s">
        <v>2773</v>
      </c>
      <c r="U1" s="364" t="s">
        <v>2774</v>
      </c>
      <c r="V1" s="364" t="s">
        <v>2775</v>
      </c>
      <c r="W1" s="364" t="s">
        <v>2776</v>
      </c>
      <c r="X1" s="364" t="s">
        <v>2777</v>
      </c>
      <c r="Y1" s="365" t="s">
        <v>2778</v>
      </c>
    </row>
    <row r="2" spans="1:25" x14ac:dyDescent="0.35">
      <c r="A2" s="319" t="s">
        <v>2171</v>
      </c>
      <c r="B2" s="319" t="str">
        <f>VLOOKUP(A2,TaskValues_ref!E:F,2,FALSE)</f>
        <v>ANC visits</v>
      </c>
      <c r="C2" s="390">
        <v>100</v>
      </c>
      <c r="D2" s="376"/>
      <c r="E2" s="391">
        <f t="shared" ref="E2:E33" si="0">SUM(C2:D2)</f>
        <v>100</v>
      </c>
      <c r="F2" s="389">
        <v>100</v>
      </c>
      <c r="G2" s="390"/>
      <c r="H2" s="390"/>
      <c r="I2" s="390"/>
      <c r="J2" s="391">
        <f>SUM(F2:I2)</f>
        <v>100</v>
      </c>
      <c r="K2" s="389">
        <v>100</v>
      </c>
      <c r="L2" s="390"/>
      <c r="M2" s="390"/>
      <c r="N2" s="390"/>
      <c r="O2" s="390"/>
      <c r="P2" s="390"/>
      <c r="Q2" s="390"/>
      <c r="R2" s="391">
        <f>SUM(K2:Q2)</f>
        <v>100</v>
      </c>
      <c r="S2" s="389">
        <v>100</v>
      </c>
      <c r="T2" s="390"/>
      <c r="U2" s="390"/>
      <c r="V2" s="390"/>
      <c r="W2" s="390"/>
      <c r="X2" s="390"/>
      <c r="Y2" s="391">
        <f>SUM(S2:X2)</f>
        <v>100</v>
      </c>
    </row>
    <row r="3" spans="1:25" x14ac:dyDescent="0.35">
      <c r="A3" s="319" t="s">
        <v>2204</v>
      </c>
      <c r="B3" s="319" t="str">
        <f>VLOOKUP(A3,TaskValues_ref!E:F,2,FALSE)</f>
        <v>ANC rapid testing</v>
      </c>
      <c r="C3" s="390">
        <v>100</v>
      </c>
      <c r="D3" s="376"/>
      <c r="E3" s="391">
        <f t="shared" si="0"/>
        <v>100</v>
      </c>
      <c r="F3" s="389">
        <v>100</v>
      </c>
      <c r="G3" s="390"/>
      <c r="H3" s="390"/>
      <c r="I3" s="390"/>
      <c r="J3" s="391">
        <f t="shared" ref="J3:J66" si="1">SUM(F3:I3)</f>
        <v>100</v>
      </c>
      <c r="K3" s="389">
        <v>100</v>
      </c>
      <c r="L3" s="390"/>
      <c r="M3" s="390"/>
      <c r="N3" s="390"/>
      <c r="O3" s="390"/>
      <c r="P3" s="390"/>
      <c r="Q3" s="390"/>
      <c r="R3" s="391">
        <f t="shared" ref="R3:R66" si="2">SUM(K3:Q3)</f>
        <v>100</v>
      </c>
      <c r="S3" s="389">
        <v>100</v>
      </c>
      <c r="T3" s="390"/>
      <c r="U3" s="390"/>
      <c r="V3" s="390"/>
      <c r="W3" s="390"/>
      <c r="X3" s="390"/>
      <c r="Y3" s="391">
        <f t="shared" ref="Y3:Y66" si="3">SUM(S3:X3)</f>
        <v>100</v>
      </c>
    </row>
    <row r="4" spans="1:25" x14ac:dyDescent="0.35">
      <c r="A4" s="319" t="s">
        <v>2185</v>
      </c>
      <c r="B4" s="319" t="str">
        <f>VLOOKUP(A4,TaskValues_ref!E:F,2,FALSE)</f>
        <v>Normal labor management</v>
      </c>
      <c r="C4" s="390">
        <v>100</v>
      </c>
      <c r="D4" s="376"/>
      <c r="E4" s="391">
        <f t="shared" si="0"/>
        <v>100</v>
      </c>
      <c r="F4" s="389">
        <v>100</v>
      </c>
      <c r="G4" s="390"/>
      <c r="H4" s="390"/>
      <c r="I4" s="390"/>
      <c r="J4" s="391">
        <f t="shared" si="1"/>
        <v>100</v>
      </c>
      <c r="K4" s="389">
        <v>100</v>
      </c>
      <c r="L4" s="390"/>
      <c r="M4" s="390"/>
      <c r="N4" s="390"/>
      <c r="O4" s="390"/>
      <c r="P4" s="390"/>
      <c r="Q4" s="390"/>
      <c r="R4" s="391">
        <f t="shared" si="2"/>
        <v>100</v>
      </c>
      <c r="S4" s="389">
        <v>100</v>
      </c>
      <c r="T4" s="390"/>
      <c r="U4" s="390"/>
      <c r="V4" s="390"/>
      <c r="W4" s="390"/>
      <c r="X4" s="390"/>
      <c r="Y4" s="391">
        <f t="shared" si="3"/>
        <v>100</v>
      </c>
    </row>
    <row r="5" spans="1:25" x14ac:dyDescent="0.35">
      <c r="A5" s="319" t="s">
        <v>2186</v>
      </c>
      <c r="B5" s="319" t="str">
        <f>VLOOKUP(A5,TaskValues_ref!E:F,2,FALSE)</f>
        <v>Active management 3rd stage</v>
      </c>
      <c r="C5" s="390">
        <v>100</v>
      </c>
      <c r="D5" s="376"/>
      <c r="E5" s="391">
        <f t="shared" si="0"/>
        <v>100</v>
      </c>
      <c r="F5" s="389">
        <v>100</v>
      </c>
      <c r="G5" s="390"/>
      <c r="H5" s="390"/>
      <c r="I5" s="390"/>
      <c r="J5" s="391">
        <f t="shared" si="1"/>
        <v>100</v>
      </c>
      <c r="K5" s="389">
        <v>100</v>
      </c>
      <c r="L5" s="390"/>
      <c r="M5" s="390"/>
      <c r="N5" s="390"/>
      <c r="O5" s="390"/>
      <c r="P5" s="390"/>
      <c r="Q5" s="390"/>
      <c r="R5" s="391">
        <f t="shared" si="2"/>
        <v>100</v>
      </c>
      <c r="S5" s="389">
        <v>100</v>
      </c>
      <c r="T5" s="390"/>
      <c r="U5" s="390"/>
      <c r="V5" s="390"/>
      <c r="W5" s="390"/>
      <c r="X5" s="390"/>
      <c r="Y5" s="391">
        <f t="shared" si="3"/>
        <v>100</v>
      </c>
    </row>
    <row r="6" spans="1:25" x14ac:dyDescent="0.35">
      <c r="A6" s="319" t="s">
        <v>2187</v>
      </c>
      <c r="B6" s="319" t="str">
        <f>VLOOKUP(A6,TaskValues_ref!E:F,2,FALSE)</f>
        <v>Emergency OB</v>
      </c>
      <c r="C6" s="390">
        <v>100</v>
      </c>
      <c r="D6" s="376"/>
      <c r="E6" s="391">
        <f t="shared" si="0"/>
        <v>100</v>
      </c>
      <c r="F6" s="389">
        <v>100</v>
      </c>
      <c r="G6" s="390"/>
      <c r="H6" s="390"/>
      <c r="I6" s="390"/>
      <c r="J6" s="391">
        <f t="shared" si="1"/>
        <v>100</v>
      </c>
      <c r="K6" s="389">
        <v>100</v>
      </c>
      <c r="L6" s="390"/>
      <c r="M6" s="390"/>
      <c r="N6" s="390"/>
      <c r="O6" s="390"/>
      <c r="P6" s="390"/>
      <c r="Q6" s="390"/>
      <c r="R6" s="391">
        <f t="shared" si="2"/>
        <v>100</v>
      </c>
      <c r="S6" s="389">
        <v>100</v>
      </c>
      <c r="T6" s="390"/>
      <c r="U6" s="390"/>
      <c r="V6" s="390"/>
      <c r="W6" s="390"/>
      <c r="X6" s="390"/>
      <c r="Y6" s="391">
        <f t="shared" si="3"/>
        <v>100</v>
      </c>
    </row>
    <row r="7" spans="1:25" x14ac:dyDescent="0.35">
      <c r="A7" s="319" t="s">
        <v>2188</v>
      </c>
      <c r="B7" s="319" t="str">
        <f>VLOOKUP(A7,TaskValues_ref!E:F,2,FALSE)</f>
        <v>Pre-referral for complications</v>
      </c>
      <c r="C7" s="390">
        <v>100</v>
      </c>
      <c r="D7" s="376"/>
      <c r="E7" s="391">
        <f t="shared" si="0"/>
        <v>100</v>
      </c>
      <c r="F7" s="389">
        <v>100</v>
      </c>
      <c r="G7" s="390"/>
      <c r="H7" s="390"/>
      <c r="I7" s="390"/>
      <c r="J7" s="391">
        <f t="shared" si="1"/>
        <v>100</v>
      </c>
      <c r="K7" s="389">
        <v>100</v>
      </c>
      <c r="L7" s="390"/>
      <c r="M7" s="390"/>
      <c r="N7" s="390"/>
      <c r="O7" s="390"/>
      <c r="P7" s="390"/>
      <c r="Q7" s="390"/>
      <c r="R7" s="391">
        <f t="shared" si="2"/>
        <v>100</v>
      </c>
      <c r="S7" s="389">
        <v>100</v>
      </c>
      <c r="T7" s="390"/>
      <c r="U7" s="390"/>
      <c r="V7" s="390"/>
      <c r="W7" s="390"/>
      <c r="X7" s="390"/>
      <c r="Y7" s="391">
        <f t="shared" si="3"/>
        <v>100</v>
      </c>
    </row>
    <row r="8" spans="1:25" x14ac:dyDescent="0.35">
      <c r="A8" s="319" t="s">
        <v>2197</v>
      </c>
      <c r="B8" s="319" t="str">
        <f>VLOOKUP(A8,TaskValues_ref!E:F,2,FALSE)</f>
        <v>PNC home visits</v>
      </c>
      <c r="C8" s="390">
        <v>100</v>
      </c>
      <c r="D8" s="376"/>
      <c r="E8" s="391">
        <f t="shared" si="0"/>
        <v>100</v>
      </c>
      <c r="F8" s="389">
        <v>100</v>
      </c>
      <c r="G8" s="390"/>
      <c r="H8" s="390"/>
      <c r="I8" s="390"/>
      <c r="J8" s="391">
        <f t="shared" si="1"/>
        <v>100</v>
      </c>
      <c r="K8" s="389">
        <v>100</v>
      </c>
      <c r="L8" s="390"/>
      <c r="M8" s="390"/>
      <c r="N8" s="390"/>
      <c r="O8" s="390"/>
      <c r="P8" s="390"/>
      <c r="Q8" s="390"/>
      <c r="R8" s="391">
        <f t="shared" si="2"/>
        <v>100</v>
      </c>
      <c r="S8" s="389">
        <v>100</v>
      </c>
      <c r="T8" s="390"/>
      <c r="U8" s="390"/>
      <c r="V8" s="390"/>
      <c r="W8" s="390"/>
      <c r="X8" s="390"/>
      <c r="Y8" s="391">
        <f t="shared" si="3"/>
        <v>100</v>
      </c>
    </row>
    <row r="9" spans="1:25" x14ac:dyDescent="0.35">
      <c r="A9" s="319" t="s">
        <v>2198</v>
      </c>
      <c r="B9" s="319" t="str">
        <f>VLOOKUP(A9,TaskValues_ref!E:F,2,FALSE)</f>
        <v>Maternal sepsis</v>
      </c>
      <c r="C9" s="390">
        <v>100</v>
      </c>
      <c r="D9" s="376"/>
      <c r="E9" s="391">
        <f t="shared" si="0"/>
        <v>100</v>
      </c>
      <c r="F9" s="389">
        <v>100</v>
      </c>
      <c r="G9" s="390"/>
      <c r="H9" s="390"/>
      <c r="I9" s="390"/>
      <c r="J9" s="391">
        <f t="shared" si="1"/>
        <v>100</v>
      </c>
      <c r="K9" s="389">
        <v>100</v>
      </c>
      <c r="L9" s="390"/>
      <c r="M9" s="390"/>
      <c r="N9" s="390"/>
      <c r="O9" s="390"/>
      <c r="P9" s="390"/>
      <c r="Q9" s="390"/>
      <c r="R9" s="391">
        <f t="shared" si="2"/>
        <v>100</v>
      </c>
      <c r="S9" s="389">
        <v>100</v>
      </c>
      <c r="T9" s="390"/>
      <c r="U9" s="390"/>
      <c r="V9" s="390"/>
      <c r="W9" s="390"/>
      <c r="X9" s="390"/>
      <c r="Y9" s="391">
        <f t="shared" si="3"/>
        <v>100</v>
      </c>
    </row>
    <row r="10" spans="1:25" x14ac:dyDescent="0.35">
      <c r="A10" s="319" t="s">
        <v>2199</v>
      </c>
      <c r="B10" s="319" t="str">
        <f>VLOOKUP(A10,TaskValues_ref!E:F,2,FALSE)</f>
        <v>Mastitis</v>
      </c>
      <c r="C10" s="390">
        <v>100</v>
      </c>
      <c r="D10" s="376"/>
      <c r="E10" s="391">
        <f t="shared" si="0"/>
        <v>100</v>
      </c>
      <c r="F10" s="389">
        <v>100</v>
      </c>
      <c r="G10" s="390"/>
      <c r="H10" s="390"/>
      <c r="I10" s="390"/>
      <c r="J10" s="391">
        <f t="shared" si="1"/>
        <v>100</v>
      </c>
      <c r="K10" s="389">
        <v>100</v>
      </c>
      <c r="L10" s="390"/>
      <c r="M10" s="390"/>
      <c r="N10" s="390"/>
      <c r="O10" s="390"/>
      <c r="P10" s="390"/>
      <c r="Q10" s="390"/>
      <c r="R10" s="391">
        <f t="shared" si="2"/>
        <v>100</v>
      </c>
      <c r="S10" s="389">
        <v>100</v>
      </c>
      <c r="T10" s="390"/>
      <c r="U10" s="390"/>
      <c r="V10" s="390"/>
      <c r="W10" s="390"/>
      <c r="X10" s="390"/>
      <c r="Y10" s="391">
        <f t="shared" si="3"/>
        <v>100</v>
      </c>
    </row>
    <row r="11" spans="1:25" x14ac:dyDescent="0.35">
      <c r="A11" s="319" t="s">
        <v>2200</v>
      </c>
      <c r="B11" s="319" t="str">
        <f>VLOOKUP(A11,TaskValues_ref!E:F,2,FALSE)</f>
        <v>Postpartum haemorrhage</v>
      </c>
      <c r="C11" s="390">
        <v>100</v>
      </c>
      <c r="D11" s="376"/>
      <c r="E11" s="391">
        <f t="shared" si="0"/>
        <v>100</v>
      </c>
      <c r="F11" s="389">
        <v>100</v>
      </c>
      <c r="G11" s="390"/>
      <c r="H11" s="390"/>
      <c r="I11" s="390"/>
      <c r="J11" s="391">
        <f t="shared" si="1"/>
        <v>100</v>
      </c>
      <c r="K11" s="389">
        <v>100</v>
      </c>
      <c r="L11" s="390"/>
      <c r="M11" s="390"/>
      <c r="N11" s="390"/>
      <c r="O11" s="390"/>
      <c r="P11" s="390"/>
      <c r="Q11" s="390"/>
      <c r="R11" s="391">
        <f t="shared" si="2"/>
        <v>100</v>
      </c>
      <c r="S11" s="389">
        <v>100</v>
      </c>
      <c r="T11" s="390"/>
      <c r="U11" s="390"/>
      <c r="V11" s="390"/>
      <c r="W11" s="390"/>
      <c r="X11" s="390"/>
      <c r="Y11" s="391">
        <f t="shared" si="3"/>
        <v>100</v>
      </c>
    </row>
    <row r="12" spans="1:25" x14ac:dyDescent="0.35">
      <c r="A12" s="319" t="s">
        <v>2208</v>
      </c>
      <c r="B12" s="319" t="str">
        <f>VLOOKUP(A12,TaskValues_ref!E:F,2,FALSE)</f>
        <v>Pre-referral PPH</v>
      </c>
      <c r="C12" s="390">
        <v>100</v>
      </c>
      <c r="D12" s="376"/>
      <c r="E12" s="391">
        <f t="shared" si="0"/>
        <v>100</v>
      </c>
      <c r="F12" s="389">
        <v>100</v>
      </c>
      <c r="G12" s="390"/>
      <c r="H12" s="390"/>
      <c r="I12" s="390"/>
      <c r="J12" s="391">
        <f t="shared" si="1"/>
        <v>100</v>
      </c>
      <c r="K12" s="389">
        <v>100</v>
      </c>
      <c r="L12" s="390"/>
      <c r="M12" s="390"/>
      <c r="N12" s="390"/>
      <c r="O12" s="390"/>
      <c r="P12" s="390"/>
      <c r="Q12" s="390"/>
      <c r="R12" s="391">
        <f t="shared" si="2"/>
        <v>100</v>
      </c>
      <c r="S12" s="389">
        <v>100</v>
      </c>
      <c r="T12" s="390"/>
      <c r="U12" s="390"/>
      <c r="V12" s="390"/>
      <c r="W12" s="390"/>
      <c r="X12" s="390"/>
      <c r="Y12" s="391">
        <f t="shared" si="3"/>
        <v>100</v>
      </c>
    </row>
    <row r="13" spans="1:25" x14ac:dyDescent="0.35">
      <c r="A13" s="319" t="s">
        <v>2213</v>
      </c>
      <c r="B13" s="319" t="str">
        <f>VLOOKUP(A13,TaskValues_ref!E:F,2,FALSE)</f>
        <v>Mortality surveillance</v>
      </c>
      <c r="C13" s="390">
        <v>100</v>
      </c>
      <c r="D13" s="376"/>
      <c r="E13" s="391">
        <f t="shared" si="0"/>
        <v>100</v>
      </c>
      <c r="F13" s="389">
        <v>100</v>
      </c>
      <c r="G13" s="390"/>
      <c r="H13" s="390"/>
      <c r="I13" s="390"/>
      <c r="J13" s="391">
        <f t="shared" si="1"/>
        <v>100</v>
      </c>
      <c r="K13" s="389">
        <v>100</v>
      </c>
      <c r="L13" s="390"/>
      <c r="M13" s="390"/>
      <c r="N13" s="390"/>
      <c r="O13" s="390"/>
      <c r="P13" s="390"/>
      <c r="Q13" s="390"/>
      <c r="R13" s="391">
        <f t="shared" si="2"/>
        <v>100</v>
      </c>
      <c r="S13" s="389">
        <v>100</v>
      </c>
      <c r="T13" s="390"/>
      <c r="U13" s="390"/>
      <c r="V13" s="390"/>
      <c r="W13" s="390"/>
      <c r="X13" s="390"/>
      <c r="Y13" s="391">
        <f t="shared" si="3"/>
        <v>100</v>
      </c>
    </row>
    <row r="14" spans="1:25" x14ac:dyDescent="0.35">
      <c r="A14" s="319" t="s">
        <v>2779</v>
      </c>
      <c r="B14" s="319" t="str">
        <f>VLOOKUP(A14,TaskValues_ref!E:F,2,FALSE)</f>
        <v>ID fistula and prolapse</v>
      </c>
      <c r="C14" s="390">
        <v>100</v>
      </c>
      <c r="D14" s="376"/>
      <c r="E14" s="391">
        <f t="shared" si="0"/>
        <v>100</v>
      </c>
      <c r="F14" s="389">
        <v>100</v>
      </c>
      <c r="G14" s="390"/>
      <c r="H14" s="390"/>
      <c r="I14" s="390"/>
      <c r="J14" s="391">
        <f t="shared" si="1"/>
        <v>100</v>
      </c>
      <c r="K14" s="389">
        <v>100</v>
      </c>
      <c r="L14" s="390"/>
      <c r="M14" s="390"/>
      <c r="N14" s="390"/>
      <c r="O14" s="390"/>
      <c r="P14" s="390"/>
      <c r="Q14" s="390"/>
      <c r="R14" s="391">
        <f t="shared" si="2"/>
        <v>100</v>
      </c>
      <c r="S14" s="389">
        <v>100</v>
      </c>
      <c r="T14" s="390"/>
      <c r="U14" s="390"/>
      <c r="V14" s="390"/>
      <c r="W14" s="390"/>
      <c r="X14" s="390"/>
      <c r="Y14" s="391">
        <f t="shared" si="3"/>
        <v>100</v>
      </c>
    </row>
    <row r="15" spans="1:25" x14ac:dyDescent="0.35">
      <c r="A15" s="319" t="s">
        <v>2780</v>
      </c>
      <c r="B15" s="319" t="str">
        <f>VLOOKUP(A15,TaskValues_ref!E:F,2,FALSE)</f>
        <v>Promote cervical cancer ID and treat</v>
      </c>
      <c r="C15" s="390">
        <v>100</v>
      </c>
      <c r="D15" s="376"/>
      <c r="E15" s="391">
        <f t="shared" si="0"/>
        <v>100</v>
      </c>
      <c r="F15" s="389">
        <v>100</v>
      </c>
      <c r="G15" s="390"/>
      <c r="H15" s="390"/>
      <c r="I15" s="390"/>
      <c r="J15" s="391">
        <f t="shared" si="1"/>
        <v>100</v>
      </c>
      <c r="K15" s="389">
        <v>100</v>
      </c>
      <c r="L15" s="390"/>
      <c r="M15" s="390"/>
      <c r="N15" s="390"/>
      <c r="O15" s="390"/>
      <c r="P15" s="390"/>
      <c r="Q15" s="390"/>
      <c r="R15" s="391">
        <f t="shared" si="2"/>
        <v>100</v>
      </c>
      <c r="S15" s="389">
        <v>100</v>
      </c>
      <c r="T15" s="390"/>
      <c r="U15" s="390"/>
      <c r="V15" s="390"/>
      <c r="W15" s="390"/>
      <c r="X15" s="390"/>
      <c r="Y15" s="391">
        <f t="shared" si="3"/>
        <v>100</v>
      </c>
    </row>
    <row r="16" spans="1:25" x14ac:dyDescent="0.35">
      <c r="A16" s="319" t="s">
        <v>2641</v>
      </c>
      <c r="B16" s="319" t="str">
        <f>VLOOKUP(A16,TaskValues_ref!E:F,2,FALSE)</f>
        <v>Newborn care</v>
      </c>
      <c r="C16" s="390">
        <v>100</v>
      </c>
      <c r="D16" s="376"/>
      <c r="E16" s="391">
        <f t="shared" si="0"/>
        <v>100</v>
      </c>
      <c r="F16" s="389">
        <v>100</v>
      </c>
      <c r="G16" s="390"/>
      <c r="H16" s="390"/>
      <c r="I16" s="390"/>
      <c r="J16" s="391">
        <f t="shared" si="1"/>
        <v>100</v>
      </c>
      <c r="K16" s="389">
        <v>100</v>
      </c>
      <c r="L16" s="390"/>
      <c r="M16" s="390"/>
      <c r="N16" s="390"/>
      <c r="O16" s="390"/>
      <c r="P16" s="390"/>
      <c r="Q16" s="390"/>
      <c r="R16" s="391">
        <f t="shared" si="2"/>
        <v>100</v>
      </c>
      <c r="S16" s="389">
        <v>100</v>
      </c>
      <c r="T16" s="390"/>
      <c r="U16" s="390"/>
      <c r="V16" s="390"/>
      <c r="W16" s="390"/>
      <c r="X16" s="390"/>
      <c r="Y16" s="391">
        <f t="shared" si="3"/>
        <v>100</v>
      </c>
    </row>
    <row r="17" spans="1:26" x14ac:dyDescent="0.35">
      <c r="A17" s="319" t="s">
        <v>2642</v>
      </c>
      <c r="B17" s="319" t="str">
        <f>VLOOKUP(A17,TaskValues_ref!E:F,2,FALSE)</f>
        <v>Chlorhexidine</v>
      </c>
      <c r="C17" s="390">
        <v>100</v>
      </c>
      <c r="D17" s="376"/>
      <c r="E17" s="391">
        <f t="shared" si="0"/>
        <v>100</v>
      </c>
      <c r="F17" s="389">
        <v>100</v>
      </c>
      <c r="G17" s="390"/>
      <c r="H17" s="390"/>
      <c r="I17" s="390"/>
      <c r="J17" s="391">
        <f t="shared" si="1"/>
        <v>100</v>
      </c>
      <c r="K17" s="389">
        <v>100</v>
      </c>
      <c r="L17" s="390"/>
      <c r="M17" s="390"/>
      <c r="N17" s="390"/>
      <c r="O17" s="390"/>
      <c r="P17" s="390"/>
      <c r="Q17" s="390"/>
      <c r="R17" s="391">
        <f t="shared" si="2"/>
        <v>100</v>
      </c>
      <c r="S17" s="389">
        <v>100</v>
      </c>
      <c r="T17" s="390"/>
      <c r="U17" s="390"/>
      <c r="V17" s="390"/>
      <c r="W17" s="390"/>
      <c r="X17" s="390"/>
      <c r="Y17" s="391">
        <f t="shared" si="3"/>
        <v>100</v>
      </c>
    </row>
    <row r="18" spans="1:26" x14ac:dyDescent="0.35">
      <c r="A18" s="319" t="s">
        <v>2643</v>
      </c>
      <c r="B18" s="319" t="str">
        <f>VLOOKUP(A18,TaskValues_ref!E:F,2,FALSE)</f>
        <v>Kangaroo care</v>
      </c>
      <c r="C18" s="390">
        <v>100</v>
      </c>
      <c r="D18" s="376"/>
      <c r="E18" s="391">
        <f t="shared" si="0"/>
        <v>100</v>
      </c>
      <c r="F18" s="389">
        <v>100</v>
      </c>
      <c r="G18" s="390"/>
      <c r="H18" s="390"/>
      <c r="I18" s="390"/>
      <c r="J18" s="391">
        <f t="shared" si="1"/>
        <v>100</v>
      </c>
      <c r="K18" s="389">
        <v>100</v>
      </c>
      <c r="L18" s="390"/>
      <c r="M18" s="390"/>
      <c r="N18" s="390"/>
      <c r="O18" s="390"/>
      <c r="P18" s="390"/>
      <c r="Q18" s="390"/>
      <c r="R18" s="391">
        <f t="shared" si="2"/>
        <v>100</v>
      </c>
      <c r="S18" s="389">
        <v>100</v>
      </c>
      <c r="T18" s="390"/>
      <c r="U18" s="390"/>
      <c r="V18" s="390"/>
      <c r="W18" s="390"/>
      <c r="X18" s="390"/>
      <c r="Y18" s="391">
        <f t="shared" si="3"/>
        <v>100</v>
      </c>
    </row>
    <row r="19" spans="1:26" x14ac:dyDescent="0.35">
      <c r="A19" s="319" t="s">
        <v>2644</v>
      </c>
      <c r="B19" s="319" t="str">
        <f>VLOOKUP(A19,TaskValues_ref!E:F,2,FALSE)</f>
        <v>Refer congenital anomalies</v>
      </c>
      <c r="C19" s="390">
        <v>100</v>
      </c>
      <c r="D19" s="376"/>
      <c r="E19" s="391">
        <f t="shared" si="0"/>
        <v>100</v>
      </c>
      <c r="F19" s="389">
        <v>100</v>
      </c>
      <c r="G19" s="390"/>
      <c r="H19" s="390"/>
      <c r="I19" s="390"/>
      <c r="J19" s="391">
        <f t="shared" si="1"/>
        <v>100</v>
      </c>
      <c r="K19" s="389">
        <v>100</v>
      </c>
      <c r="L19" s="390"/>
      <c r="M19" s="390"/>
      <c r="N19" s="390"/>
      <c r="O19" s="390"/>
      <c r="P19" s="390"/>
      <c r="Q19" s="390"/>
      <c r="R19" s="391">
        <f t="shared" si="2"/>
        <v>100</v>
      </c>
      <c r="S19" s="389">
        <v>100</v>
      </c>
      <c r="T19" s="390"/>
      <c r="U19" s="390"/>
      <c r="V19" s="390"/>
      <c r="W19" s="390"/>
      <c r="X19" s="390"/>
      <c r="Y19" s="391">
        <f t="shared" si="3"/>
        <v>100</v>
      </c>
    </row>
    <row r="20" spans="1:26" x14ac:dyDescent="0.35">
      <c r="A20" s="319" t="s">
        <v>2231</v>
      </c>
      <c r="B20" s="319" t="str">
        <f>VLOOKUP(A20,TaskValues_ref!E:F,2,FALSE)</f>
        <v>Pneumonia/fever</v>
      </c>
      <c r="C20" s="390">
        <v>100</v>
      </c>
      <c r="D20" s="376"/>
      <c r="E20" s="391">
        <f t="shared" si="0"/>
        <v>100</v>
      </c>
      <c r="F20" s="389"/>
      <c r="G20" s="390">
        <v>10</v>
      </c>
      <c r="H20" s="390">
        <v>90</v>
      </c>
      <c r="I20" s="390"/>
      <c r="J20" s="391">
        <f t="shared" si="1"/>
        <v>100</v>
      </c>
      <c r="K20" s="389"/>
      <c r="L20" s="390">
        <v>10</v>
      </c>
      <c r="M20" s="390">
        <v>45</v>
      </c>
      <c r="N20" s="390">
        <v>45</v>
      </c>
      <c r="O20" s="390"/>
      <c r="P20" s="390"/>
      <c r="Q20" s="390"/>
      <c r="R20" s="391">
        <f t="shared" si="2"/>
        <v>100</v>
      </c>
      <c r="S20" s="389"/>
      <c r="T20" s="390">
        <v>10</v>
      </c>
      <c r="U20" s="390">
        <v>45</v>
      </c>
      <c r="V20" s="390">
        <v>45</v>
      </c>
      <c r="W20" s="390"/>
      <c r="X20" s="390"/>
      <c r="Y20" s="391">
        <f t="shared" si="3"/>
        <v>100</v>
      </c>
      <c r="Z20" s="58"/>
    </row>
    <row r="21" spans="1:26" x14ac:dyDescent="0.35">
      <c r="A21" s="319" t="s">
        <v>2233</v>
      </c>
      <c r="B21" s="319" t="str">
        <f>VLOOKUP(A21,TaskValues_ref!E:F,2,FALSE)</f>
        <v>Diarrhea</v>
      </c>
      <c r="C21" s="390">
        <v>100</v>
      </c>
      <c r="D21" s="376"/>
      <c r="E21" s="391">
        <f t="shared" si="0"/>
        <v>100</v>
      </c>
      <c r="F21" s="389"/>
      <c r="G21" s="390">
        <v>10</v>
      </c>
      <c r="H21" s="390">
        <v>90</v>
      </c>
      <c r="I21" s="390"/>
      <c r="J21" s="391">
        <f t="shared" si="1"/>
        <v>100</v>
      </c>
      <c r="K21" s="389"/>
      <c r="L21" s="390">
        <v>10</v>
      </c>
      <c r="M21" s="390">
        <v>45</v>
      </c>
      <c r="N21" s="390">
        <v>45</v>
      </c>
      <c r="O21" s="390"/>
      <c r="P21" s="390"/>
      <c r="Q21" s="390"/>
      <c r="R21" s="391">
        <f t="shared" si="2"/>
        <v>100</v>
      </c>
      <c r="S21" s="389"/>
      <c r="T21" s="390">
        <v>10</v>
      </c>
      <c r="U21" s="390">
        <v>45</v>
      </c>
      <c r="V21" s="390">
        <v>45</v>
      </c>
      <c r="W21" s="390"/>
      <c r="X21" s="390"/>
      <c r="Y21" s="391">
        <f t="shared" si="3"/>
        <v>100</v>
      </c>
      <c r="Z21" s="58"/>
    </row>
    <row r="22" spans="1:26" x14ac:dyDescent="0.35">
      <c r="A22" s="319" t="s">
        <v>2234</v>
      </c>
      <c r="B22" s="319" t="str">
        <f>VLOOKUP(A22,TaskValues_ref!E:F,2,FALSE)</f>
        <v>Parasites</v>
      </c>
      <c r="C22" s="390">
        <v>100</v>
      </c>
      <c r="D22" s="376"/>
      <c r="E22" s="391">
        <f t="shared" si="0"/>
        <v>100</v>
      </c>
      <c r="F22" s="389"/>
      <c r="G22" s="390">
        <v>10</v>
      </c>
      <c r="H22" s="390">
        <v>90</v>
      </c>
      <c r="I22" s="390"/>
      <c r="J22" s="391">
        <f t="shared" si="1"/>
        <v>100</v>
      </c>
      <c r="K22" s="389"/>
      <c r="L22" s="390">
        <v>10</v>
      </c>
      <c r="M22" s="390">
        <v>45</v>
      </c>
      <c r="N22" s="390">
        <v>45</v>
      </c>
      <c r="O22" s="390"/>
      <c r="P22" s="390"/>
      <c r="Q22" s="390"/>
      <c r="R22" s="391">
        <f t="shared" si="2"/>
        <v>100</v>
      </c>
      <c r="S22" s="389"/>
      <c r="T22" s="390">
        <v>10</v>
      </c>
      <c r="U22" s="390">
        <v>45</v>
      </c>
      <c r="V22" s="390">
        <v>45</v>
      </c>
      <c r="W22" s="390"/>
      <c r="X22" s="390"/>
      <c r="Y22" s="391">
        <f t="shared" si="3"/>
        <v>100</v>
      </c>
      <c r="Z22" s="58"/>
    </row>
    <row r="23" spans="1:26" x14ac:dyDescent="0.35">
      <c r="A23" s="319" t="s">
        <v>2645</v>
      </c>
      <c r="B23" s="319" t="str">
        <f>VLOOKUP(A23,TaskValues_ref!E:F,2,FALSE)</f>
        <v>IMNCI</v>
      </c>
      <c r="C23" s="390">
        <v>100</v>
      </c>
      <c r="D23" s="376"/>
      <c r="E23" s="391">
        <f t="shared" si="0"/>
        <v>100</v>
      </c>
      <c r="F23" s="389"/>
      <c r="G23" s="390">
        <v>10</v>
      </c>
      <c r="H23" s="390">
        <v>90</v>
      </c>
      <c r="I23" s="390"/>
      <c r="J23" s="391">
        <f t="shared" si="1"/>
        <v>100</v>
      </c>
      <c r="K23" s="389"/>
      <c r="L23" s="390">
        <v>10</v>
      </c>
      <c r="M23" s="390">
        <v>45</v>
      </c>
      <c r="N23" s="390">
        <v>45</v>
      </c>
      <c r="O23" s="390"/>
      <c r="P23" s="390"/>
      <c r="Q23" s="390"/>
      <c r="R23" s="391">
        <f t="shared" si="2"/>
        <v>100</v>
      </c>
      <c r="S23" s="389"/>
      <c r="T23" s="390">
        <v>10</v>
      </c>
      <c r="U23" s="390">
        <v>45</v>
      </c>
      <c r="V23" s="390">
        <v>45</v>
      </c>
      <c r="W23" s="390"/>
      <c r="X23" s="390"/>
      <c r="Y23" s="391">
        <f t="shared" si="3"/>
        <v>100</v>
      </c>
      <c r="Z23" s="58"/>
    </row>
    <row r="24" spans="1:26" s="58" customFormat="1" x14ac:dyDescent="0.35">
      <c r="A24" s="390" t="s">
        <v>2232</v>
      </c>
      <c r="B24" s="390" t="str">
        <f>VLOOKUP(A24,TaskValues_ref!E:F,2,FALSE)</f>
        <v>Well child check &amp; growth monitoring</v>
      </c>
      <c r="C24" s="390">
        <v>100</v>
      </c>
      <c r="D24" s="390"/>
      <c r="E24" s="391">
        <f t="shared" si="0"/>
        <v>100</v>
      </c>
      <c r="F24" s="389"/>
      <c r="G24" s="390"/>
      <c r="H24" s="390">
        <v>100</v>
      </c>
      <c r="I24" s="390"/>
      <c r="J24" s="391">
        <f t="shared" si="1"/>
        <v>100</v>
      </c>
      <c r="K24" s="389"/>
      <c r="L24" s="390"/>
      <c r="M24" s="390">
        <v>40</v>
      </c>
      <c r="N24" s="390">
        <v>40</v>
      </c>
      <c r="O24" s="390">
        <v>20</v>
      </c>
      <c r="P24" s="390"/>
      <c r="Q24" s="390"/>
      <c r="R24" s="391">
        <f t="shared" si="2"/>
        <v>100</v>
      </c>
      <c r="S24" s="389"/>
      <c r="T24" s="390"/>
      <c r="U24" s="390">
        <v>80</v>
      </c>
      <c r="V24" s="390">
        <v>20</v>
      </c>
      <c r="W24" s="390"/>
      <c r="X24" s="390"/>
      <c r="Y24" s="391">
        <f t="shared" si="3"/>
        <v>100</v>
      </c>
    </row>
    <row r="25" spans="1:26" s="58" customFormat="1" x14ac:dyDescent="0.35">
      <c r="A25" s="390" t="s">
        <v>2646</v>
      </c>
      <c r="B25" s="390" t="str">
        <f>VLOOKUP(A25,TaskValues_ref!E:F,2,FALSE)</f>
        <v>Treat severe malnutrition</v>
      </c>
      <c r="C25" s="390">
        <v>100</v>
      </c>
      <c r="D25" s="390"/>
      <c r="E25" s="391">
        <f t="shared" si="0"/>
        <v>100</v>
      </c>
      <c r="F25" s="389"/>
      <c r="G25" s="390">
        <v>100</v>
      </c>
      <c r="H25" s="390"/>
      <c r="I25" s="390"/>
      <c r="J25" s="391">
        <f t="shared" si="1"/>
        <v>100</v>
      </c>
      <c r="K25" s="389"/>
      <c r="L25" s="390">
        <v>100</v>
      </c>
      <c r="M25" s="390"/>
      <c r="N25" s="390"/>
      <c r="O25" s="390"/>
      <c r="P25" s="390"/>
      <c r="Q25" s="390"/>
      <c r="R25" s="391">
        <f t="shared" si="2"/>
        <v>100</v>
      </c>
      <c r="S25" s="389"/>
      <c r="T25" s="390">
        <v>100</v>
      </c>
      <c r="U25" s="390"/>
      <c r="V25" s="390"/>
      <c r="W25" s="390"/>
      <c r="X25" s="390"/>
      <c r="Y25" s="391">
        <f t="shared" si="3"/>
        <v>100</v>
      </c>
    </row>
    <row r="26" spans="1:26" s="58" customFormat="1" x14ac:dyDescent="0.35">
      <c r="A26" s="390" t="s">
        <v>2647</v>
      </c>
      <c r="B26" s="390" t="str">
        <f>VLOOKUP(A26,TaskValues_ref!E:F,2,FALSE)</f>
        <v>Treat moderate malnutrition</v>
      </c>
      <c r="C26" s="390">
        <v>100</v>
      </c>
      <c r="D26" s="390"/>
      <c r="E26" s="391">
        <f t="shared" si="0"/>
        <v>100</v>
      </c>
      <c r="F26" s="389"/>
      <c r="G26" s="390"/>
      <c r="H26" s="390">
        <v>100</v>
      </c>
      <c r="I26" s="390"/>
      <c r="J26" s="391">
        <f t="shared" si="1"/>
        <v>100</v>
      </c>
      <c r="K26" s="389"/>
      <c r="L26" s="390"/>
      <c r="M26" s="390">
        <v>20</v>
      </c>
      <c r="N26" s="390">
        <v>40</v>
      </c>
      <c r="O26" s="390">
        <v>40</v>
      </c>
      <c r="P26" s="390"/>
      <c r="Q26" s="390"/>
      <c r="R26" s="391">
        <f t="shared" si="2"/>
        <v>100</v>
      </c>
      <c r="S26" s="389"/>
      <c r="T26" s="390"/>
      <c r="U26" s="390">
        <v>60</v>
      </c>
      <c r="V26" s="390">
        <v>40</v>
      </c>
      <c r="W26" s="390"/>
      <c r="X26" s="390"/>
      <c r="Y26" s="391">
        <f t="shared" si="3"/>
        <v>100</v>
      </c>
    </row>
    <row r="27" spans="1:26" s="58" customFormat="1" x14ac:dyDescent="0.35">
      <c r="A27" s="390" t="s">
        <v>2648</v>
      </c>
      <c r="B27" s="390" t="str">
        <f>VLOOKUP(A27,TaskValues_ref!E:F,2,FALSE)</f>
        <v>Deworming &amp; VitA</v>
      </c>
      <c r="C27" s="390">
        <v>100</v>
      </c>
      <c r="D27" s="390"/>
      <c r="E27" s="391">
        <f t="shared" si="0"/>
        <v>100</v>
      </c>
      <c r="F27" s="389"/>
      <c r="G27" s="390"/>
      <c r="H27" s="390">
        <v>100</v>
      </c>
      <c r="I27" s="390"/>
      <c r="J27" s="391">
        <f t="shared" si="1"/>
        <v>100</v>
      </c>
      <c r="K27" s="389"/>
      <c r="L27" s="390"/>
      <c r="M27" s="390">
        <v>50</v>
      </c>
      <c r="N27" s="390">
        <v>50</v>
      </c>
      <c r="O27" s="390"/>
      <c r="P27" s="390"/>
      <c r="Q27" s="390"/>
      <c r="R27" s="391">
        <f t="shared" si="2"/>
        <v>100</v>
      </c>
      <c r="S27" s="389"/>
      <c r="T27" s="390"/>
      <c r="U27" s="390">
        <v>100</v>
      </c>
      <c r="V27" s="390"/>
      <c r="W27" s="390"/>
      <c r="X27" s="390"/>
      <c r="Y27" s="391">
        <f t="shared" si="3"/>
        <v>100</v>
      </c>
    </row>
    <row r="28" spans="1:26" s="58" customFormat="1" x14ac:dyDescent="0.35">
      <c r="A28" s="390" t="s">
        <v>2649</v>
      </c>
      <c r="B28" s="390" t="str">
        <f>VLOOKUP(A28,TaskValues_ref!E:F,2,FALSE)</f>
        <v>Paediatric palliative</v>
      </c>
      <c r="C28" s="390">
        <v>100</v>
      </c>
      <c r="D28" s="390"/>
      <c r="E28" s="391">
        <f t="shared" si="0"/>
        <v>100</v>
      </c>
      <c r="F28" s="389"/>
      <c r="G28" s="390">
        <v>100</v>
      </c>
      <c r="H28" s="390"/>
      <c r="I28" s="390"/>
      <c r="J28" s="391">
        <f t="shared" si="1"/>
        <v>100</v>
      </c>
      <c r="K28" s="389"/>
      <c r="L28" s="390">
        <v>100</v>
      </c>
      <c r="M28" s="390"/>
      <c r="N28" s="390"/>
      <c r="O28" s="390"/>
      <c r="P28" s="390"/>
      <c r="Q28" s="390"/>
      <c r="R28" s="391">
        <f t="shared" si="2"/>
        <v>100</v>
      </c>
      <c r="S28" s="389"/>
      <c r="T28" s="390">
        <v>100</v>
      </c>
      <c r="U28" s="390"/>
      <c r="V28" s="390"/>
      <c r="W28" s="390"/>
      <c r="X28" s="390"/>
      <c r="Y28" s="391">
        <f t="shared" si="3"/>
        <v>100</v>
      </c>
    </row>
    <row r="29" spans="1:26" s="58" customFormat="1" x14ac:dyDescent="0.35">
      <c r="A29" s="390" t="s">
        <v>2650</v>
      </c>
      <c r="B29" s="390" t="str">
        <f>VLOOKUP(A29,TaskValues_ref!E:F,2,FALSE)</f>
        <v>Pharyngitis, tonsillitis, sinusitis</v>
      </c>
      <c r="C29" s="390">
        <v>100</v>
      </c>
      <c r="D29" s="390"/>
      <c r="E29" s="391">
        <f t="shared" si="0"/>
        <v>100</v>
      </c>
      <c r="F29" s="389"/>
      <c r="G29" s="390">
        <v>20</v>
      </c>
      <c r="H29" s="390">
        <v>80</v>
      </c>
      <c r="I29" s="390"/>
      <c r="J29" s="391">
        <f t="shared" si="1"/>
        <v>100</v>
      </c>
      <c r="K29" s="389"/>
      <c r="L29" s="390">
        <v>20</v>
      </c>
      <c r="M29" s="390">
        <v>20</v>
      </c>
      <c r="N29" s="390">
        <v>30</v>
      </c>
      <c r="O29" s="390">
        <v>30</v>
      </c>
      <c r="P29" s="390"/>
      <c r="Q29" s="390"/>
      <c r="R29" s="391">
        <f t="shared" si="2"/>
        <v>100</v>
      </c>
      <c r="S29" s="389"/>
      <c r="T29" s="390">
        <v>20</v>
      </c>
      <c r="U29" s="390">
        <v>40</v>
      </c>
      <c r="V29" s="390">
        <v>40</v>
      </c>
      <c r="W29" s="390"/>
      <c r="X29" s="390"/>
      <c r="Y29" s="391">
        <f t="shared" si="3"/>
        <v>100</v>
      </c>
    </row>
    <row r="30" spans="1:26" s="58" customFormat="1" x14ac:dyDescent="0.35">
      <c r="A30" s="390" t="s">
        <v>2651</v>
      </c>
      <c r="B30" s="390" t="str">
        <f>VLOOKUP(A30,TaskValues_ref!E:F,2,FALSE)</f>
        <v>Scabies</v>
      </c>
      <c r="C30" s="390">
        <v>100</v>
      </c>
      <c r="D30" s="390"/>
      <c r="E30" s="391">
        <f t="shared" si="0"/>
        <v>100</v>
      </c>
      <c r="F30" s="389"/>
      <c r="G30" s="390"/>
      <c r="H30" s="390">
        <v>100</v>
      </c>
      <c r="I30" s="390"/>
      <c r="J30" s="391">
        <f t="shared" si="1"/>
        <v>100</v>
      </c>
      <c r="K30" s="389"/>
      <c r="L30" s="390"/>
      <c r="M30" s="390">
        <v>50</v>
      </c>
      <c r="N30" s="390">
        <v>50</v>
      </c>
      <c r="O30" s="390"/>
      <c r="P30" s="390"/>
      <c r="Q30" s="390"/>
      <c r="R30" s="391">
        <f t="shared" si="2"/>
        <v>100</v>
      </c>
      <c r="S30" s="389"/>
      <c r="T30" s="390"/>
      <c r="U30" s="390">
        <v>100</v>
      </c>
      <c r="V30" s="390"/>
      <c r="W30" s="390"/>
      <c r="X30" s="390"/>
      <c r="Y30" s="391">
        <f t="shared" si="3"/>
        <v>100</v>
      </c>
    </row>
    <row r="31" spans="1:26" x14ac:dyDescent="0.35">
      <c r="A31" s="321" t="s">
        <v>2652</v>
      </c>
      <c r="B31" s="319" t="str">
        <f>VLOOKUP(A31,TaskValues_ref!E:F,2,FALSE)</f>
        <v>Child abuse</v>
      </c>
      <c r="C31" s="390">
        <v>100</v>
      </c>
      <c r="D31" s="390"/>
      <c r="E31" s="391">
        <f t="shared" si="0"/>
        <v>100</v>
      </c>
      <c r="F31" s="389"/>
      <c r="G31" s="390">
        <v>50</v>
      </c>
      <c r="H31" s="390">
        <v>50</v>
      </c>
      <c r="I31" s="390"/>
      <c r="J31" s="391">
        <f t="shared" si="1"/>
        <v>100</v>
      </c>
      <c r="K31" s="389"/>
      <c r="L31" s="390">
        <v>25</v>
      </c>
      <c r="M31" s="390">
        <v>25</v>
      </c>
      <c r="N31" s="390">
        <v>50</v>
      </c>
      <c r="O31" s="390"/>
      <c r="P31" s="390"/>
      <c r="Q31" s="390"/>
      <c r="R31" s="391">
        <f t="shared" si="2"/>
        <v>100</v>
      </c>
      <c r="S31" s="389"/>
      <c r="T31" s="390">
        <v>25</v>
      </c>
      <c r="U31" s="390">
        <v>75</v>
      </c>
      <c r="V31" s="390"/>
      <c r="W31" s="390"/>
      <c r="X31" s="390"/>
      <c r="Y31" s="391">
        <f t="shared" si="3"/>
        <v>100</v>
      </c>
    </row>
    <row r="32" spans="1:26" x14ac:dyDescent="0.35">
      <c r="A32" s="321" t="s">
        <v>2653</v>
      </c>
      <c r="B32" s="319" t="str">
        <f>VLOOKUP(A32,TaskValues_ref!E:F,2,FALSE)</f>
        <v>Social services</v>
      </c>
      <c r="C32" s="390">
        <v>100</v>
      </c>
      <c r="D32" s="390"/>
      <c r="E32" s="391">
        <f t="shared" si="0"/>
        <v>100</v>
      </c>
      <c r="F32" s="389"/>
      <c r="G32" s="390">
        <v>50</v>
      </c>
      <c r="H32" s="390">
        <v>50</v>
      </c>
      <c r="I32" s="390"/>
      <c r="J32" s="391">
        <f t="shared" ref="J32:J33" si="4">SUM(F32:I32)</f>
        <v>100</v>
      </c>
      <c r="K32" s="389"/>
      <c r="L32" s="390">
        <v>25</v>
      </c>
      <c r="M32" s="390">
        <v>25</v>
      </c>
      <c r="N32" s="390">
        <v>50</v>
      </c>
      <c r="O32" s="390"/>
      <c r="P32" s="390"/>
      <c r="Q32" s="390"/>
      <c r="R32" s="391">
        <f t="shared" ref="R32:R33" si="5">SUM(K32:Q32)</f>
        <v>100</v>
      </c>
      <c r="S32" s="389"/>
      <c r="T32" s="390">
        <v>25</v>
      </c>
      <c r="U32" s="390">
        <v>75</v>
      </c>
      <c r="V32" s="390"/>
      <c r="W32" s="390"/>
      <c r="X32" s="390"/>
      <c r="Y32" s="391">
        <f t="shared" ref="Y32:Y33" si="6">SUM(S32:X32)</f>
        <v>100</v>
      </c>
    </row>
    <row r="33" spans="1:25" x14ac:dyDescent="0.35">
      <c r="A33" s="319" t="s">
        <v>2261</v>
      </c>
      <c r="B33" s="319" t="str">
        <f>VLOOKUP(A33,TaskValues_ref!E:F,2,FALSE)</f>
        <v>Promotion of immunization</v>
      </c>
      <c r="C33" s="390">
        <v>100</v>
      </c>
      <c r="D33" s="390"/>
      <c r="E33" s="391">
        <f t="shared" si="0"/>
        <v>100</v>
      </c>
      <c r="F33" s="389"/>
      <c r="G33" s="390"/>
      <c r="H33" s="390">
        <v>100</v>
      </c>
      <c r="I33" s="390"/>
      <c r="J33" s="391">
        <f t="shared" si="4"/>
        <v>100</v>
      </c>
      <c r="K33" s="389"/>
      <c r="L33" s="390"/>
      <c r="M33" s="390">
        <v>50</v>
      </c>
      <c r="N33" s="390">
        <v>50</v>
      </c>
      <c r="O33" s="390"/>
      <c r="P33" s="390"/>
      <c r="Q33" s="390"/>
      <c r="R33" s="391">
        <f t="shared" si="5"/>
        <v>100</v>
      </c>
      <c r="S33" s="389"/>
      <c r="T33" s="390"/>
      <c r="U33" s="390">
        <v>100</v>
      </c>
      <c r="V33" s="390"/>
      <c r="W33" s="390"/>
      <c r="X33" s="390"/>
      <c r="Y33" s="391">
        <f t="shared" si="6"/>
        <v>100</v>
      </c>
    </row>
    <row r="34" spans="1:25" s="58" customFormat="1" x14ac:dyDescent="0.35">
      <c r="A34" s="390" t="s">
        <v>2267</v>
      </c>
      <c r="B34" s="390" t="str">
        <f>VLOOKUP(A34,TaskValues_ref!E:F,2,FALSE)</f>
        <v>RI birth</v>
      </c>
      <c r="C34" s="390">
        <v>100</v>
      </c>
      <c r="D34" s="390"/>
      <c r="E34" s="391">
        <f t="shared" ref="E34:E65" si="7">SUM(C34:D34)</f>
        <v>100</v>
      </c>
      <c r="F34" s="389">
        <v>100</v>
      </c>
      <c r="G34" s="390"/>
      <c r="H34" s="390"/>
      <c r="I34" s="390"/>
      <c r="J34" s="391">
        <f t="shared" si="1"/>
        <v>100</v>
      </c>
      <c r="K34" s="389">
        <v>100</v>
      </c>
      <c r="L34" s="390"/>
      <c r="M34" s="390"/>
      <c r="N34" s="390"/>
      <c r="O34" s="390"/>
      <c r="P34" s="390"/>
      <c r="Q34" s="390"/>
      <c r="R34" s="391">
        <f t="shared" si="2"/>
        <v>100</v>
      </c>
      <c r="S34" s="389">
        <v>100</v>
      </c>
      <c r="T34" s="390"/>
      <c r="U34" s="390"/>
      <c r="V34" s="390"/>
      <c r="W34" s="390"/>
      <c r="X34" s="390"/>
      <c r="Y34" s="391">
        <f t="shared" si="3"/>
        <v>100</v>
      </c>
    </row>
    <row r="35" spans="1:25" s="58" customFormat="1" x14ac:dyDescent="0.35">
      <c r="A35" s="390" t="s">
        <v>2268</v>
      </c>
      <c r="B35" s="390" t="str">
        <f>VLOOKUP(A35,TaskValues_ref!E:F,2,FALSE)</f>
        <v>RI 1st year</v>
      </c>
      <c r="C35" s="390">
        <v>100</v>
      </c>
      <c r="D35" s="390"/>
      <c r="E35" s="391">
        <f t="shared" si="7"/>
        <v>100</v>
      </c>
      <c r="F35" s="389"/>
      <c r="G35" s="390"/>
      <c r="H35" s="390">
        <v>100</v>
      </c>
      <c r="I35" s="390"/>
      <c r="J35" s="391">
        <f t="shared" si="1"/>
        <v>100</v>
      </c>
      <c r="K35" s="389"/>
      <c r="L35" s="390"/>
      <c r="M35" s="390">
        <v>50</v>
      </c>
      <c r="N35" s="390">
        <v>50</v>
      </c>
      <c r="O35" s="390"/>
      <c r="P35" s="390"/>
      <c r="Q35" s="390"/>
      <c r="R35" s="391">
        <f t="shared" si="2"/>
        <v>100</v>
      </c>
      <c r="S35" s="389"/>
      <c r="T35" s="390"/>
      <c r="U35" s="390">
        <v>100</v>
      </c>
      <c r="V35" s="390"/>
      <c r="W35" s="390"/>
      <c r="X35" s="390"/>
      <c r="Y35" s="391">
        <f t="shared" si="3"/>
        <v>100</v>
      </c>
    </row>
    <row r="36" spans="1:25" s="58" customFormat="1" x14ac:dyDescent="0.35">
      <c r="A36" s="390" t="s">
        <v>2269</v>
      </c>
      <c r="B36" s="390" t="str">
        <f>VLOOKUP(A36,TaskValues_ref!E:F,2,FALSE)</f>
        <v>RI 2nd year</v>
      </c>
      <c r="C36" s="390">
        <v>100</v>
      </c>
      <c r="D36" s="390"/>
      <c r="E36" s="391">
        <f t="shared" si="7"/>
        <v>100</v>
      </c>
      <c r="F36" s="389"/>
      <c r="G36" s="390"/>
      <c r="H36" s="390">
        <v>100</v>
      </c>
      <c r="I36" s="390"/>
      <c r="J36" s="391">
        <f t="shared" si="1"/>
        <v>100</v>
      </c>
      <c r="K36" s="389"/>
      <c r="L36" s="390"/>
      <c r="M36" s="390">
        <v>50</v>
      </c>
      <c r="N36" s="390">
        <v>50</v>
      </c>
      <c r="O36" s="390"/>
      <c r="P36" s="390"/>
      <c r="Q36" s="390"/>
      <c r="R36" s="391">
        <f t="shared" si="2"/>
        <v>100</v>
      </c>
      <c r="S36" s="389"/>
      <c r="T36" s="390"/>
      <c r="U36" s="390">
        <v>100</v>
      </c>
      <c r="V36" s="390"/>
      <c r="W36" s="390"/>
      <c r="X36" s="390"/>
      <c r="Y36" s="391">
        <f t="shared" si="3"/>
        <v>100</v>
      </c>
    </row>
    <row r="37" spans="1:25" s="58" customFormat="1" x14ac:dyDescent="0.35">
      <c r="A37" s="390" t="s">
        <v>2270</v>
      </c>
      <c r="B37" s="390" t="str">
        <f>VLOOKUP(A37,TaskValues_ref!E:F,2,FALSE)</f>
        <v>RI Td CBA</v>
      </c>
      <c r="C37" s="390">
        <v>100</v>
      </c>
      <c r="D37" s="390"/>
      <c r="E37" s="391">
        <f t="shared" si="7"/>
        <v>100</v>
      </c>
      <c r="F37" s="389"/>
      <c r="G37" s="390"/>
      <c r="H37" s="390">
        <v>100</v>
      </c>
      <c r="I37" s="390"/>
      <c r="J37" s="391">
        <f t="shared" si="1"/>
        <v>100</v>
      </c>
      <c r="K37" s="389"/>
      <c r="L37" s="390"/>
      <c r="M37" s="390">
        <v>50</v>
      </c>
      <c r="N37" s="390">
        <v>50</v>
      </c>
      <c r="O37" s="390"/>
      <c r="P37" s="390"/>
      <c r="Q37" s="390"/>
      <c r="R37" s="391">
        <f t="shared" si="2"/>
        <v>100</v>
      </c>
      <c r="S37" s="389"/>
      <c r="T37" s="390"/>
      <c r="U37" s="390">
        <v>100</v>
      </c>
      <c r="V37" s="390"/>
      <c r="W37" s="390"/>
      <c r="X37" s="390"/>
      <c r="Y37" s="391">
        <f t="shared" si="3"/>
        <v>100</v>
      </c>
    </row>
    <row r="38" spans="1:25" s="58" customFormat="1" x14ac:dyDescent="0.35">
      <c r="A38" s="390" t="s">
        <v>2262</v>
      </c>
      <c r="B38" s="390" t="str">
        <f>VLOOKUP(A38,TaskValues_ref!E:F,2,FALSE)</f>
        <v>SIAs</v>
      </c>
      <c r="C38" s="390">
        <v>100</v>
      </c>
      <c r="D38" s="390"/>
      <c r="E38" s="391">
        <f t="shared" si="7"/>
        <v>100</v>
      </c>
      <c r="F38" s="389"/>
      <c r="G38" s="390"/>
      <c r="H38" s="390">
        <v>100</v>
      </c>
      <c r="I38" s="390"/>
      <c r="J38" s="391">
        <f t="shared" si="1"/>
        <v>100</v>
      </c>
      <c r="K38" s="389"/>
      <c r="L38" s="390"/>
      <c r="M38" s="390">
        <v>50</v>
      </c>
      <c r="N38" s="390">
        <v>50</v>
      </c>
      <c r="O38" s="390"/>
      <c r="P38" s="390"/>
      <c r="Q38" s="390"/>
      <c r="R38" s="391">
        <f t="shared" si="2"/>
        <v>100</v>
      </c>
      <c r="S38" s="389"/>
      <c r="T38" s="390"/>
      <c r="U38" s="390">
        <v>100</v>
      </c>
      <c r="V38" s="390"/>
      <c r="W38" s="390"/>
      <c r="X38" s="390"/>
      <c r="Y38" s="391">
        <f t="shared" si="3"/>
        <v>100</v>
      </c>
    </row>
    <row r="39" spans="1:25" s="58" customFormat="1" x14ac:dyDescent="0.35">
      <c r="A39" s="390" t="s">
        <v>2263</v>
      </c>
      <c r="B39" s="390" t="str">
        <f>VLOOKUP(A39,TaskValues_ref!E:F,2,FALSE)</f>
        <v>RI adverse effects</v>
      </c>
      <c r="C39" s="390">
        <v>100</v>
      </c>
      <c r="D39" s="390"/>
      <c r="E39" s="391">
        <f t="shared" si="7"/>
        <v>100</v>
      </c>
      <c r="F39" s="389"/>
      <c r="G39" s="390">
        <v>50</v>
      </c>
      <c r="H39" s="390">
        <v>50</v>
      </c>
      <c r="I39" s="390"/>
      <c r="J39" s="391">
        <f t="shared" si="1"/>
        <v>100</v>
      </c>
      <c r="K39" s="389"/>
      <c r="L39" s="390"/>
      <c r="M39" s="390"/>
      <c r="N39" s="390">
        <v>50</v>
      </c>
      <c r="O39" s="390">
        <v>50</v>
      </c>
      <c r="P39" s="390"/>
      <c r="Q39" s="390"/>
      <c r="R39" s="391">
        <f t="shared" si="2"/>
        <v>100</v>
      </c>
      <c r="S39" s="389"/>
      <c r="T39" s="390"/>
      <c r="U39" s="390">
        <v>50</v>
      </c>
      <c r="V39" s="390">
        <v>50</v>
      </c>
      <c r="W39" s="390"/>
      <c r="X39" s="390"/>
      <c r="Y39" s="391">
        <f t="shared" si="3"/>
        <v>100</v>
      </c>
    </row>
    <row r="40" spans="1:25" s="58" customFormat="1" x14ac:dyDescent="0.35">
      <c r="A40" s="390" t="s">
        <v>2264</v>
      </c>
      <c r="B40" s="390" t="str">
        <f>VLOOKUP(A40,TaskValues_ref!E:F,2,FALSE)</f>
        <v>Outbreak detection &amp; response</v>
      </c>
      <c r="C40" s="390">
        <v>100</v>
      </c>
      <c r="D40" s="390"/>
      <c r="E40" s="391">
        <f t="shared" si="7"/>
        <v>100</v>
      </c>
      <c r="F40" s="389"/>
      <c r="G40" s="390">
        <v>25</v>
      </c>
      <c r="H40" s="390">
        <v>75</v>
      </c>
      <c r="I40" s="390"/>
      <c r="J40" s="391">
        <f t="shared" si="1"/>
        <v>100</v>
      </c>
      <c r="K40" s="389"/>
      <c r="L40" s="390">
        <v>25</v>
      </c>
      <c r="M40" s="390">
        <v>75</v>
      </c>
      <c r="N40" s="390"/>
      <c r="O40" s="390"/>
      <c r="P40" s="390"/>
      <c r="Q40" s="390"/>
      <c r="R40" s="391">
        <f t="shared" si="2"/>
        <v>100</v>
      </c>
      <c r="S40" s="389"/>
      <c r="T40" s="390">
        <v>25</v>
      </c>
      <c r="U40" s="390">
        <v>75</v>
      </c>
      <c r="V40" s="390"/>
      <c r="W40" s="390"/>
      <c r="X40" s="390"/>
      <c r="Y40" s="391">
        <f t="shared" si="3"/>
        <v>100</v>
      </c>
    </row>
    <row r="41" spans="1:25" x14ac:dyDescent="0.35">
      <c r="A41" s="319" t="s">
        <v>2265</v>
      </c>
      <c r="B41" s="319" t="str">
        <f>VLOOKUP(A41,TaskValues_ref!E:F,2,FALSE)</f>
        <v>Mobiliation &amp; promotion of EPI</v>
      </c>
      <c r="C41" s="390">
        <v>100</v>
      </c>
      <c r="D41" s="390"/>
      <c r="E41" s="391">
        <f t="shared" si="7"/>
        <v>100</v>
      </c>
      <c r="F41" s="389"/>
      <c r="G41" s="390"/>
      <c r="H41" s="390">
        <v>100</v>
      </c>
      <c r="I41" s="390"/>
      <c r="J41" s="391">
        <f t="shared" si="1"/>
        <v>100</v>
      </c>
      <c r="K41" s="389"/>
      <c r="L41" s="390"/>
      <c r="M41" s="390">
        <v>50</v>
      </c>
      <c r="N41" s="390">
        <v>50</v>
      </c>
      <c r="O41" s="390"/>
      <c r="P41" s="390"/>
      <c r="Q41" s="390"/>
      <c r="R41" s="391">
        <f t="shared" si="2"/>
        <v>100</v>
      </c>
      <c r="S41" s="389"/>
      <c r="T41" s="390"/>
      <c r="U41" s="390">
        <v>100</v>
      </c>
      <c r="V41" s="390"/>
      <c r="W41" s="390"/>
      <c r="X41" s="390"/>
      <c r="Y41" s="391">
        <f t="shared" si="3"/>
        <v>100</v>
      </c>
    </row>
    <row r="42" spans="1:25" x14ac:dyDescent="0.35">
      <c r="A42" s="319" t="s">
        <v>2266</v>
      </c>
      <c r="B42" s="319" t="str">
        <f>VLOOKUP(A42,TaskValues_ref!E:F,2,FALSE)</f>
        <v>VPD surveillance</v>
      </c>
      <c r="C42" s="390">
        <v>100</v>
      </c>
      <c r="D42" s="390"/>
      <c r="E42" s="391">
        <f t="shared" si="7"/>
        <v>100</v>
      </c>
      <c r="F42" s="389"/>
      <c r="G42" s="390"/>
      <c r="H42" s="390">
        <v>100</v>
      </c>
      <c r="I42" s="390"/>
      <c r="J42" s="391">
        <f t="shared" si="1"/>
        <v>100</v>
      </c>
      <c r="K42" s="389"/>
      <c r="L42" s="390"/>
      <c r="M42" s="390">
        <v>50</v>
      </c>
      <c r="N42" s="390">
        <v>50</v>
      </c>
      <c r="O42" s="390"/>
      <c r="P42" s="390"/>
      <c r="Q42" s="390"/>
      <c r="R42" s="391">
        <f t="shared" si="2"/>
        <v>100</v>
      </c>
      <c r="S42" s="389"/>
      <c r="T42" s="390"/>
      <c r="U42" s="390">
        <v>100</v>
      </c>
      <c r="V42" s="390"/>
      <c r="W42" s="390"/>
      <c r="X42" s="390"/>
      <c r="Y42" s="391">
        <f t="shared" si="3"/>
        <v>100</v>
      </c>
    </row>
    <row r="43" spans="1:25" s="58" customFormat="1" x14ac:dyDescent="0.35">
      <c r="A43" s="390" t="s">
        <v>2302</v>
      </c>
      <c r="B43" s="390" t="str">
        <f>VLOOKUP(A43,TaskValues_ref!E:F,2,FALSE)</f>
        <v>FP consult first time</v>
      </c>
      <c r="C43" s="390">
        <v>100</v>
      </c>
      <c r="D43" s="390"/>
      <c r="E43" s="391">
        <f t="shared" si="7"/>
        <v>100</v>
      </c>
      <c r="F43" s="389">
        <v>80</v>
      </c>
      <c r="G43" s="390"/>
      <c r="H43" s="390">
        <v>20</v>
      </c>
      <c r="I43" s="390"/>
      <c r="J43" s="391">
        <f t="shared" si="1"/>
        <v>100</v>
      </c>
      <c r="K43" s="389">
        <v>80</v>
      </c>
      <c r="L43" s="390"/>
      <c r="M43" s="390">
        <v>20</v>
      </c>
      <c r="N43" s="390"/>
      <c r="O43" s="390"/>
      <c r="P43" s="390"/>
      <c r="Q43" s="390"/>
      <c r="R43" s="391">
        <f t="shared" si="2"/>
        <v>100</v>
      </c>
      <c r="S43" s="389">
        <v>80</v>
      </c>
      <c r="T43" s="390"/>
      <c r="U43" s="390">
        <v>20</v>
      </c>
      <c r="V43" s="390"/>
      <c r="W43" s="390"/>
      <c r="X43" s="390"/>
      <c r="Y43" s="391">
        <f t="shared" si="3"/>
        <v>100</v>
      </c>
    </row>
    <row r="44" spans="1:25" s="58" customFormat="1" x14ac:dyDescent="0.35">
      <c r="A44" s="390" t="s">
        <v>2303</v>
      </c>
      <c r="B44" s="390" t="str">
        <f>VLOOKUP(A44,TaskValues_ref!E:F,2,FALSE)</f>
        <v>FP consult postpartum</v>
      </c>
      <c r="C44" s="390">
        <v>100</v>
      </c>
      <c r="D44" s="390"/>
      <c r="E44" s="391">
        <f t="shared" si="7"/>
        <v>100</v>
      </c>
      <c r="F44" s="389">
        <v>80</v>
      </c>
      <c r="G44" s="390"/>
      <c r="H44" s="390">
        <v>20</v>
      </c>
      <c r="I44" s="390"/>
      <c r="J44" s="391">
        <f t="shared" si="1"/>
        <v>100</v>
      </c>
      <c r="K44" s="389">
        <v>80</v>
      </c>
      <c r="L44" s="390"/>
      <c r="M44" s="390">
        <v>20</v>
      </c>
      <c r="N44" s="390"/>
      <c r="O44" s="390"/>
      <c r="P44" s="390"/>
      <c r="Q44" s="390"/>
      <c r="R44" s="391">
        <f t="shared" si="2"/>
        <v>100</v>
      </c>
      <c r="S44" s="389">
        <v>80</v>
      </c>
      <c r="T44" s="390"/>
      <c r="U44" s="390">
        <v>20</v>
      </c>
      <c r="V44" s="390"/>
      <c r="W44" s="390"/>
      <c r="X44" s="390"/>
      <c r="Y44" s="391">
        <f t="shared" si="3"/>
        <v>100</v>
      </c>
    </row>
    <row r="45" spans="1:25" s="58" customFormat="1" x14ac:dyDescent="0.35">
      <c r="A45" s="390" t="s">
        <v>2304</v>
      </c>
      <c r="B45" s="390" t="str">
        <f>VLOOKUP(A45,TaskValues_ref!E:F,2,FALSE)</f>
        <v>FP consult switch</v>
      </c>
      <c r="C45" s="390">
        <v>100</v>
      </c>
      <c r="D45" s="390"/>
      <c r="E45" s="391">
        <f t="shared" si="7"/>
        <v>100</v>
      </c>
      <c r="F45" s="389">
        <v>80</v>
      </c>
      <c r="G45" s="390"/>
      <c r="H45" s="390">
        <v>20</v>
      </c>
      <c r="I45" s="390"/>
      <c r="J45" s="391">
        <f t="shared" si="1"/>
        <v>100</v>
      </c>
      <c r="K45" s="389">
        <v>80</v>
      </c>
      <c r="L45" s="390"/>
      <c r="M45" s="390">
        <v>20</v>
      </c>
      <c r="N45" s="390"/>
      <c r="O45" s="390"/>
      <c r="P45" s="390"/>
      <c r="Q45" s="390"/>
      <c r="R45" s="391">
        <f t="shared" si="2"/>
        <v>100</v>
      </c>
      <c r="S45" s="389">
        <v>80</v>
      </c>
      <c r="T45" s="390"/>
      <c r="U45" s="390">
        <v>20</v>
      </c>
      <c r="V45" s="390"/>
      <c r="W45" s="390"/>
      <c r="X45" s="390"/>
      <c r="Y45" s="391">
        <f t="shared" si="3"/>
        <v>100</v>
      </c>
    </row>
    <row r="46" spans="1:25" s="58" customFormat="1" x14ac:dyDescent="0.35">
      <c r="A46" s="390" t="s">
        <v>2305</v>
      </c>
      <c r="B46" s="390" t="str">
        <f>VLOOKUP(A46,TaskValues_ref!E:F,2,FALSE)</f>
        <v>FP consult discontinue</v>
      </c>
      <c r="C46" s="390">
        <v>100</v>
      </c>
      <c r="D46" s="390"/>
      <c r="E46" s="391">
        <f t="shared" si="7"/>
        <v>100</v>
      </c>
      <c r="F46" s="389">
        <v>80</v>
      </c>
      <c r="G46" s="390"/>
      <c r="H46" s="390">
        <v>20</v>
      </c>
      <c r="I46" s="390"/>
      <c r="J46" s="391">
        <f t="shared" si="1"/>
        <v>100</v>
      </c>
      <c r="K46" s="389">
        <v>80</v>
      </c>
      <c r="L46" s="390"/>
      <c r="M46" s="390">
        <v>20</v>
      </c>
      <c r="N46" s="390"/>
      <c r="O46" s="390"/>
      <c r="P46" s="390"/>
      <c r="Q46" s="390"/>
      <c r="R46" s="391">
        <f t="shared" si="2"/>
        <v>100</v>
      </c>
      <c r="S46" s="389">
        <v>80</v>
      </c>
      <c r="T46" s="390"/>
      <c r="U46" s="390">
        <v>20</v>
      </c>
      <c r="V46" s="390"/>
      <c r="W46" s="390"/>
      <c r="X46" s="390"/>
      <c r="Y46" s="391">
        <f t="shared" si="3"/>
        <v>100</v>
      </c>
    </row>
    <row r="47" spans="1:25" s="58" customFormat="1" x14ac:dyDescent="0.35">
      <c r="A47" s="390" t="s">
        <v>2654</v>
      </c>
      <c r="B47" s="390" t="str">
        <f>VLOOKUP(A47,TaskValues_ref!E:F,2,FALSE)</f>
        <v>Provision of contraceptives</v>
      </c>
      <c r="C47" s="390">
        <v>100</v>
      </c>
      <c r="D47" s="390"/>
      <c r="E47" s="391">
        <f t="shared" si="7"/>
        <v>100</v>
      </c>
      <c r="F47" s="389">
        <v>80</v>
      </c>
      <c r="G47" s="390"/>
      <c r="H47" s="390">
        <v>20</v>
      </c>
      <c r="I47" s="390"/>
      <c r="J47" s="391">
        <f t="shared" si="1"/>
        <v>100</v>
      </c>
      <c r="K47" s="389">
        <v>80</v>
      </c>
      <c r="L47" s="390"/>
      <c r="M47" s="390">
        <v>20</v>
      </c>
      <c r="N47" s="390"/>
      <c r="O47" s="390"/>
      <c r="P47" s="390"/>
      <c r="Q47" s="390"/>
      <c r="R47" s="391">
        <f t="shared" si="2"/>
        <v>100</v>
      </c>
      <c r="S47" s="389">
        <v>80</v>
      </c>
      <c r="T47" s="390"/>
      <c r="U47" s="390">
        <v>20</v>
      </c>
      <c r="V47" s="390"/>
      <c r="W47" s="390"/>
      <c r="X47" s="390"/>
      <c r="Y47" s="391">
        <f t="shared" si="3"/>
        <v>100</v>
      </c>
    </row>
    <row r="48" spans="1:25" s="58" customFormat="1" x14ac:dyDescent="0.35">
      <c r="A48" s="390" t="s">
        <v>2655</v>
      </c>
      <c r="B48" s="390" t="str">
        <f>VLOOKUP(A48,TaskValues_ref!E:F,2,FALSE)</f>
        <v>Provision of implants and IUCD</v>
      </c>
      <c r="C48" s="390">
        <v>100</v>
      </c>
      <c r="D48" s="390"/>
      <c r="E48" s="391">
        <f t="shared" si="7"/>
        <v>100</v>
      </c>
      <c r="F48" s="389"/>
      <c r="G48" s="390">
        <v>100</v>
      </c>
      <c r="H48" s="390"/>
      <c r="I48" s="390"/>
      <c r="J48" s="391">
        <f t="shared" si="1"/>
        <v>100</v>
      </c>
      <c r="K48" s="389"/>
      <c r="L48" s="390">
        <v>100</v>
      </c>
      <c r="M48" s="390"/>
      <c r="N48" s="390"/>
      <c r="O48" s="390"/>
      <c r="P48" s="390"/>
      <c r="Q48" s="390"/>
      <c r="R48" s="391">
        <f t="shared" si="2"/>
        <v>100</v>
      </c>
      <c r="S48" s="389"/>
      <c r="T48" s="390">
        <v>100</v>
      </c>
      <c r="U48" s="390"/>
      <c r="V48" s="390"/>
      <c r="W48" s="390"/>
      <c r="X48" s="390"/>
      <c r="Y48" s="391">
        <f t="shared" si="3"/>
        <v>100</v>
      </c>
    </row>
    <row r="49" spans="1:25" s="58" customFormat="1" x14ac:dyDescent="0.35">
      <c r="A49" s="390" t="s">
        <v>2656</v>
      </c>
      <c r="B49" s="390" t="str">
        <f>VLOOKUP(A49,TaskValues_ref!E:F,2,FALSE)</f>
        <v>Removal of implants and IUCD</v>
      </c>
      <c r="C49" s="390">
        <v>100</v>
      </c>
      <c r="D49" s="390"/>
      <c r="E49" s="391">
        <f t="shared" si="7"/>
        <v>100</v>
      </c>
      <c r="F49" s="389"/>
      <c r="G49" s="390">
        <v>100</v>
      </c>
      <c r="H49" s="390"/>
      <c r="I49" s="390"/>
      <c r="J49" s="391">
        <f t="shared" si="1"/>
        <v>100</v>
      </c>
      <c r="K49" s="389"/>
      <c r="L49" s="390">
        <v>100</v>
      </c>
      <c r="M49" s="390"/>
      <c r="N49" s="390"/>
      <c r="O49" s="390"/>
      <c r="P49" s="390"/>
      <c r="Q49" s="390"/>
      <c r="R49" s="391">
        <f t="shared" si="2"/>
        <v>100</v>
      </c>
      <c r="S49" s="389"/>
      <c r="T49" s="390">
        <v>100</v>
      </c>
      <c r="U49" s="390"/>
      <c r="V49" s="390"/>
      <c r="W49" s="390"/>
      <c r="X49" s="390"/>
      <c r="Y49" s="391">
        <f t="shared" si="3"/>
        <v>100</v>
      </c>
    </row>
    <row r="50" spans="1:25" s="58" customFormat="1" x14ac:dyDescent="0.35">
      <c r="A50" s="390" t="s">
        <v>2657</v>
      </c>
      <c r="B50" s="390" t="str">
        <f>VLOOKUP(A50,TaskValues_ref!E:F,2,FALSE)</f>
        <v>Psycho-social counseling</v>
      </c>
      <c r="C50" s="390">
        <v>100</v>
      </c>
      <c r="D50" s="390"/>
      <c r="E50" s="391">
        <f t="shared" si="7"/>
        <v>100</v>
      </c>
      <c r="F50" s="389">
        <v>50</v>
      </c>
      <c r="G50" s="390"/>
      <c r="H50" s="390">
        <v>50</v>
      </c>
      <c r="I50" s="390"/>
      <c r="J50" s="391">
        <f t="shared" si="1"/>
        <v>100</v>
      </c>
      <c r="K50" s="389">
        <v>50</v>
      </c>
      <c r="L50" s="390"/>
      <c r="M50" s="390">
        <v>25</v>
      </c>
      <c r="N50" s="390"/>
      <c r="O50" s="390">
        <v>25</v>
      </c>
      <c r="P50" s="390"/>
      <c r="Q50" s="390"/>
      <c r="R50" s="391">
        <f t="shared" si="2"/>
        <v>100</v>
      </c>
      <c r="S50" s="389">
        <v>50</v>
      </c>
      <c r="T50" s="390"/>
      <c r="U50" s="390">
        <v>25</v>
      </c>
      <c r="V50" s="390">
        <v>25</v>
      </c>
      <c r="W50" s="390"/>
      <c r="X50" s="390"/>
      <c r="Y50" s="391">
        <f t="shared" si="3"/>
        <v>100</v>
      </c>
    </row>
    <row r="51" spans="1:25" s="58" customFormat="1" x14ac:dyDescent="0.35">
      <c r="A51" s="390" t="s">
        <v>2658</v>
      </c>
      <c r="B51" s="390" t="str">
        <f>VLOOKUP(A51,TaskValues_ref!E:F,2,FALSE)</f>
        <v>Abortion care &amp; referral</v>
      </c>
      <c r="C51" s="390">
        <v>100</v>
      </c>
      <c r="D51" s="390"/>
      <c r="E51" s="391">
        <f t="shared" si="7"/>
        <v>100</v>
      </c>
      <c r="F51" s="389"/>
      <c r="G51" s="390">
        <v>100</v>
      </c>
      <c r="H51" s="390"/>
      <c r="I51" s="390"/>
      <c r="J51" s="391">
        <f t="shared" si="1"/>
        <v>100</v>
      </c>
      <c r="K51" s="389"/>
      <c r="L51" s="390">
        <v>100</v>
      </c>
      <c r="M51" s="390"/>
      <c r="N51" s="390"/>
      <c r="O51" s="390"/>
      <c r="P51" s="390"/>
      <c r="Q51" s="390"/>
      <c r="R51" s="391">
        <f t="shared" si="2"/>
        <v>100</v>
      </c>
      <c r="S51" s="389"/>
      <c r="T51" s="390">
        <v>100</v>
      </c>
      <c r="U51" s="390"/>
      <c r="V51" s="390"/>
      <c r="W51" s="390"/>
      <c r="X51" s="390"/>
      <c r="Y51" s="391">
        <f t="shared" si="3"/>
        <v>100</v>
      </c>
    </row>
    <row r="52" spans="1:25" s="58" customFormat="1" x14ac:dyDescent="0.35">
      <c r="A52" s="390" t="s">
        <v>2659</v>
      </c>
      <c r="B52" s="390" t="str">
        <f>VLOOKUP(A52,TaskValues_ref!E:F,2,FALSE)</f>
        <v>Post-abortion follow-up</v>
      </c>
      <c r="C52" s="390">
        <v>100</v>
      </c>
      <c r="D52" s="390"/>
      <c r="E52" s="391">
        <f t="shared" si="7"/>
        <v>100</v>
      </c>
      <c r="F52" s="389"/>
      <c r="G52" s="392">
        <v>50</v>
      </c>
      <c r="H52" s="390">
        <v>50</v>
      </c>
      <c r="I52" s="390"/>
      <c r="J52" s="391">
        <f t="shared" si="1"/>
        <v>100</v>
      </c>
      <c r="K52" s="389"/>
      <c r="L52" s="392">
        <v>25</v>
      </c>
      <c r="M52" s="390">
        <v>25</v>
      </c>
      <c r="N52" s="390">
        <v>50</v>
      </c>
      <c r="O52" s="390"/>
      <c r="P52" s="390"/>
      <c r="Q52" s="390"/>
      <c r="R52" s="391">
        <f t="shared" si="2"/>
        <v>100</v>
      </c>
      <c r="S52" s="389"/>
      <c r="T52" s="392">
        <v>25</v>
      </c>
      <c r="U52" s="390">
        <v>75</v>
      </c>
      <c r="V52" s="390"/>
      <c r="W52" s="390"/>
      <c r="X52" s="390"/>
      <c r="Y52" s="391">
        <f t="shared" si="3"/>
        <v>100</v>
      </c>
    </row>
    <row r="53" spans="1:25" x14ac:dyDescent="0.35">
      <c r="A53" s="319" t="s">
        <v>2660</v>
      </c>
      <c r="B53" s="319" t="str">
        <f>VLOOKUP(A53,TaskValues_ref!E:F,2,FALSE)</f>
        <v>Education on menstration</v>
      </c>
      <c r="C53" s="390">
        <v>100</v>
      </c>
      <c r="D53" s="390"/>
      <c r="E53" s="391">
        <f t="shared" si="7"/>
        <v>100</v>
      </c>
      <c r="F53" s="389"/>
      <c r="G53" s="390"/>
      <c r="H53" s="390">
        <v>100</v>
      </c>
      <c r="I53" s="390"/>
      <c r="J53" s="391">
        <f t="shared" si="1"/>
        <v>100</v>
      </c>
      <c r="K53" s="389"/>
      <c r="L53" s="390"/>
      <c r="M53" s="390">
        <v>50</v>
      </c>
      <c r="N53" s="390">
        <v>50</v>
      </c>
      <c r="O53" s="390"/>
      <c r="P53" s="390"/>
      <c r="Q53" s="390"/>
      <c r="R53" s="391">
        <f t="shared" si="2"/>
        <v>100</v>
      </c>
      <c r="S53" s="389"/>
      <c r="T53" s="390"/>
      <c r="U53" s="390">
        <v>100</v>
      </c>
      <c r="V53" s="390"/>
      <c r="W53" s="390"/>
      <c r="X53" s="390"/>
      <c r="Y53" s="391">
        <f t="shared" si="3"/>
        <v>100</v>
      </c>
    </row>
    <row r="54" spans="1:25" x14ac:dyDescent="0.35">
      <c r="A54" s="319" t="s">
        <v>2661</v>
      </c>
      <c r="B54" s="319" t="str">
        <f>VLOOKUP(A54,TaskValues_ref!E:F,2,FALSE)</f>
        <v>Treatment of menstrual problems</v>
      </c>
      <c r="C54" s="390">
        <v>100</v>
      </c>
      <c r="D54" s="390"/>
      <c r="E54" s="391">
        <f t="shared" si="7"/>
        <v>100</v>
      </c>
      <c r="F54" s="389"/>
      <c r="G54" s="390"/>
      <c r="H54" s="390">
        <v>100</v>
      </c>
      <c r="I54" s="390"/>
      <c r="J54" s="391">
        <f t="shared" ref="J54" si="8">SUM(F54:I54)</f>
        <v>100</v>
      </c>
      <c r="K54" s="389"/>
      <c r="L54" s="390"/>
      <c r="M54" s="390">
        <v>25</v>
      </c>
      <c r="N54" s="390">
        <v>25</v>
      </c>
      <c r="O54" s="390">
        <v>50</v>
      </c>
      <c r="P54" s="390"/>
      <c r="Q54" s="390"/>
      <c r="R54" s="391">
        <f t="shared" ref="R54" si="9">SUM(K54:Q54)</f>
        <v>100</v>
      </c>
      <c r="S54" s="389"/>
      <c r="T54" s="390"/>
      <c r="U54" s="390">
        <v>50</v>
      </c>
      <c r="V54" s="390">
        <v>50</v>
      </c>
      <c r="W54" s="390"/>
      <c r="X54" s="390"/>
      <c r="Y54" s="391">
        <f t="shared" ref="Y54" si="10">SUM(S54:X54)</f>
        <v>100</v>
      </c>
    </row>
    <row r="55" spans="1:25" x14ac:dyDescent="0.35">
      <c r="A55" s="319" t="s">
        <v>2662</v>
      </c>
      <c r="B55" s="319" t="str">
        <f>VLOOKUP(A55,TaskValues_ref!E:F,2,FALSE)</f>
        <v>Promote self-breast exam</v>
      </c>
      <c r="C55" s="390">
        <v>100</v>
      </c>
      <c r="D55" s="390"/>
      <c r="E55" s="391">
        <f t="shared" si="7"/>
        <v>100</v>
      </c>
      <c r="F55" s="389"/>
      <c r="G55" s="390"/>
      <c r="H55" s="390">
        <v>100</v>
      </c>
      <c r="I55" s="390"/>
      <c r="J55" s="391">
        <f t="shared" si="1"/>
        <v>100</v>
      </c>
      <c r="K55" s="389"/>
      <c r="L55" s="390"/>
      <c r="M55" s="390">
        <v>50</v>
      </c>
      <c r="N55" s="390">
        <v>50</v>
      </c>
      <c r="O55" s="390"/>
      <c r="P55" s="390"/>
      <c r="Q55" s="390"/>
      <c r="R55" s="391">
        <f t="shared" si="2"/>
        <v>100</v>
      </c>
      <c r="S55" s="389"/>
      <c r="T55" s="390"/>
      <c r="U55" s="390">
        <v>100</v>
      </c>
      <c r="V55" s="390"/>
      <c r="W55" s="390"/>
      <c r="X55" s="390"/>
      <c r="Y55" s="391">
        <f t="shared" si="3"/>
        <v>100</v>
      </c>
    </row>
    <row r="56" spans="1:25" s="58" customFormat="1" x14ac:dyDescent="0.35">
      <c r="A56" s="390" t="s">
        <v>2663</v>
      </c>
      <c r="B56" s="390" t="str">
        <f>VLOOKUP(A56,TaskValues_ref!E:F,2,FALSE)</f>
        <v>HPV vacination</v>
      </c>
      <c r="C56" s="390">
        <v>100</v>
      </c>
      <c r="D56" s="390"/>
      <c r="E56" s="391">
        <f t="shared" si="7"/>
        <v>100</v>
      </c>
      <c r="F56" s="389"/>
      <c r="G56" s="390"/>
      <c r="H56" s="390">
        <v>100</v>
      </c>
      <c r="I56" s="390"/>
      <c r="J56" s="391">
        <f t="shared" si="1"/>
        <v>100</v>
      </c>
      <c r="K56" s="389"/>
      <c r="L56" s="390"/>
      <c r="M56" s="390">
        <v>50</v>
      </c>
      <c r="N56" s="390">
        <v>50</v>
      </c>
      <c r="O56" s="390"/>
      <c r="P56" s="390"/>
      <c r="Q56" s="390"/>
      <c r="R56" s="391">
        <f t="shared" si="2"/>
        <v>100</v>
      </c>
      <c r="S56" s="389"/>
      <c r="T56" s="390"/>
      <c r="U56" s="390">
        <v>100</v>
      </c>
      <c r="V56" s="390"/>
      <c r="W56" s="390"/>
      <c r="X56" s="390"/>
      <c r="Y56" s="391">
        <f t="shared" si="3"/>
        <v>100</v>
      </c>
    </row>
    <row r="57" spans="1:25" s="58" customFormat="1" x14ac:dyDescent="0.35">
      <c r="A57" s="390" t="s">
        <v>2664</v>
      </c>
      <c r="B57" s="390" t="str">
        <f>VLOOKUP(A57,TaskValues_ref!E:F,2,FALSE)</f>
        <v>Education on health &amp; wellbeing</v>
      </c>
      <c r="C57" s="390">
        <v>100</v>
      </c>
      <c r="D57" s="390"/>
      <c r="E57" s="391">
        <f t="shared" si="7"/>
        <v>100</v>
      </c>
      <c r="F57" s="389"/>
      <c r="G57" s="390"/>
      <c r="H57" s="390">
        <v>100</v>
      </c>
      <c r="I57" s="390"/>
      <c r="J57" s="391">
        <f t="shared" si="1"/>
        <v>100</v>
      </c>
      <c r="K57" s="389"/>
      <c r="L57" s="390"/>
      <c r="M57" s="390">
        <v>50</v>
      </c>
      <c r="N57" s="390">
        <v>50</v>
      </c>
      <c r="O57" s="390"/>
      <c r="P57" s="390"/>
      <c r="Q57" s="390"/>
      <c r="R57" s="391">
        <f t="shared" si="2"/>
        <v>100</v>
      </c>
      <c r="S57" s="389"/>
      <c r="T57" s="390"/>
      <c r="U57" s="390">
        <v>100</v>
      </c>
      <c r="V57" s="390"/>
      <c r="W57" s="390"/>
      <c r="X57" s="390"/>
      <c r="Y57" s="391">
        <f t="shared" si="3"/>
        <v>100</v>
      </c>
    </row>
    <row r="58" spans="1:25" s="58" customFormat="1" x14ac:dyDescent="0.35">
      <c r="A58" s="390" t="s">
        <v>2665</v>
      </c>
      <c r="B58" s="390" t="str">
        <f>VLOOKUP(A58,TaskValues_ref!E:F,2,FALSE)</f>
        <v>Adolescent SRH</v>
      </c>
      <c r="C58" s="390">
        <v>100</v>
      </c>
      <c r="D58" s="390"/>
      <c r="E58" s="391">
        <f t="shared" si="7"/>
        <v>100</v>
      </c>
      <c r="F58" s="389">
        <v>100</v>
      </c>
      <c r="G58" s="390"/>
      <c r="H58" s="390"/>
      <c r="I58" s="390"/>
      <c r="J58" s="391">
        <f t="shared" si="1"/>
        <v>100</v>
      </c>
      <c r="K58" s="389">
        <v>100</v>
      </c>
      <c r="L58" s="390"/>
      <c r="M58" s="390"/>
      <c r="N58" s="390"/>
      <c r="O58" s="390"/>
      <c r="P58" s="390"/>
      <c r="Q58" s="390"/>
      <c r="R58" s="391">
        <f t="shared" si="2"/>
        <v>100</v>
      </c>
      <c r="S58" s="389">
        <v>100</v>
      </c>
      <c r="T58" s="390"/>
      <c r="U58" s="390"/>
      <c r="V58" s="390"/>
      <c r="W58" s="390"/>
      <c r="X58" s="390"/>
      <c r="Y58" s="391">
        <f t="shared" si="3"/>
        <v>100</v>
      </c>
    </row>
    <row r="59" spans="1:25" s="58" customFormat="1" x14ac:dyDescent="0.35">
      <c r="A59" s="390" t="s">
        <v>2666</v>
      </c>
      <c r="B59" s="390" t="str">
        <f>VLOOKUP(A59,TaskValues_ref!E:F,2,FALSE)</f>
        <v>Provision of adolescent-friendly contraceptives</v>
      </c>
      <c r="C59" s="390">
        <v>100</v>
      </c>
      <c r="D59" s="390"/>
      <c r="E59" s="391">
        <f t="shared" si="7"/>
        <v>100</v>
      </c>
      <c r="F59" s="389">
        <v>100</v>
      </c>
      <c r="G59" s="390"/>
      <c r="H59" s="390"/>
      <c r="I59" s="390"/>
      <c r="J59" s="391">
        <f t="shared" si="1"/>
        <v>100</v>
      </c>
      <c r="K59" s="389">
        <v>100</v>
      </c>
      <c r="L59" s="390"/>
      <c r="M59" s="390"/>
      <c r="N59" s="390"/>
      <c r="O59" s="390"/>
      <c r="P59" s="390"/>
      <c r="Q59" s="390"/>
      <c r="R59" s="391">
        <f t="shared" si="2"/>
        <v>100</v>
      </c>
      <c r="S59" s="389">
        <v>100</v>
      </c>
      <c r="T59" s="390"/>
      <c r="U59" s="390"/>
      <c r="V59" s="390"/>
      <c r="W59" s="390"/>
      <c r="X59" s="390"/>
      <c r="Y59" s="391">
        <f t="shared" si="3"/>
        <v>100</v>
      </c>
    </row>
    <row r="60" spans="1:25" x14ac:dyDescent="0.35">
      <c r="A60" s="319" t="s">
        <v>2667</v>
      </c>
      <c r="B60" s="319" t="str">
        <f>VLOOKUP(A60,TaskValues_ref!E:F,2,FALSE)</f>
        <v>Education about GBV</v>
      </c>
      <c r="C60" s="390">
        <v>100</v>
      </c>
      <c r="D60" s="390"/>
      <c r="E60" s="391">
        <f t="shared" si="7"/>
        <v>100</v>
      </c>
      <c r="F60" s="389"/>
      <c r="G60" s="390"/>
      <c r="H60" s="390">
        <v>100</v>
      </c>
      <c r="I60" s="390"/>
      <c r="J60" s="391">
        <f t="shared" ref="J60:J61" si="11">SUM(F60:I60)</f>
        <v>100</v>
      </c>
      <c r="K60" s="389"/>
      <c r="L60" s="390"/>
      <c r="M60" s="390">
        <v>50</v>
      </c>
      <c r="N60" s="390">
        <v>50</v>
      </c>
      <c r="O60" s="390"/>
      <c r="P60" s="390"/>
      <c r="Q60" s="390"/>
      <c r="R60" s="391">
        <f t="shared" ref="R60:R61" si="12">SUM(K60:Q60)</f>
        <v>100</v>
      </c>
      <c r="S60" s="389"/>
      <c r="T60" s="390"/>
      <c r="U60" s="390">
        <v>100</v>
      </c>
      <c r="V60" s="390"/>
      <c r="W60" s="390"/>
      <c r="X60" s="390"/>
      <c r="Y60" s="391">
        <f t="shared" ref="Y60:Y61" si="13">SUM(S60:X60)</f>
        <v>100</v>
      </c>
    </row>
    <row r="61" spans="1:25" x14ac:dyDescent="0.35">
      <c r="A61" s="319" t="s">
        <v>2668</v>
      </c>
      <c r="B61" s="319" t="str">
        <f>VLOOKUP(A61,TaskValues_ref!E:F,2,FALSE)</f>
        <v>Community dialogue about GBV</v>
      </c>
      <c r="C61" s="390">
        <v>100</v>
      </c>
      <c r="D61" s="390"/>
      <c r="E61" s="391">
        <f t="shared" si="7"/>
        <v>100</v>
      </c>
      <c r="F61" s="389"/>
      <c r="G61" s="390"/>
      <c r="H61" s="390">
        <v>100</v>
      </c>
      <c r="I61" s="390"/>
      <c r="J61" s="391">
        <f t="shared" si="11"/>
        <v>100</v>
      </c>
      <c r="K61" s="389"/>
      <c r="L61" s="390"/>
      <c r="M61" s="390">
        <v>50</v>
      </c>
      <c r="N61" s="390">
        <v>50</v>
      </c>
      <c r="O61" s="390"/>
      <c r="P61" s="390"/>
      <c r="Q61" s="390"/>
      <c r="R61" s="391">
        <f t="shared" si="12"/>
        <v>100</v>
      </c>
      <c r="S61" s="389"/>
      <c r="T61" s="390"/>
      <c r="U61" s="390">
        <v>100</v>
      </c>
      <c r="V61" s="390"/>
      <c r="W61" s="390"/>
      <c r="X61" s="390"/>
      <c r="Y61" s="391">
        <f t="shared" si="13"/>
        <v>100</v>
      </c>
    </row>
    <row r="62" spans="1:25" s="58" customFormat="1" x14ac:dyDescent="0.35">
      <c r="A62" s="390" t="s">
        <v>2669</v>
      </c>
      <c r="B62" s="390" t="str">
        <f>VLOOKUP(A62,TaskValues_ref!E:F,2,FALSE)</f>
        <v>Pregnancy test for GBV</v>
      </c>
      <c r="C62" s="390">
        <v>100</v>
      </c>
      <c r="D62" s="390"/>
      <c r="E62" s="391">
        <f t="shared" si="7"/>
        <v>100</v>
      </c>
      <c r="F62" s="389">
        <v>100</v>
      </c>
      <c r="G62" s="390"/>
      <c r="H62" s="390"/>
      <c r="I62" s="390"/>
      <c r="J62" s="391">
        <f t="shared" si="1"/>
        <v>100</v>
      </c>
      <c r="K62" s="389">
        <v>50</v>
      </c>
      <c r="L62" s="390"/>
      <c r="M62" s="390"/>
      <c r="N62" s="390"/>
      <c r="O62" s="390">
        <v>50</v>
      </c>
      <c r="P62" s="390"/>
      <c r="Q62" s="390"/>
      <c r="R62" s="391">
        <f t="shared" si="2"/>
        <v>100</v>
      </c>
      <c r="S62" s="389">
        <v>50</v>
      </c>
      <c r="T62" s="390"/>
      <c r="U62" s="390"/>
      <c r="V62" s="390">
        <v>50</v>
      </c>
      <c r="W62" s="390"/>
      <c r="X62" s="390"/>
      <c r="Y62" s="391">
        <f t="shared" si="3"/>
        <v>100</v>
      </c>
    </row>
    <row r="63" spans="1:25" s="58" customFormat="1" x14ac:dyDescent="0.35">
      <c r="A63" s="390" t="s">
        <v>2670</v>
      </c>
      <c r="B63" s="390" t="str">
        <f>VLOOKUP(A63,TaskValues_ref!E:F,2,FALSE)</f>
        <v>HIV test for GBV</v>
      </c>
      <c r="C63" s="390">
        <v>100</v>
      </c>
      <c r="D63" s="390"/>
      <c r="E63" s="391">
        <f t="shared" si="7"/>
        <v>100</v>
      </c>
      <c r="F63" s="389">
        <v>100</v>
      </c>
      <c r="G63" s="390"/>
      <c r="H63" s="390"/>
      <c r="I63" s="390"/>
      <c r="J63" s="391">
        <f t="shared" si="1"/>
        <v>100</v>
      </c>
      <c r="K63" s="389">
        <v>50</v>
      </c>
      <c r="L63" s="390"/>
      <c r="M63" s="390"/>
      <c r="N63" s="390"/>
      <c r="O63" s="390">
        <v>50</v>
      </c>
      <c r="P63" s="390"/>
      <c r="Q63" s="390"/>
      <c r="R63" s="391">
        <f t="shared" si="2"/>
        <v>100</v>
      </c>
      <c r="S63" s="389">
        <v>50</v>
      </c>
      <c r="T63" s="390"/>
      <c r="U63" s="390"/>
      <c r="V63" s="390">
        <v>50</v>
      </c>
      <c r="W63" s="390"/>
      <c r="X63" s="390"/>
      <c r="Y63" s="391">
        <f t="shared" si="3"/>
        <v>100</v>
      </c>
    </row>
    <row r="64" spans="1:25" s="58" customFormat="1" x14ac:dyDescent="0.35">
      <c r="A64" s="390" t="s">
        <v>2671</v>
      </c>
      <c r="B64" s="390" t="str">
        <f>VLOOKUP(A64,TaskValues_ref!E:F,2,FALSE)</f>
        <v>Emergency GBV response</v>
      </c>
      <c r="C64" s="390">
        <v>100</v>
      </c>
      <c r="D64" s="390"/>
      <c r="E64" s="391">
        <f t="shared" si="7"/>
        <v>100</v>
      </c>
      <c r="F64" s="389"/>
      <c r="G64" s="390"/>
      <c r="H64" s="390">
        <v>100</v>
      </c>
      <c r="I64" s="390"/>
      <c r="J64" s="391">
        <f t="shared" si="1"/>
        <v>100</v>
      </c>
      <c r="K64" s="389"/>
      <c r="L64" s="390"/>
      <c r="M64" s="390">
        <v>50</v>
      </c>
      <c r="N64" s="390">
        <v>50</v>
      </c>
      <c r="O64" s="390"/>
      <c r="P64" s="390"/>
      <c r="Q64" s="390"/>
      <c r="R64" s="391">
        <f t="shared" si="2"/>
        <v>100</v>
      </c>
      <c r="S64" s="389"/>
      <c r="T64" s="390"/>
      <c r="U64" s="390">
        <v>50</v>
      </c>
      <c r="V64" s="392">
        <v>50</v>
      </c>
      <c r="W64" s="390"/>
      <c r="X64" s="390"/>
      <c r="Y64" s="391">
        <f t="shared" si="3"/>
        <v>100</v>
      </c>
    </row>
    <row r="65" spans="1:25" s="58" customFormat="1" x14ac:dyDescent="0.35">
      <c r="A65" s="390" t="s">
        <v>2672</v>
      </c>
      <c r="B65" s="390" t="str">
        <f>VLOOKUP(A65,TaskValues_ref!E:F,2,FALSE)</f>
        <v>Medical treatment for GBV</v>
      </c>
      <c r="C65" s="390">
        <v>100</v>
      </c>
      <c r="D65" s="390"/>
      <c r="E65" s="391">
        <f t="shared" si="7"/>
        <v>100</v>
      </c>
      <c r="F65" s="389">
        <v>50</v>
      </c>
      <c r="G65" s="390">
        <v>50</v>
      </c>
      <c r="H65" s="390"/>
      <c r="I65" s="390"/>
      <c r="J65" s="391">
        <f t="shared" si="1"/>
        <v>100</v>
      </c>
      <c r="K65" s="389">
        <v>50</v>
      </c>
      <c r="L65" s="390">
        <v>25</v>
      </c>
      <c r="M65" s="390"/>
      <c r="N65" s="390"/>
      <c r="O65" s="390">
        <v>25</v>
      </c>
      <c r="P65" s="390"/>
      <c r="Q65" s="390"/>
      <c r="R65" s="391">
        <f t="shared" si="2"/>
        <v>100</v>
      </c>
      <c r="S65" s="389">
        <v>50</v>
      </c>
      <c r="T65" s="390">
        <v>25</v>
      </c>
      <c r="U65" s="390"/>
      <c r="V65" s="390">
        <v>25</v>
      </c>
      <c r="W65" s="390"/>
      <c r="X65" s="390"/>
      <c r="Y65" s="391">
        <f t="shared" si="3"/>
        <v>100</v>
      </c>
    </row>
    <row r="66" spans="1:25" s="58" customFormat="1" x14ac:dyDescent="0.35">
      <c r="A66" s="390" t="s">
        <v>2673</v>
      </c>
      <c r="B66" s="390" t="str">
        <f>VLOOKUP(A66,TaskValues_ref!E:F,2,FALSE)</f>
        <v>Psycho-social support for GBV</v>
      </c>
      <c r="C66" s="390">
        <v>100</v>
      </c>
      <c r="D66" s="390"/>
      <c r="E66" s="391">
        <f t="shared" ref="E66:E97" si="14">SUM(C66:D66)</f>
        <v>100</v>
      </c>
      <c r="F66" s="389"/>
      <c r="G66" s="390"/>
      <c r="H66" s="390">
        <v>100</v>
      </c>
      <c r="I66" s="390"/>
      <c r="J66" s="391">
        <f t="shared" si="1"/>
        <v>100</v>
      </c>
      <c r="K66" s="389"/>
      <c r="L66" s="390"/>
      <c r="M66" s="390">
        <v>50</v>
      </c>
      <c r="N66" s="390">
        <v>50</v>
      </c>
      <c r="O66" s="390"/>
      <c r="P66" s="390"/>
      <c r="Q66" s="390"/>
      <c r="R66" s="391">
        <f t="shared" si="2"/>
        <v>100</v>
      </c>
      <c r="S66" s="389"/>
      <c r="T66" s="390"/>
      <c r="U66" s="390">
        <v>100</v>
      </c>
      <c r="V66" s="390"/>
      <c r="W66" s="390"/>
      <c r="X66" s="390"/>
      <c r="Y66" s="391">
        <f t="shared" si="3"/>
        <v>100</v>
      </c>
    </row>
    <row r="67" spans="1:25" x14ac:dyDescent="0.35">
      <c r="A67" s="319" t="s">
        <v>2674</v>
      </c>
      <c r="B67" s="319" t="str">
        <f>VLOOKUP(A67,TaskValues_ref!E:F,2,FALSE)</f>
        <v>Adovacy against HTP</v>
      </c>
      <c r="C67" s="390">
        <v>100</v>
      </c>
      <c r="D67" s="390"/>
      <c r="E67" s="391">
        <f t="shared" si="14"/>
        <v>100</v>
      </c>
      <c r="F67" s="389"/>
      <c r="G67" s="390"/>
      <c r="H67" s="390">
        <v>100</v>
      </c>
      <c r="I67" s="390"/>
      <c r="J67" s="391">
        <f t="shared" ref="J67" si="15">SUM(F67:I67)</f>
        <v>100</v>
      </c>
      <c r="K67" s="389"/>
      <c r="L67" s="390"/>
      <c r="M67" s="390">
        <v>50</v>
      </c>
      <c r="N67" s="390">
        <v>50</v>
      </c>
      <c r="O67" s="390"/>
      <c r="P67" s="390"/>
      <c r="Q67" s="390"/>
      <c r="R67" s="391">
        <f t="shared" ref="R67" si="16">SUM(K67:Q67)</f>
        <v>100</v>
      </c>
      <c r="S67" s="389"/>
      <c r="T67" s="390"/>
      <c r="U67" s="390">
        <v>100</v>
      </c>
      <c r="V67" s="390"/>
      <c r="W67" s="390"/>
      <c r="X67" s="390"/>
      <c r="Y67" s="391">
        <f t="shared" ref="Y67" si="17">SUM(S67:X67)</f>
        <v>100</v>
      </c>
    </row>
    <row r="68" spans="1:25" s="58" customFormat="1" x14ac:dyDescent="0.35">
      <c r="A68" s="390" t="s">
        <v>2675</v>
      </c>
      <c r="B68" s="390" t="str">
        <f>VLOOKUP(A68,TaskValues_ref!E:F,2,FALSE)</f>
        <v>Prevention of teen pregnancy</v>
      </c>
      <c r="C68" s="390">
        <v>100</v>
      </c>
      <c r="D68" s="390"/>
      <c r="E68" s="391">
        <f t="shared" si="14"/>
        <v>100</v>
      </c>
      <c r="F68" s="389">
        <v>20</v>
      </c>
      <c r="G68" s="390"/>
      <c r="H68" s="390">
        <v>80</v>
      </c>
      <c r="I68" s="390"/>
      <c r="J68" s="391">
        <f t="shared" ref="J68:J128" si="18">SUM(F68:I68)</f>
        <v>100</v>
      </c>
      <c r="K68" s="389">
        <v>20</v>
      </c>
      <c r="L68" s="390"/>
      <c r="M68" s="390">
        <v>40</v>
      </c>
      <c r="N68" s="390">
        <v>40</v>
      </c>
      <c r="O68" s="390"/>
      <c r="P68" s="390"/>
      <c r="Q68" s="390"/>
      <c r="R68" s="391">
        <f t="shared" ref="R68:R128" si="19">SUM(K68:Q68)</f>
        <v>100</v>
      </c>
      <c r="S68" s="389">
        <v>20</v>
      </c>
      <c r="T68" s="390"/>
      <c r="U68" s="390">
        <v>80</v>
      </c>
      <c r="V68" s="390"/>
      <c r="W68" s="390"/>
      <c r="X68" s="390"/>
      <c r="Y68" s="391">
        <f t="shared" ref="Y68:Y128" si="20">SUM(S68:X68)</f>
        <v>100</v>
      </c>
    </row>
    <row r="69" spans="1:25" x14ac:dyDescent="0.35">
      <c r="A69" s="319" t="s">
        <v>2676</v>
      </c>
      <c r="B69" s="319" t="str">
        <f>VLOOKUP(A69,TaskValues_ref!E:F,2,FALSE)</f>
        <v>Folic acid</v>
      </c>
      <c r="C69" s="390">
        <v>100</v>
      </c>
      <c r="D69" s="390"/>
      <c r="E69" s="391">
        <f t="shared" si="14"/>
        <v>100</v>
      </c>
      <c r="F69" s="389">
        <v>20</v>
      </c>
      <c r="G69" s="390"/>
      <c r="H69" s="390">
        <v>80</v>
      </c>
      <c r="I69" s="390"/>
      <c r="J69" s="391">
        <f t="shared" ref="J69" si="21">SUM(F69:I69)</f>
        <v>100</v>
      </c>
      <c r="K69" s="389">
        <v>20</v>
      </c>
      <c r="L69" s="390"/>
      <c r="M69" s="390">
        <v>40</v>
      </c>
      <c r="N69" s="390">
        <v>40</v>
      </c>
      <c r="O69" s="390"/>
      <c r="P69" s="390"/>
      <c r="Q69" s="390"/>
      <c r="R69" s="391">
        <f t="shared" ref="R69" si="22">SUM(K69:Q69)</f>
        <v>100</v>
      </c>
      <c r="S69" s="389">
        <v>20</v>
      </c>
      <c r="T69" s="390"/>
      <c r="U69" s="390">
        <v>80</v>
      </c>
      <c r="V69" s="390"/>
      <c r="W69" s="390"/>
      <c r="X69" s="390"/>
      <c r="Y69" s="391">
        <f t="shared" ref="Y69" si="23">SUM(S69:X69)</f>
        <v>100</v>
      </c>
    </row>
    <row r="70" spans="1:25" s="58" customFormat="1" x14ac:dyDescent="0.35">
      <c r="A70" s="390" t="s">
        <v>2677</v>
      </c>
      <c r="B70" s="390" t="str">
        <f>VLOOKUP(A70,TaskValues_ref!E:F,2,FALSE)</f>
        <v>SRH counseling for men</v>
      </c>
      <c r="C70" s="390">
        <v>100</v>
      </c>
      <c r="D70" s="390"/>
      <c r="E70" s="391">
        <f t="shared" si="14"/>
        <v>100</v>
      </c>
      <c r="F70" s="389">
        <v>25</v>
      </c>
      <c r="G70" s="390">
        <v>75</v>
      </c>
      <c r="H70" s="390"/>
      <c r="I70" s="390"/>
      <c r="J70" s="391">
        <f t="shared" si="18"/>
        <v>100</v>
      </c>
      <c r="K70" s="389">
        <v>25</v>
      </c>
      <c r="L70" s="390">
        <v>25</v>
      </c>
      <c r="M70" s="390"/>
      <c r="N70" s="390"/>
      <c r="O70" s="390">
        <v>50</v>
      </c>
      <c r="P70" s="390"/>
      <c r="Q70" s="390"/>
      <c r="R70" s="391">
        <f t="shared" si="19"/>
        <v>100</v>
      </c>
      <c r="S70" s="389">
        <v>25</v>
      </c>
      <c r="T70" s="390">
        <v>25</v>
      </c>
      <c r="U70" s="390"/>
      <c r="V70" s="390">
        <v>50</v>
      </c>
      <c r="W70" s="390"/>
      <c r="X70" s="390"/>
      <c r="Y70" s="391">
        <f t="shared" si="20"/>
        <v>100</v>
      </c>
    </row>
    <row r="71" spans="1:25" x14ac:dyDescent="0.35">
      <c r="A71" s="319" t="s">
        <v>2678</v>
      </c>
      <c r="B71" s="319" t="str">
        <f>VLOOKUP(A71,TaskValues_ref!E:F,2,FALSE)</f>
        <v>Promote breast feeding</v>
      </c>
      <c r="C71" s="390">
        <v>100</v>
      </c>
      <c r="D71" s="390"/>
      <c r="E71" s="391">
        <f t="shared" si="14"/>
        <v>100</v>
      </c>
      <c r="F71" s="389"/>
      <c r="G71" s="390"/>
      <c r="H71" s="390">
        <v>100</v>
      </c>
      <c r="I71" s="390"/>
      <c r="J71" s="391">
        <f t="shared" si="18"/>
        <v>100</v>
      </c>
      <c r="K71" s="389"/>
      <c r="L71" s="390"/>
      <c r="M71" s="390">
        <v>50</v>
      </c>
      <c r="N71" s="390">
        <v>50</v>
      </c>
      <c r="O71" s="390"/>
      <c r="P71" s="390"/>
      <c r="Q71" s="390"/>
      <c r="R71" s="391">
        <f t="shared" si="19"/>
        <v>100</v>
      </c>
      <c r="S71" s="389"/>
      <c r="T71" s="390"/>
      <c r="U71" s="390">
        <v>100</v>
      </c>
      <c r="V71" s="390"/>
      <c r="W71" s="390"/>
      <c r="X71" s="390"/>
      <c r="Y71" s="391">
        <f t="shared" si="20"/>
        <v>100</v>
      </c>
    </row>
    <row r="72" spans="1:25" s="58" customFormat="1" x14ac:dyDescent="0.35">
      <c r="A72" s="390" t="s">
        <v>2679</v>
      </c>
      <c r="B72" s="390" t="str">
        <f>VLOOKUP(A72,TaskValues_ref!E:F,2,FALSE)</f>
        <v>Nutritional screening during pregnancy</v>
      </c>
      <c r="C72" s="390">
        <v>100</v>
      </c>
      <c r="D72" s="390"/>
      <c r="E72" s="391">
        <f t="shared" si="14"/>
        <v>100</v>
      </c>
      <c r="F72" s="389">
        <v>100</v>
      </c>
      <c r="G72" s="390"/>
      <c r="H72" s="390"/>
      <c r="I72" s="390"/>
      <c r="J72" s="391">
        <f t="shared" si="18"/>
        <v>100</v>
      </c>
      <c r="K72" s="389">
        <v>100</v>
      </c>
      <c r="L72" s="390"/>
      <c r="M72" s="390"/>
      <c r="N72" s="390"/>
      <c r="O72" s="390"/>
      <c r="P72" s="390"/>
      <c r="Q72" s="390"/>
      <c r="R72" s="391">
        <f t="shared" si="19"/>
        <v>100</v>
      </c>
      <c r="S72" s="389">
        <v>100</v>
      </c>
      <c r="T72" s="390"/>
      <c r="U72" s="390"/>
      <c r="V72" s="390"/>
      <c r="W72" s="390">
        <f t="shared" ref="W72:W75" si="24">M72+P72</f>
        <v>0</v>
      </c>
      <c r="X72" s="390"/>
      <c r="Y72" s="391">
        <f t="shared" si="20"/>
        <v>100</v>
      </c>
    </row>
    <row r="73" spans="1:25" x14ac:dyDescent="0.35">
      <c r="A73" s="319" t="s">
        <v>2680</v>
      </c>
      <c r="B73" s="319" t="str">
        <f>VLOOKUP(A73,TaskValues_ref!E:F,2,FALSE)</f>
        <v>Monthly monitoring</v>
      </c>
      <c r="C73" s="390">
        <v>100</v>
      </c>
      <c r="D73" s="390"/>
      <c r="E73" s="391">
        <f t="shared" si="14"/>
        <v>100</v>
      </c>
      <c r="F73" s="389"/>
      <c r="G73" s="390"/>
      <c r="H73" s="390">
        <v>100</v>
      </c>
      <c r="I73" s="390"/>
      <c r="J73" s="391">
        <f t="shared" si="18"/>
        <v>100</v>
      </c>
      <c r="K73" s="389"/>
      <c r="L73" s="390"/>
      <c r="M73" s="390">
        <v>50</v>
      </c>
      <c r="N73" s="390">
        <v>25</v>
      </c>
      <c r="O73" s="390">
        <v>25</v>
      </c>
      <c r="P73" s="390"/>
      <c r="Q73" s="390"/>
      <c r="R73" s="391">
        <f t="shared" si="19"/>
        <v>100</v>
      </c>
      <c r="S73" s="389"/>
      <c r="T73" s="390"/>
      <c r="U73" s="390">
        <v>75</v>
      </c>
      <c r="V73" s="390">
        <v>25</v>
      </c>
      <c r="W73" s="390"/>
      <c r="X73" s="390"/>
      <c r="Y73" s="391">
        <f t="shared" si="20"/>
        <v>100</v>
      </c>
    </row>
    <row r="74" spans="1:25" s="58" customFormat="1" x14ac:dyDescent="0.35">
      <c r="A74" s="390" t="s">
        <v>2681</v>
      </c>
      <c r="B74" s="390" t="str">
        <f>VLOOKUP(A74,TaskValues_ref!E:F,2,FALSE)</f>
        <v>MUAC and oedema screening</v>
      </c>
      <c r="C74" s="390">
        <v>100</v>
      </c>
      <c r="D74" s="390"/>
      <c r="E74" s="391">
        <f t="shared" si="14"/>
        <v>100</v>
      </c>
      <c r="F74" s="389">
        <v>100</v>
      </c>
      <c r="G74" s="390"/>
      <c r="H74" s="390"/>
      <c r="I74" s="390"/>
      <c r="J74" s="391">
        <f t="shared" si="18"/>
        <v>100</v>
      </c>
      <c r="K74" s="389">
        <v>100</v>
      </c>
      <c r="L74" s="390"/>
      <c r="M74" s="390"/>
      <c r="N74" s="390"/>
      <c r="O74" s="390"/>
      <c r="P74" s="390"/>
      <c r="Q74" s="390"/>
      <c r="R74" s="391">
        <f t="shared" si="19"/>
        <v>100</v>
      </c>
      <c r="S74" s="389">
        <v>100</v>
      </c>
      <c r="T74" s="390"/>
      <c r="U74" s="390"/>
      <c r="V74" s="390"/>
      <c r="W74" s="390">
        <f t="shared" si="24"/>
        <v>0</v>
      </c>
      <c r="X74" s="390"/>
      <c r="Y74" s="391">
        <f t="shared" si="20"/>
        <v>100</v>
      </c>
    </row>
    <row r="75" spans="1:25" s="58" customFormat="1" x14ac:dyDescent="0.35">
      <c r="A75" s="390" t="s">
        <v>2682</v>
      </c>
      <c r="B75" s="390" t="str">
        <f>VLOOKUP(A75,TaskValues_ref!E:F,2,FALSE)</f>
        <v>Treat malnourished mothers</v>
      </c>
      <c r="C75" s="390">
        <v>100</v>
      </c>
      <c r="D75" s="390"/>
      <c r="E75" s="391">
        <f t="shared" si="14"/>
        <v>100</v>
      </c>
      <c r="F75" s="389">
        <v>100</v>
      </c>
      <c r="G75" s="390"/>
      <c r="H75" s="390"/>
      <c r="I75" s="390"/>
      <c r="J75" s="391">
        <f t="shared" si="18"/>
        <v>100</v>
      </c>
      <c r="K75" s="389">
        <v>100</v>
      </c>
      <c r="L75" s="390"/>
      <c r="M75" s="390"/>
      <c r="N75" s="390"/>
      <c r="O75" s="390"/>
      <c r="P75" s="390"/>
      <c r="Q75" s="390"/>
      <c r="R75" s="391">
        <f t="shared" si="19"/>
        <v>100</v>
      </c>
      <c r="S75" s="389">
        <v>100</v>
      </c>
      <c r="T75" s="390"/>
      <c r="U75" s="390"/>
      <c r="V75" s="390"/>
      <c r="W75" s="390">
        <f t="shared" si="24"/>
        <v>0</v>
      </c>
      <c r="X75" s="390"/>
      <c r="Y75" s="391">
        <f t="shared" si="20"/>
        <v>100</v>
      </c>
    </row>
    <row r="76" spans="1:25" s="58" customFormat="1" x14ac:dyDescent="0.35">
      <c r="A76" s="392" t="s">
        <v>2632</v>
      </c>
      <c r="B76" s="390" t="str">
        <f>VLOOKUP(A76,TaskValues_ref!E:F,2,FALSE)</f>
        <v>Anaemia severe U5</v>
      </c>
      <c r="C76" s="390">
        <v>100</v>
      </c>
      <c r="D76" s="390"/>
      <c r="E76" s="391">
        <f t="shared" si="14"/>
        <v>100</v>
      </c>
      <c r="F76" s="389"/>
      <c r="G76" s="390">
        <v>100</v>
      </c>
      <c r="H76" s="390"/>
      <c r="I76" s="390"/>
      <c r="J76" s="391">
        <f t="shared" si="18"/>
        <v>100</v>
      </c>
      <c r="K76" s="389"/>
      <c r="L76" s="390">
        <v>25</v>
      </c>
      <c r="M76" s="390"/>
      <c r="N76" s="390"/>
      <c r="O76" s="390">
        <v>75</v>
      </c>
      <c r="P76" s="390"/>
      <c r="Q76" s="390"/>
      <c r="R76" s="391">
        <f t="shared" si="19"/>
        <v>100</v>
      </c>
      <c r="S76" s="389"/>
      <c r="T76" s="390">
        <v>25</v>
      </c>
      <c r="U76" s="390"/>
      <c r="V76" s="390">
        <v>75</v>
      </c>
      <c r="W76" s="390"/>
      <c r="X76" s="390"/>
      <c r="Y76" s="391">
        <f t="shared" si="20"/>
        <v>100</v>
      </c>
    </row>
    <row r="77" spans="1:25" s="58" customFormat="1" x14ac:dyDescent="0.35">
      <c r="A77" s="390" t="s">
        <v>2545</v>
      </c>
      <c r="B77" s="390" t="str">
        <f>VLOOKUP(A77,TaskValues_ref!E:F,2,FALSE)</f>
        <v>Anaemia severe children</v>
      </c>
      <c r="C77" s="390">
        <v>100</v>
      </c>
      <c r="D77" s="390"/>
      <c r="E77" s="391">
        <f t="shared" si="14"/>
        <v>100</v>
      </c>
      <c r="F77" s="389"/>
      <c r="G77" s="390">
        <v>100</v>
      </c>
      <c r="H77" s="390"/>
      <c r="I77" s="390"/>
      <c r="J77" s="391">
        <f t="shared" si="18"/>
        <v>100</v>
      </c>
      <c r="K77" s="389"/>
      <c r="L77" s="390">
        <v>25</v>
      </c>
      <c r="M77" s="390"/>
      <c r="N77" s="390"/>
      <c r="O77" s="390">
        <v>75</v>
      </c>
      <c r="P77" s="390"/>
      <c r="Q77" s="390"/>
      <c r="R77" s="391">
        <f t="shared" si="19"/>
        <v>100</v>
      </c>
      <c r="S77" s="389"/>
      <c r="T77" s="390">
        <v>25</v>
      </c>
      <c r="U77" s="390"/>
      <c r="V77" s="390">
        <v>75</v>
      </c>
      <c r="W77" s="390"/>
      <c r="X77" s="390"/>
      <c r="Y77" s="391">
        <f t="shared" si="20"/>
        <v>100</v>
      </c>
    </row>
    <row r="78" spans="1:25" s="58" customFormat="1" x14ac:dyDescent="0.35">
      <c r="A78" s="390" t="s">
        <v>2546</v>
      </c>
      <c r="B78" s="390" t="str">
        <f>VLOOKUP(A78,TaskValues_ref!E:F,2,FALSE)</f>
        <v>Anaemia severe adults</v>
      </c>
      <c r="C78" s="390">
        <v>100</v>
      </c>
      <c r="D78" s="390"/>
      <c r="E78" s="391">
        <f t="shared" si="14"/>
        <v>100</v>
      </c>
      <c r="F78" s="389"/>
      <c r="G78" s="390">
        <v>100</v>
      </c>
      <c r="H78" s="390"/>
      <c r="I78" s="390"/>
      <c r="J78" s="391">
        <f t="shared" si="18"/>
        <v>100</v>
      </c>
      <c r="K78" s="389"/>
      <c r="L78" s="390">
        <v>25</v>
      </c>
      <c r="M78" s="390"/>
      <c r="N78" s="390"/>
      <c r="O78" s="390">
        <v>75</v>
      </c>
      <c r="P78" s="390"/>
      <c r="Q78" s="390"/>
      <c r="R78" s="391">
        <f t="shared" si="19"/>
        <v>100</v>
      </c>
      <c r="S78" s="389"/>
      <c r="T78" s="390">
        <v>25</v>
      </c>
      <c r="U78" s="390"/>
      <c r="V78" s="390">
        <v>75</v>
      </c>
      <c r="W78" s="390"/>
      <c r="X78" s="390"/>
      <c r="Y78" s="391">
        <f t="shared" si="20"/>
        <v>100</v>
      </c>
    </row>
    <row r="79" spans="1:25" x14ac:dyDescent="0.35">
      <c r="A79" s="319" t="s">
        <v>2683</v>
      </c>
      <c r="B79" s="319" t="str">
        <f>VLOOKUP(A79,TaskValues_ref!E:F,2,FALSE)</f>
        <v>Promote nutrition for MNC</v>
      </c>
      <c r="C79" s="390">
        <v>100</v>
      </c>
      <c r="D79" s="390"/>
      <c r="E79" s="391">
        <f t="shared" si="14"/>
        <v>100</v>
      </c>
      <c r="F79" s="389"/>
      <c r="G79" s="390"/>
      <c r="H79" s="390">
        <v>100</v>
      </c>
      <c r="I79" s="390"/>
      <c r="J79" s="391">
        <f t="shared" si="18"/>
        <v>100</v>
      </c>
      <c r="K79" s="389"/>
      <c r="L79" s="390"/>
      <c r="M79" s="390">
        <v>50</v>
      </c>
      <c r="N79" s="390">
        <v>50</v>
      </c>
      <c r="O79" s="390"/>
      <c r="P79" s="390"/>
      <c r="Q79" s="390"/>
      <c r="R79" s="391">
        <f t="shared" si="19"/>
        <v>100</v>
      </c>
      <c r="S79" s="389"/>
      <c r="T79" s="390"/>
      <c r="U79" s="390">
        <v>100</v>
      </c>
      <c r="V79" s="390"/>
      <c r="W79" s="390"/>
      <c r="X79" s="390"/>
      <c r="Y79" s="391">
        <f t="shared" si="20"/>
        <v>100</v>
      </c>
    </row>
    <row r="80" spans="1:25" x14ac:dyDescent="0.35">
      <c r="A80" s="319" t="s">
        <v>2684</v>
      </c>
      <c r="B80" s="319" t="str">
        <f>VLOOKUP(A80,TaskValues_ref!E:F,2,FALSE)</f>
        <v>Education re nutrition</v>
      </c>
      <c r="C80" s="390">
        <v>100</v>
      </c>
      <c r="D80" s="390"/>
      <c r="E80" s="391">
        <f t="shared" si="14"/>
        <v>100</v>
      </c>
      <c r="F80" s="389"/>
      <c r="G80" s="390"/>
      <c r="H80" s="390">
        <v>100</v>
      </c>
      <c r="I80" s="390"/>
      <c r="J80" s="391">
        <f t="shared" si="18"/>
        <v>100</v>
      </c>
      <c r="K80" s="389"/>
      <c r="L80" s="390"/>
      <c r="M80" s="390">
        <v>50</v>
      </c>
      <c r="N80" s="390">
        <v>50</v>
      </c>
      <c r="O80" s="390"/>
      <c r="P80" s="390"/>
      <c r="Q80" s="390"/>
      <c r="R80" s="391">
        <f t="shared" si="19"/>
        <v>100</v>
      </c>
      <c r="S80" s="389"/>
      <c r="T80" s="390"/>
      <c r="U80" s="390">
        <v>100</v>
      </c>
      <c r="V80" s="390"/>
      <c r="W80" s="390"/>
      <c r="X80" s="390"/>
      <c r="Y80" s="391">
        <f t="shared" si="20"/>
        <v>100</v>
      </c>
    </row>
    <row r="81" spans="1:25" x14ac:dyDescent="0.35">
      <c r="A81" s="319" t="s">
        <v>2685</v>
      </c>
      <c r="B81" s="319" t="str">
        <f>VLOOKUP(A81,TaskValues_ref!E:F,2,FALSE)</f>
        <v>Calcium supplementation</v>
      </c>
      <c r="C81" s="390">
        <v>100</v>
      </c>
      <c r="D81" s="390"/>
      <c r="E81" s="391">
        <f t="shared" si="14"/>
        <v>100</v>
      </c>
      <c r="F81" s="389"/>
      <c r="G81" s="390"/>
      <c r="H81" s="390">
        <v>100</v>
      </c>
      <c r="I81" s="390"/>
      <c r="J81" s="391">
        <f t="shared" ref="J81:J82" si="25">SUM(F81:I81)</f>
        <v>100</v>
      </c>
      <c r="K81" s="389"/>
      <c r="L81" s="390"/>
      <c r="M81" s="390">
        <v>50</v>
      </c>
      <c r="N81" s="390">
        <v>50</v>
      </c>
      <c r="O81" s="390"/>
      <c r="P81" s="390"/>
      <c r="Q81" s="390"/>
      <c r="R81" s="391">
        <f t="shared" ref="R81:R82" si="26">SUM(K81:Q81)</f>
        <v>100</v>
      </c>
      <c r="S81" s="389"/>
      <c r="T81" s="390"/>
      <c r="U81" s="390">
        <v>100</v>
      </c>
      <c r="V81" s="390"/>
      <c r="W81" s="390"/>
      <c r="X81" s="390"/>
      <c r="Y81" s="391">
        <f t="shared" ref="Y81:Y82" si="27">SUM(S81:X81)</f>
        <v>100</v>
      </c>
    </row>
    <row r="82" spans="1:25" x14ac:dyDescent="0.35">
      <c r="A82" s="319" t="s">
        <v>2686</v>
      </c>
      <c r="B82" s="319" t="str">
        <f>VLOOKUP(A82,TaskValues_ref!E:F,2,FALSE)</f>
        <v>Nutrition for HIV+ women</v>
      </c>
      <c r="C82" s="390">
        <v>100</v>
      </c>
      <c r="D82" s="390"/>
      <c r="E82" s="391">
        <f t="shared" si="14"/>
        <v>100</v>
      </c>
      <c r="F82" s="389"/>
      <c r="G82" s="390"/>
      <c r="H82" s="390">
        <v>100</v>
      </c>
      <c r="I82" s="390"/>
      <c r="J82" s="391">
        <f t="shared" si="25"/>
        <v>100</v>
      </c>
      <c r="K82" s="389"/>
      <c r="L82" s="390"/>
      <c r="M82" s="390">
        <v>50</v>
      </c>
      <c r="N82" s="390">
        <v>50</v>
      </c>
      <c r="O82" s="390"/>
      <c r="P82" s="390"/>
      <c r="Q82" s="390"/>
      <c r="R82" s="391">
        <f t="shared" si="26"/>
        <v>100</v>
      </c>
      <c r="S82" s="389"/>
      <c r="T82" s="390"/>
      <c r="U82" s="390">
        <v>100</v>
      </c>
      <c r="V82" s="390"/>
      <c r="W82" s="390"/>
      <c r="X82" s="390"/>
      <c r="Y82" s="391">
        <f t="shared" si="27"/>
        <v>100</v>
      </c>
    </row>
    <row r="83" spans="1:25" x14ac:dyDescent="0.35">
      <c r="A83" s="266" t="s">
        <v>2687</v>
      </c>
      <c r="B83" s="319" t="str">
        <f>VLOOKUP(A83,TaskValues_ref!E:F,2,FALSE)</f>
        <v>Promote iodized salt &amp; fortified food</v>
      </c>
      <c r="C83" s="390">
        <v>100</v>
      </c>
      <c r="D83" s="390"/>
      <c r="E83" s="391">
        <f t="shared" si="14"/>
        <v>100</v>
      </c>
      <c r="F83" s="389"/>
      <c r="G83" s="390"/>
      <c r="H83" s="390">
        <v>100</v>
      </c>
      <c r="I83" s="390"/>
      <c r="J83" s="391">
        <f t="shared" si="18"/>
        <v>100</v>
      </c>
      <c r="K83" s="389"/>
      <c r="L83" s="390"/>
      <c r="M83" s="390">
        <v>50</v>
      </c>
      <c r="N83" s="390">
        <v>50</v>
      </c>
      <c r="O83" s="390"/>
      <c r="P83" s="390"/>
      <c r="Q83" s="390"/>
      <c r="R83" s="391">
        <f t="shared" si="19"/>
        <v>100</v>
      </c>
      <c r="S83" s="389"/>
      <c r="T83" s="390"/>
      <c r="U83" s="390">
        <v>100</v>
      </c>
      <c r="V83" s="390"/>
      <c r="W83" s="390"/>
      <c r="X83" s="390"/>
      <c r="Y83" s="391">
        <f t="shared" si="20"/>
        <v>100</v>
      </c>
    </row>
    <row r="84" spans="1:25" x14ac:dyDescent="0.35">
      <c r="A84" s="266" t="s">
        <v>2688</v>
      </c>
      <c r="B84" s="319" t="str">
        <f>VLOOKUP(A84,TaskValues_ref!E:F,2,FALSE)</f>
        <v>Nutrition outreach</v>
      </c>
      <c r="C84" s="390">
        <v>100</v>
      </c>
      <c r="D84" s="390"/>
      <c r="E84" s="391">
        <f t="shared" si="14"/>
        <v>100</v>
      </c>
      <c r="F84" s="389"/>
      <c r="G84" s="390"/>
      <c r="H84" s="390">
        <v>100</v>
      </c>
      <c r="I84" s="390"/>
      <c r="J84" s="391">
        <f t="shared" si="18"/>
        <v>100</v>
      </c>
      <c r="K84" s="389"/>
      <c r="L84" s="390"/>
      <c r="M84" s="390">
        <v>50</v>
      </c>
      <c r="N84" s="390">
        <v>50</v>
      </c>
      <c r="O84" s="390"/>
      <c r="P84" s="390"/>
      <c r="Q84" s="390"/>
      <c r="R84" s="391">
        <f t="shared" si="19"/>
        <v>100</v>
      </c>
      <c r="S84" s="389"/>
      <c r="T84" s="390"/>
      <c r="U84" s="390">
        <v>100</v>
      </c>
      <c r="V84" s="390"/>
      <c r="W84" s="390"/>
      <c r="X84" s="390"/>
      <c r="Y84" s="391">
        <f t="shared" si="20"/>
        <v>100</v>
      </c>
    </row>
    <row r="85" spans="1:25" x14ac:dyDescent="0.35">
      <c r="A85" s="266" t="s">
        <v>2689</v>
      </c>
      <c r="B85" s="319" t="str">
        <f>VLOOKUP(A85,TaskValues_ref!E:F,2,FALSE)</f>
        <v>Promote gender equity &amp; empowerment</v>
      </c>
      <c r="C85" s="390">
        <v>100</v>
      </c>
      <c r="D85" s="390"/>
      <c r="E85" s="391">
        <f t="shared" si="14"/>
        <v>100</v>
      </c>
      <c r="F85" s="389"/>
      <c r="G85" s="390"/>
      <c r="H85" s="390">
        <v>100</v>
      </c>
      <c r="I85" s="390"/>
      <c r="J85" s="391">
        <f t="shared" si="18"/>
        <v>100</v>
      </c>
      <c r="K85" s="389"/>
      <c r="L85" s="390"/>
      <c r="M85" s="390">
        <v>50</v>
      </c>
      <c r="N85" s="390">
        <v>50</v>
      </c>
      <c r="O85" s="390"/>
      <c r="P85" s="390"/>
      <c r="Q85" s="390"/>
      <c r="R85" s="391">
        <f t="shared" si="19"/>
        <v>100</v>
      </c>
      <c r="S85" s="389"/>
      <c r="T85" s="390"/>
      <c r="U85" s="390">
        <v>100</v>
      </c>
      <c r="V85" s="390"/>
      <c r="W85" s="390"/>
      <c r="X85" s="390"/>
      <c r="Y85" s="391">
        <f t="shared" si="20"/>
        <v>100</v>
      </c>
    </row>
    <row r="86" spans="1:25" s="58" customFormat="1" x14ac:dyDescent="0.35">
      <c r="A86" s="390" t="s">
        <v>2690</v>
      </c>
      <c r="B86" s="390" t="str">
        <f>VLOOKUP(A86,TaskValues_ref!E:F,2,FALSE)</f>
        <v>Nutritional disaster response</v>
      </c>
      <c r="C86" s="390">
        <v>100</v>
      </c>
      <c r="D86" s="390"/>
      <c r="E86" s="391">
        <f t="shared" si="14"/>
        <v>100</v>
      </c>
      <c r="F86" s="389"/>
      <c r="G86" s="390">
        <v>75</v>
      </c>
      <c r="H86" s="390">
        <v>25</v>
      </c>
      <c r="I86" s="390"/>
      <c r="J86" s="391">
        <f t="shared" si="18"/>
        <v>100</v>
      </c>
      <c r="K86" s="389"/>
      <c r="L86" s="390">
        <v>25</v>
      </c>
      <c r="M86" s="390">
        <v>25</v>
      </c>
      <c r="N86" s="390">
        <v>25</v>
      </c>
      <c r="O86" s="390">
        <v>25</v>
      </c>
      <c r="P86" s="390"/>
      <c r="Q86" s="390"/>
      <c r="R86" s="391">
        <f t="shared" si="19"/>
        <v>100</v>
      </c>
      <c r="S86" s="389"/>
      <c r="T86" s="390">
        <v>25</v>
      </c>
      <c r="U86" s="390">
        <v>25</v>
      </c>
      <c r="V86" s="390">
        <v>50</v>
      </c>
      <c r="W86" s="390"/>
      <c r="X86" s="390"/>
      <c r="Y86" s="391">
        <f t="shared" si="20"/>
        <v>100</v>
      </c>
    </row>
    <row r="87" spans="1:25" s="58" customFormat="1" x14ac:dyDescent="0.35">
      <c r="A87" s="390" t="s">
        <v>2691</v>
      </c>
      <c r="B87" s="390" t="str">
        <f>VLOOKUP(A87,TaskValues_ref!E:F,2,FALSE)</f>
        <v>Multisectoral nutrition intervention</v>
      </c>
      <c r="C87" s="390">
        <v>100</v>
      </c>
      <c r="D87" s="390"/>
      <c r="E87" s="391">
        <f t="shared" si="14"/>
        <v>100</v>
      </c>
      <c r="F87" s="389"/>
      <c r="G87" s="390">
        <v>50</v>
      </c>
      <c r="H87" s="390">
        <v>50</v>
      </c>
      <c r="I87" s="390"/>
      <c r="J87" s="391">
        <f t="shared" si="18"/>
        <v>100</v>
      </c>
      <c r="K87" s="389"/>
      <c r="L87" s="390">
        <v>50</v>
      </c>
      <c r="M87" s="390">
        <v>25</v>
      </c>
      <c r="N87" s="390">
        <v>25</v>
      </c>
      <c r="O87" s="390"/>
      <c r="P87" s="390"/>
      <c r="Q87" s="390"/>
      <c r="R87" s="391">
        <f t="shared" si="19"/>
        <v>100</v>
      </c>
      <c r="S87" s="389"/>
      <c r="T87" s="390">
        <v>50</v>
      </c>
      <c r="U87" s="390">
        <v>50</v>
      </c>
      <c r="V87" s="390"/>
      <c r="W87" s="390"/>
      <c r="X87" s="390"/>
      <c r="Y87" s="391">
        <f t="shared" si="20"/>
        <v>100</v>
      </c>
    </row>
    <row r="88" spans="1:25" s="58" customFormat="1" x14ac:dyDescent="0.35">
      <c r="A88" s="390" t="s">
        <v>2692</v>
      </c>
      <c r="B88" s="390" t="str">
        <f>VLOOKUP(A88,TaskValues_ref!E:F,2,FALSE)</f>
        <v>Breast feeding technique</v>
      </c>
      <c r="C88" s="390">
        <v>100</v>
      </c>
      <c r="D88" s="390"/>
      <c r="E88" s="391">
        <f t="shared" si="14"/>
        <v>100</v>
      </c>
      <c r="F88" s="389">
        <v>50</v>
      </c>
      <c r="G88" s="390"/>
      <c r="H88" s="390">
        <v>50</v>
      </c>
      <c r="I88" s="390"/>
      <c r="J88" s="391">
        <f t="shared" si="18"/>
        <v>100</v>
      </c>
      <c r="K88" s="389">
        <v>50</v>
      </c>
      <c r="L88" s="390"/>
      <c r="M88" s="390">
        <v>25</v>
      </c>
      <c r="N88" s="390">
        <v>25</v>
      </c>
      <c r="O88" s="390"/>
      <c r="P88" s="390"/>
      <c r="Q88" s="390"/>
      <c r="R88" s="391">
        <f t="shared" si="19"/>
        <v>100</v>
      </c>
      <c r="S88" s="389">
        <v>50</v>
      </c>
      <c r="T88" s="390"/>
      <c r="U88" s="390">
        <v>50</v>
      </c>
      <c r="V88" s="390"/>
      <c r="W88" s="390"/>
      <c r="X88" s="390"/>
      <c r="Y88" s="391">
        <f t="shared" si="20"/>
        <v>100</v>
      </c>
    </row>
    <row r="89" spans="1:25" s="58" customFormat="1" x14ac:dyDescent="0.35">
      <c r="A89" s="390" t="s">
        <v>2693</v>
      </c>
      <c r="B89" s="390" t="str">
        <f>VLOOKUP(A89,TaskValues_ref!E:F,2,FALSE)</f>
        <v>Acute malnutrition</v>
      </c>
      <c r="C89" s="390">
        <v>100</v>
      </c>
      <c r="D89" s="390"/>
      <c r="E89" s="391">
        <f t="shared" si="14"/>
        <v>100</v>
      </c>
      <c r="F89" s="389"/>
      <c r="G89" s="390">
        <v>100</v>
      </c>
      <c r="H89" s="390"/>
      <c r="I89" s="390"/>
      <c r="J89" s="391">
        <f t="shared" si="18"/>
        <v>100</v>
      </c>
      <c r="K89" s="389"/>
      <c r="L89" s="390">
        <v>25</v>
      </c>
      <c r="M89" s="390"/>
      <c r="N89" s="390"/>
      <c r="O89" s="390">
        <v>75</v>
      </c>
      <c r="P89" s="390"/>
      <c r="Q89" s="390"/>
      <c r="R89" s="391">
        <f t="shared" si="19"/>
        <v>100</v>
      </c>
      <c r="S89" s="389"/>
      <c r="T89" s="390">
        <v>25</v>
      </c>
      <c r="U89" s="390"/>
      <c r="V89" s="390">
        <v>75</v>
      </c>
      <c r="W89" s="390"/>
      <c r="X89" s="390"/>
      <c r="Y89" s="391">
        <f t="shared" si="20"/>
        <v>100</v>
      </c>
    </row>
    <row r="90" spans="1:25" s="58" customFormat="1" x14ac:dyDescent="0.35">
      <c r="A90" s="390" t="s">
        <v>2694</v>
      </c>
      <c r="B90" s="390" t="str">
        <f>VLOOKUP(A90,TaskValues_ref!E:F,2,FALSE)</f>
        <v>Counsel complementary feeding</v>
      </c>
      <c r="C90" s="390">
        <v>100</v>
      </c>
      <c r="D90" s="390"/>
      <c r="E90" s="391">
        <f t="shared" si="14"/>
        <v>100</v>
      </c>
      <c r="F90" s="389">
        <v>50</v>
      </c>
      <c r="G90" s="390"/>
      <c r="H90" s="390">
        <v>50</v>
      </c>
      <c r="I90" s="390"/>
      <c r="J90" s="391">
        <f t="shared" si="18"/>
        <v>100</v>
      </c>
      <c r="K90" s="389">
        <v>50</v>
      </c>
      <c r="L90" s="390"/>
      <c r="M90" s="390">
        <v>25</v>
      </c>
      <c r="N90" s="390">
        <v>25</v>
      </c>
      <c r="O90" s="390"/>
      <c r="P90" s="390"/>
      <c r="Q90" s="390"/>
      <c r="R90" s="391">
        <f t="shared" si="19"/>
        <v>100</v>
      </c>
      <c r="S90" s="389">
        <v>50</v>
      </c>
      <c r="T90" s="390"/>
      <c r="U90" s="390">
        <v>50</v>
      </c>
      <c r="V90" s="390"/>
      <c r="W90" s="390"/>
      <c r="X90" s="390"/>
      <c r="Y90" s="391">
        <f t="shared" si="20"/>
        <v>100</v>
      </c>
    </row>
    <row r="91" spans="1:25" s="58" customFormat="1" x14ac:dyDescent="0.35">
      <c r="A91" s="390" t="s">
        <v>2695</v>
      </c>
      <c r="B91" s="390" t="str">
        <f>VLOOKUP(A91,TaskValues_ref!E:F,2,FALSE)</f>
        <v>Timely complementary feeding</v>
      </c>
      <c r="C91" s="390">
        <v>100</v>
      </c>
      <c r="D91" s="390"/>
      <c r="E91" s="391">
        <f t="shared" si="14"/>
        <v>100</v>
      </c>
      <c r="F91" s="389">
        <v>50</v>
      </c>
      <c r="G91" s="390"/>
      <c r="H91" s="390">
        <v>50</v>
      </c>
      <c r="I91" s="390"/>
      <c r="J91" s="391">
        <f t="shared" si="18"/>
        <v>100</v>
      </c>
      <c r="K91" s="389">
        <v>50</v>
      </c>
      <c r="L91" s="390"/>
      <c r="M91" s="390">
        <v>25</v>
      </c>
      <c r="N91" s="390">
        <v>25</v>
      </c>
      <c r="O91" s="390"/>
      <c r="P91" s="390"/>
      <c r="Q91" s="390"/>
      <c r="R91" s="391">
        <f t="shared" si="19"/>
        <v>100</v>
      </c>
      <c r="S91" s="389">
        <v>50</v>
      </c>
      <c r="T91" s="390"/>
      <c r="U91" s="390">
        <v>50</v>
      </c>
      <c r="V91" s="390"/>
      <c r="W91" s="390"/>
      <c r="X91" s="390"/>
      <c r="Y91" s="391">
        <f t="shared" si="20"/>
        <v>100</v>
      </c>
    </row>
    <row r="92" spans="1:25" s="58" customFormat="1" x14ac:dyDescent="0.35">
      <c r="A92" s="390" t="s">
        <v>2696</v>
      </c>
      <c r="B92" s="390" t="str">
        <f>VLOOKUP(A92,TaskValues_ref!E:F,2,FALSE)</f>
        <v>Promote BF until 24 months</v>
      </c>
      <c r="C92" s="390">
        <v>100</v>
      </c>
      <c r="D92" s="390"/>
      <c r="E92" s="391">
        <f t="shared" si="14"/>
        <v>100</v>
      </c>
      <c r="F92" s="389">
        <v>50</v>
      </c>
      <c r="G92" s="390"/>
      <c r="H92" s="390">
        <v>50</v>
      </c>
      <c r="I92" s="390"/>
      <c r="J92" s="391">
        <f t="shared" si="18"/>
        <v>100</v>
      </c>
      <c r="K92" s="389">
        <v>50</v>
      </c>
      <c r="L92" s="390"/>
      <c r="M92" s="390">
        <v>25</v>
      </c>
      <c r="N92" s="390">
        <v>25</v>
      </c>
      <c r="O92" s="390"/>
      <c r="P92" s="390"/>
      <c r="Q92" s="390"/>
      <c r="R92" s="391">
        <f t="shared" si="19"/>
        <v>100</v>
      </c>
      <c r="S92" s="389">
        <v>50</v>
      </c>
      <c r="T92" s="390"/>
      <c r="U92" s="390">
        <v>50</v>
      </c>
      <c r="V92" s="390"/>
      <c r="W92" s="390"/>
      <c r="X92" s="390"/>
      <c r="Y92" s="391">
        <f t="shared" si="20"/>
        <v>100</v>
      </c>
    </row>
    <row r="93" spans="1:25" s="58" customFormat="1" x14ac:dyDescent="0.35">
      <c r="A93" s="390" t="s">
        <v>2697</v>
      </c>
      <c r="B93" s="390" t="str">
        <f>VLOOKUP(A93,TaskValues_ref!E:F,2,FALSE)</f>
        <v>Promote BF during child illness</v>
      </c>
      <c r="C93" s="390">
        <v>100</v>
      </c>
      <c r="D93" s="390"/>
      <c r="E93" s="391">
        <f t="shared" si="14"/>
        <v>100</v>
      </c>
      <c r="F93" s="389">
        <v>50</v>
      </c>
      <c r="G93" s="390"/>
      <c r="H93" s="390">
        <v>50</v>
      </c>
      <c r="I93" s="390"/>
      <c r="J93" s="391">
        <f t="shared" si="18"/>
        <v>100</v>
      </c>
      <c r="K93" s="389">
        <v>50</v>
      </c>
      <c r="L93" s="390"/>
      <c r="M93" s="390">
        <v>25</v>
      </c>
      <c r="N93" s="390">
        <v>25</v>
      </c>
      <c r="O93" s="390"/>
      <c r="P93" s="390"/>
      <c r="Q93" s="390"/>
      <c r="R93" s="391">
        <f t="shared" si="19"/>
        <v>100</v>
      </c>
      <c r="S93" s="389">
        <v>50</v>
      </c>
      <c r="T93" s="390"/>
      <c r="U93" s="390">
        <v>50</v>
      </c>
      <c r="V93" s="390"/>
      <c r="W93" s="390"/>
      <c r="X93" s="390"/>
      <c r="Y93" s="391">
        <f t="shared" si="20"/>
        <v>100</v>
      </c>
    </row>
    <row r="94" spans="1:25" x14ac:dyDescent="0.35">
      <c r="A94" s="319" t="s">
        <v>2698</v>
      </c>
      <c r="B94" s="319" t="str">
        <f>VLOOKUP(A94,TaskValues_ref!E:F,2,FALSE)</f>
        <v>Educate on complementary foods</v>
      </c>
      <c r="C94" s="390">
        <v>100</v>
      </c>
      <c r="D94" s="390"/>
      <c r="E94" s="391">
        <f t="shared" si="14"/>
        <v>100</v>
      </c>
      <c r="F94" s="389"/>
      <c r="G94" s="390"/>
      <c r="H94" s="390">
        <v>100</v>
      </c>
      <c r="I94" s="390"/>
      <c r="J94" s="391">
        <f t="shared" si="18"/>
        <v>100</v>
      </c>
      <c r="K94" s="389"/>
      <c r="L94" s="390"/>
      <c r="M94" s="390">
        <v>50</v>
      </c>
      <c r="N94" s="390">
        <v>50</v>
      </c>
      <c r="O94" s="390"/>
      <c r="P94" s="390"/>
      <c r="Q94" s="390"/>
      <c r="R94" s="391">
        <f t="shared" si="19"/>
        <v>100</v>
      </c>
      <c r="S94" s="389"/>
      <c r="T94" s="390"/>
      <c r="U94" s="390">
        <v>100</v>
      </c>
      <c r="V94" s="390"/>
      <c r="W94" s="390"/>
      <c r="X94" s="390"/>
      <c r="Y94" s="391">
        <f t="shared" si="20"/>
        <v>100</v>
      </c>
    </row>
    <row r="95" spans="1:25" x14ac:dyDescent="0.35">
      <c r="A95" s="319" t="s">
        <v>2699</v>
      </c>
      <c r="B95" s="319" t="str">
        <f>VLOOKUP(A95,TaskValues_ref!E:F,2,FALSE)</f>
        <v>Nutrition education for children</v>
      </c>
      <c r="C95" s="390">
        <v>100</v>
      </c>
      <c r="D95" s="390"/>
      <c r="E95" s="391">
        <f t="shared" si="14"/>
        <v>100</v>
      </c>
      <c r="F95" s="389"/>
      <c r="G95" s="390"/>
      <c r="H95" s="390">
        <v>100</v>
      </c>
      <c r="I95" s="390"/>
      <c r="J95" s="391">
        <f t="shared" si="18"/>
        <v>100</v>
      </c>
      <c r="K95" s="389"/>
      <c r="L95" s="390"/>
      <c r="M95" s="390">
        <v>50</v>
      </c>
      <c r="N95" s="390">
        <v>50</v>
      </c>
      <c r="O95" s="390"/>
      <c r="P95" s="390"/>
      <c r="Q95" s="390"/>
      <c r="R95" s="391">
        <f t="shared" si="19"/>
        <v>100</v>
      </c>
      <c r="S95" s="389"/>
      <c r="T95" s="390"/>
      <c r="U95" s="390">
        <v>100</v>
      </c>
      <c r="V95" s="390"/>
      <c r="W95" s="390"/>
      <c r="X95" s="390"/>
      <c r="Y95" s="391">
        <f t="shared" si="20"/>
        <v>100</v>
      </c>
    </row>
    <row r="96" spans="1:25" s="58" customFormat="1" x14ac:dyDescent="0.35">
      <c r="A96" s="390" t="s">
        <v>2555</v>
      </c>
      <c r="B96" s="390" t="str">
        <f>VLOOKUP(A96,TaskValues_ref!E:F,2,FALSE)</f>
        <v>STI management, women</v>
      </c>
      <c r="C96" s="390">
        <v>100</v>
      </c>
      <c r="D96" s="390"/>
      <c r="E96" s="391">
        <f t="shared" si="14"/>
        <v>100</v>
      </c>
      <c r="F96" s="389">
        <v>100</v>
      </c>
      <c r="G96" s="390"/>
      <c r="H96" s="390"/>
      <c r="I96" s="390"/>
      <c r="J96" s="391">
        <f t="shared" si="18"/>
        <v>100</v>
      </c>
      <c r="K96" s="389">
        <v>100</v>
      </c>
      <c r="L96" s="390"/>
      <c r="M96" s="390"/>
      <c r="N96" s="390"/>
      <c r="O96" s="390"/>
      <c r="P96" s="390"/>
      <c r="Q96" s="390"/>
      <c r="R96" s="391">
        <f t="shared" si="19"/>
        <v>100</v>
      </c>
      <c r="S96" s="389">
        <v>100</v>
      </c>
      <c r="T96" s="390"/>
      <c r="U96" s="390"/>
      <c r="V96" s="390"/>
      <c r="W96" s="390"/>
      <c r="X96" s="390"/>
      <c r="Y96" s="391">
        <f t="shared" si="20"/>
        <v>100</v>
      </c>
    </row>
    <row r="97" spans="1:25" s="58" customFormat="1" x14ac:dyDescent="0.35">
      <c r="A97" s="390" t="s">
        <v>2556</v>
      </c>
      <c r="B97" s="390" t="str">
        <f>VLOOKUP(A97,TaskValues_ref!E:F,2,FALSE)</f>
        <v>STI management, men</v>
      </c>
      <c r="C97" s="390">
        <v>100</v>
      </c>
      <c r="D97" s="390"/>
      <c r="E97" s="391">
        <f t="shared" si="14"/>
        <v>100</v>
      </c>
      <c r="F97" s="389">
        <v>100</v>
      </c>
      <c r="G97" s="390"/>
      <c r="H97" s="390"/>
      <c r="I97" s="390"/>
      <c r="J97" s="391">
        <f t="shared" si="18"/>
        <v>100</v>
      </c>
      <c r="K97" s="389">
        <v>100</v>
      </c>
      <c r="L97" s="390"/>
      <c r="M97" s="390"/>
      <c r="N97" s="390"/>
      <c r="O97" s="390"/>
      <c r="P97" s="390"/>
      <c r="Q97" s="390"/>
      <c r="R97" s="391">
        <f t="shared" si="19"/>
        <v>100</v>
      </c>
      <c r="S97" s="389">
        <v>100</v>
      </c>
      <c r="T97" s="390"/>
      <c r="U97" s="390"/>
      <c r="V97" s="390"/>
      <c r="W97" s="390"/>
      <c r="X97" s="390"/>
      <c r="Y97" s="391">
        <f t="shared" si="20"/>
        <v>100</v>
      </c>
    </row>
    <row r="98" spans="1:25" s="58" customFormat="1" x14ac:dyDescent="0.35">
      <c r="A98" s="390" t="s">
        <v>2700</v>
      </c>
      <c r="B98" s="390" t="str">
        <f>VLOOKUP(A98,TaskValues_ref!E:F,2,FALSE)</f>
        <v>STI prevention for sex workers</v>
      </c>
      <c r="C98" s="390">
        <v>100</v>
      </c>
      <c r="D98" s="390"/>
      <c r="E98" s="391">
        <f t="shared" ref="E98:E129" si="28">SUM(C98:D98)</f>
        <v>100</v>
      </c>
      <c r="F98" s="389">
        <v>100</v>
      </c>
      <c r="G98" s="390"/>
      <c r="H98" s="390"/>
      <c r="I98" s="390"/>
      <c r="J98" s="391">
        <f t="shared" si="18"/>
        <v>100</v>
      </c>
      <c r="K98" s="389">
        <v>100</v>
      </c>
      <c r="L98" s="390"/>
      <c r="M98" s="390"/>
      <c r="N98" s="390"/>
      <c r="O98" s="390"/>
      <c r="P98" s="390"/>
      <c r="Q98" s="390"/>
      <c r="R98" s="391">
        <f t="shared" si="19"/>
        <v>100</v>
      </c>
      <c r="S98" s="389">
        <v>100</v>
      </c>
      <c r="T98" s="390"/>
      <c r="U98" s="390"/>
      <c r="V98" s="390"/>
      <c r="W98" s="390"/>
      <c r="X98" s="390"/>
      <c r="Y98" s="391">
        <f t="shared" si="20"/>
        <v>100</v>
      </c>
    </row>
    <row r="99" spans="1:25" s="58" customFormat="1" x14ac:dyDescent="0.35">
      <c r="A99" s="390" t="s">
        <v>2701</v>
      </c>
      <c r="B99" s="390" t="str">
        <f>VLOOKUP(A99,TaskValues_ref!E:F,2,FALSE)</f>
        <v>Risk reduction</v>
      </c>
      <c r="C99" s="390">
        <v>100</v>
      </c>
      <c r="D99" s="390"/>
      <c r="E99" s="391">
        <f t="shared" si="28"/>
        <v>100</v>
      </c>
      <c r="F99" s="389">
        <v>100</v>
      </c>
      <c r="G99" s="390"/>
      <c r="H99" s="390"/>
      <c r="I99" s="390"/>
      <c r="J99" s="391">
        <f t="shared" si="18"/>
        <v>100</v>
      </c>
      <c r="K99" s="389">
        <v>100</v>
      </c>
      <c r="L99" s="390"/>
      <c r="M99" s="390"/>
      <c r="N99" s="390"/>
      <c r="O99" s="390"/>
      <c r="P99" s="390"/>
      <c r="Q99" s="390"/>
      <c r="R99" s="391">
        <f t="shared" si="19"/>
        <v>100</v>
      </c>
      <c r="S99" s="389">
        <v>100</v>
      </c>
      <c r="T99" s="390"/>
      <c r="U99" s="390"/>
      <c r="V99" s="390"/>
      <c r="W99" s="390"/>
      <c r="X99" s="390"/>
      <c r="Y99" s="391">
        <f t="shared" si="20"/>
        <v>100</v>
      </c>
    </row>
    <row r="100" spans="1:25" s="58" customFormat="1" x14ac:dyDescent="0.35">
      <c r="A100" s="390" t="s">
        <v>2702</v>
      </c>
      <c r="B100" s="390" t="str">
        <f>VLOOKUP(A100,TaskValues_ref!E:F,2,FALSE)</f>
        <v>HIV self-testing</v>
      </c>
      <c r="C100" s="390">
        <v>100</v>
      </c>
      <c r="D100" s="390"/>
      <c r="E100" s="391">
        <f t="shared" si="28"/>
        <v>100</v>
      </c>
      <c r="F100" s="389">
        <v>50</v>
      </c>
      <c r="G100" s="390"/>
      <c r="H100" s="390">
        <v>50</v>
      </c>
      <c r="I100" s="390"/>
      <c r="J100" s="391">
        <f t="shared" si="18"/>
        <v>100</v>
      </c>
      <c r="K100" s="389">
        <v>50</v>
      </c>
      <c r="L100" s="390"/>
      <c r="M100" s="390"/>
      <c r="N100" s="390">
        <v>25</v>
      </c>
      <c r="O100" s="390">
        <v>25</v>
      </c>
      <c r="P100" s="390"/>
      <c r="Q100" s="390"/>
      <c r="R100" s="391">
        <f t="shared" si="19"/>
        <v>100</v>
      </c>
      <c r="S100" s="389">
        <v>50</v>
      </c>
      <c r="T100" s="390"/>
      <c r="U100" s="390"/>
      <c r="V100" s="390">
        <v>50</v>
      </c>
      <c r="W100" s="390"/>
      <c r="X100" s="390"/>
      <c r="Y100" s="391">
        <f t="shared" si="20"/>
        <v>100</v>
      </c>
    </row>
    <row r="101" spans="1:25" s="58" customFormat="1" x14ac:dyDescent="0.35">
      <c r="A101" s="390" t="s">
        <v>2703</v>
      </c>
      <c r="B101" s="390" t="str">
        <f>VLOOKUP(A101,TaskValues_ref!E:F,2,FALSE)</f>
        <v>HIV voluntary counseling &amp; testing</v>
      </c>
      <c r="C101" s="390">
        <v>100</v>
      </c>
      <c r="D101" s="390"/>
      <c r="E101" s="391">
        <f t="shared" si="28"/>
        <v>100</v>
      </c>
      <c r="F101" s="389">
        <v>50</v>
      </c>
      <c r="G101" s="390"/>
      <c r="H101" s="390">
        <v>50</v>
      </c>
      <c r="I101" s="390"/>
      <c r="J101" s="391">
        <f t="shared" si="18"/>
        <v>100</v>
      </c>
      <c r="K101" s="389">
        <v>50</v>
      </c>
      <c r="L101" s="390"/>
      <c r="M101" s="390"/>
      <c r="N101" s="390">
        <v>25</v>
      </c>
      <c r="O101" s="390">
        <v>25</v>
      </c>
      <c r="P101" s="390"/>
      <c r="Q101" s="390"/>
      <c r="R101" s="391">
        <f t="shared" si="19"/>
        <v>100</v>
      </c>
      <c r="S101" s="389">
        <v>50</v>
      </c>
      <c r="T101" s="390"/>
      <c r="U101" s="390"/>
      <c r="V101" s="390">
        <v>50</v>
      </c>
      <c r="W101" s="390"/>
      <c r="X101" s="390"/>
      <c r="Y101" s="391">
        <f t="shared" si="20"/>
        <v>100</v>
      </c>
    </row>
    <row r="102" spans="1:25" s="58" customFormat="1" x14ac:dyDescent="0.35">
      <c r="A102" s="390" t="s">
        <v>2704</v>
      </c>
      <c r="B102" s="390" t="str">
        <f>VLOOKUP(A102,TaskValues_ref!E:F,2,FALSE)</f>
        <v>HIV provider-initiated counseling &amp; testing</v>
      </c>
      <c r="C102" s="390">
        <v>100</v>
      </c>
      <c r="D102" s="390"/>
      <c r="E102" s="391">
        <f t="shared" si="28"/>
        <v>100</v>
      </c>
      <c r="F102" s="389">
        <v>50</v>
      </c>
      <c r="G102" s="390">
        <v>50</v>
      </c>
      <c r="H102" s="390"/>
      <c r="I102" s="390"/>
      <c r="J102" s="391">
        <f t="shared" si="18"/>
        <v>100</v>
      </c>
      <c r="K102" s="389">
        <v>50</v>
      </c>
      <c r="L102" s="390"/>
      <c r="M102" s="390"/>
      <c r="N102" s="390">
        <v>25</v>
      </c>
      <c r="O102" s="390">
        <v>25</v>
      </c>
      <c r="P102" s="390"/>
      <c r="Q102" s="390"/>
      <c r="R102" s="391">
        <f t="shared" si="19"/>
        <v>100</v>
      </c>
      <c r="S102" s="389">
        <v>50</v>
      </c>
      <c r="T102" s="390"/>
      <c r="U102" s="390"/>
      <c r="V102" s="390">
        <v>50</v>
      </c>
      <c r="W102" s="390"/>
      <c r="X102" s="390"/>
      <c r="Y102" s="391">
        <f t="shared" si="20"/>
        <v>100</v>
      </c>
    </row>
    <row r="103" spans="1:25" s="58" customFormat="1" x14ac:dyDescent="0.35">
      <c r="A103" s="390" t="s">
        <v>2705</v>
      </c>
      <c r="B103" s="390" t="str">
        <f>VLOOKUP(A103,TaskValues_ref!E:F,2,FALSE)</f>
        <v>HIV linkages</v>
      </c>
      <c r="C103" s="390">
        <v>100</v>
      </c>
      <c r="D103" s="390"/>
      <c r="E103" s="391">
        <f t="shared" si="28"/>
        <v>100</v>
      </c>
      <c r="F103" s="389">
        <v>50</v>
      </c>
      <c r="G103" s="390">
        <v>50</v>
      </c>
      <c r="H103" s="390"/>
      <c r="I103" s="390"/>
      <c r="J103" s="391">
        <f t="shared" si="18"/>
        <v>100</v>
      </c>
      <c r="K103" s="389">
        <v>50</v>
      </c>
      <c r="L103" s="390"/>
      <c r="M103" s="390"/>
      <c r="N103" s="390">
        <v>25</v>
      </c>
      <c r="O103" s="390">
        <v>25</v>
      </c>
      <c r="P103" s="390"/>
      <c r="Q103" s="390"/>
      <c r="R103" s="391">
        <f t="shared" si="19"/>
        <v>100</v>
      </c>
      <c r="S103" s="389">
        <v>50</v>
      </c>
      <c r="T103" s="390"/>
      <c r="U103" s="390"/>
      <c r="V103" s="390">
        <v>50</v>
      </c>
      <c r="W103" s="390"/>
      <c r="X103" s="390"/>
      <c r="Y103" s="391">
        <f t="shared" si="20"/>
        <v>100</v>
      </c>
    </row>
    <row r="104" spans="1:25" s="58" customFormat="1" x14ac:dyDescent="0.35">
      <c r="A104" s="390" t="s">
        <v>2706</v>
      </c>
      <c r="B104" s="390" t="str">
        <f>VLOOKUP(A104,TaskValues_ref!E:F,2,FALSE)</f>
        <v>Post-exposure prophylaxis</v>
      </c>
      <c r="C104" s="390">
        <v>100</v>
      </c>
      <c r="D104" s="390"/>
      <c r="E104" s="391">
        <f t="shared" si="28"/>
        <v>100</v>
      </c>
      <c r="F104" s="389">
        <v>50</v>
      </c>
      <c r="G104" s="390">
        <v>50</v>
      </c>
      <c r="H104" s="390"/>
      <c r="I104" s="390"/>
      <c r="J104" s="391">
        <f t="shared" si="18"/>
        <v>100</v>
      </c>
      <c r="K104" s="389">
        <v>50</v>
      </c>
      <c r="L104" s="390"/>
      <c r="M104" s="390"/>
      <c r="N104" s="390">
        <v>25</v>
      </c>
      <c r="O104" s="390">
        <v>25</v>
      </c>
      <c r="P104" s="390"/>
      <c r="Q104" s="390"/>
      <c r="R104" s="391">
        <f t="shared" si="19"/>
        <v>100</v>
      </c>
      <c r="S104" s="389">
        <v>50</v>
      </c>
      <c r="T104" s="390"/>
      <c r="U104" s="390"/>
      <c r="V104" s="390">
        <v>50</v>
      </c>
      <c r="W104" s="390"/>
      <c r="X104" s="390"/>
      <c r="Y104" s="391">
        <f t="shared" si="20"/>
        <v>100</v>
      </c>
    </row>
    <row r="105" spans="1:25" s="58" customFormat="1" x14ac:dyDescent="0.35">
      <c r="A105" s="390" t="s">
        <v>2707</v>
      </c>
      <c r="B105" s="390" t="str">
        <f>VLOOKUP(A105,TaskValues_ref!E:F,2,FALSE)</f>
        <v>ART refilling/adherence</v>
      </c>
      <c r="C105" s="390">
        <v>100</v>
      </c>
      <c r="D105" s="390"/>
      <c r="E105" s="391">
        <f t="shared" si="28"/>
        <v>100</v>
      </c>
      <c r="F105" s="389">
        <v>50</v>
      </c>
      <c r="G105" s="390">
        <v>50</v>
      </c>
      <c r="H105" s="390"/>
      <c r="I105" s="390"/>
      <c r="J105" s="391">
        <f t="shared" si="18"/>
        <v>100</v>
      </c>
      <c r="K105" s="389">
        <v>50</v>
      </c>
      <c r="L105" s="390"/>
      <c r="M105" s="390"/>
      <c r="N105" s="390">
        <v>25</v>
      </c>
      <c r="O105" s="390">
        <v>25</v>
      </c>
      <c r="P105" s="390"/>
      <c r="Q105" s="390"/>
      <c r="R105" s="391">
        <f t="shared" si="19"/>
        <v>100</v>
      </c>
      <c r="S105" s="389">
        <v>50</v>
      </c>
      <c r="T105" s="390"/>
      <c r="U105" s="390"/>
      <c r="V105" s="390">
        <v>50</v>
      </c>
      <c r="W105" s="390"/>
      <c r="X105" s="390"/>
      <c r="Y105" s="391">
        <f t="shared" si="20"/>
        <v>100</v>
      </c>
    </row>
    <row r="106" spans="1:25" s="58" customFormat="1" x14ac:dyDescent="0.35">
      <c r="A106" s="390" t="s">
        <v>2708</v>
      </c>
      <c r="B106" s="390" t="str">
        <f>VLOOKUP(A106,TaskValues_ref!E:F,2,FALSE)</f>
        <v>Vector control</v>
      </c>
      <c r="C106" s="390">
        <v>100</v>
      </c>
      <c r="D106" s="390"/>
      <c r="E106" s="391">
        <f t="shared" si="28"/>
        <v>100</v>
      </c>
      <c r="F106" s="389"/>
      <c r="G106" s="390"/>
      <c r="H106" s="390">
        <v>100</v>
      </c>
      <c r="I106" s="390"/>
      <c r="J106" s="391">
        <f t="shared" si="18"/>
        <v>100</v>
      </c>
      <c r="K106" s="389"/>
      <c r="L106" s="390"/>
      <c r="M106" s="390"/>
      <c r="N106" s="390"/>
      <c r="O106" s="390"/>
      <c r="P106" s="390">
        <v>100</v>
      </c>
      <c r="Q106" s="390"/>
      <c r="R106" s="391">
        <f t="shared" si="19"/>
        <v>100</v>
      </c>
      <c r="S106" s="389"/>
      <c r="T106" s="390"/>
      <c r="U106" s="390"/>
      <c r="V106" s="390"/>
      <c r="W106" s="390">
        <f t="shared" ref="W106:W142" si="29">M106+P106</f>
        <v>100</v>
      </c>
      <c r="X106" s="390"/>
      <c r="Y106" s="391">
        <f t="shared" si="20"/>
        <v>100</v>
      </c>
    </row>
    <row r="107" spans="1:25" s="58" customFormat="1" x14ac:dyDescent="0.35">
      <c r="A107" s="390" t="s">
        <v>2364</v>
      </c>
      <c r="B107" s="390" t="str">
        <f>VLOOKUP(A107,TaskValues_ref!E:F,2,FALSE)</f>
        <v>Uncomplicated malaria in adults</v>
      </c>
      <c r="C107" s="390">
        <v>100</v>
      </c>
      <c r="D107" s="390"/>
      <c r="E107" s="391">
        <f t="shared" si="28"/>
        <v>100</v>
      </c>
      <c r="F107" s="389"/>
      <c r="G107" s="390"/>
      <c r="H107" s="390">
        <v>100</v>
      </c>
      <c r="I107" s="390"/>
      <c r="J107" s="391">
        <f t="shared" si="18"/>
        <v>100</v>
      </c>
      <c r="K107" s="389"/>
      <c r="L107" s="390"/>
      <c r="M107" s="390">
        <v>50</v>
      </c>
      <c r="N107" s="390">
        <v>50</v>
      </c>
      <c r="O107" s="390"/>
      <c r="P107" s="390"/>
      <c r="Q107" s="390"/>
      <c r="R107" s="391">
        <f t="shared" si="19"/>
        <v>100</v>
      </c>
      <c r="S107" s="389"/>
      <c r="T107" s="390"/>
      <c r="U107" s="390">
        <v>100</v>
      </c>
      <c r="V107" s="390"/>
      <c r="W107" s="390"/>
      <c r="X107" s="390"/>
      <c r="Y107" s="391">
        <f t="shared" si="20"/>
        <v>100</v>
      </c>
    </row>
    <row r="108" spans="1:25" s="58" customFormat="1" x14ac:dyDescent="0.35">
      <c r="A108" s="390" t="s">
        <v>2365</v>
      </c>
      <c r="B108" s="390" t="str">
        <f>VLOOKUP(A108,TaskValues_ref!E:F,2,FALSE)</f>
        <v>Uncomplicated malaria in children</v>
      </c>
      <c r="C108" s="390">
        <v>100</v>
      </c>
      <c r="D108" s="390"/>
      <c r="E108" s="391">
        <f t="shared" si="28"/>
        <v>100</v>
      </c>
      <c r="F108" s="389"/>
      <c r="G108" s="390"/>
      <c r="H108" s="390">
        <v>100</v>
      </c>
      <c r="I108" s="390"/>
      <c r="J108" s="391">
        <f t="shared" si="18"/>
        <v>100</v>
      </c>
      <c r="K108" s="389"/>
      <c r="L108" s="390"/>
      <c r="M108" s="390">
        <v>50</v>
      </c>
      <c r="N108" s="390">
        <v>50</v>
      </c>
      <c r="O108" s="390"/>
      <c r="P108" s="390"/>
      <c r="Q108" s="390"/>
      <c r="R108" s="391">
        <f t="shared" si="19"/>
        <v>100</v>
      </c>
      <c r="S108" s="389"/>
      <c r="T108" s="390"/>
      <c r="U108" s="390">
        <v>100</v>
      </c>
      <c r="V108" s="390"/>
      <c r="W108" s="390"/>
      <c r="X108" s="390"/>
      <c r="Y108" s="391">
        <f t="shared" si="20"/>
        <v>100</v>
      </c>
    </row>
    <row r="109" spans="1:25" x14ac:dyDescent="0.35">
      <c r="A109" s="319" t="s">
        <v>2368</v>
      </c>
      <c r="B109" s="319" t="str">
        <f>VLOOKUP(A109,TaskValues_ref!E:F,2,FALSE)</f>
        <v>Testing non-malaria cases</v>
      </c>
      <c r="C109" s="390">
        <v>100</v>
      </c>
      <c r="D109" s="390"/>
      <c r="E109" s="391">
        <f t="shared" si="28"/>
        <v>100</v>
      </c>
      <c r="F109" s="389"/>
      <c r="G109" s="390"/>
      <c r="H109" s="390">
        <v>100</v>
      </c>
      <c r="I109" s="390"/>
      <c r="J109" s="391">
        <f t="shared" ref="J109" si="30">SUM(F109:I109)</f>
        <v>100</v>
      </c>
      <c r="K109" s="389"/>
      <c r="L109" s="390"/>
      <c r="M109" s="390">
        <v>50</v>
      </c>
      <c r="N109" s="390">
        <v>50</v>
      </c>
      <c r="O109" s="390"/>
      <c r="P109" s="390"/>
      <c r="Q109" s="390"/>
      <c r="R109" s="391">
        <f t="shared" ref="R109" si="31">SUM(K109:Q109)</f>
        <v>100</v>
      </c>
      <c r="S109" s="389"/>
      <c r="T109" s="390"/>
      <c r="U109" s="390">
        <v>100</v>
      </c>
      <c r="V109" s="390"/>
      <c r="W109" s="390"/>
      <c r="X109" s="390"/>
      <c r="Y109" s="391">
        <f t="shared" ref="Y109" si="32">SUM(S109:X109)</f>
        <v>100</v>
      </c>
    </row>
    <row r="110" spans="1:25" s="58" customFormat="1" x14ac:dyDescent="0.35">
      <c r="A110" s="390" t="s">
        <v>2366</v>
      </c>
      <c r="B110" s="390" t="str">
        <f>VLOOKUP(A110,TaskValues_ref!E:F,2,FALSE)</f>
        <v>Severe malaria in adults</v>
      </c>
      <c r="C110" s="390">
        <v>100</v>
      </c>
      <c r="D110" s="390"/>
      <c r="E110" s="391">
        <f t="shared" si="28"/>
        <v>100</v>
      </c>
      <c r="F110" s="389"/>
      <c r="G110" s="390">
        <v>100</v>
      </c>
      <c r="H110" s="390"/>
      <c r="I110" s="390"/>
      <c r="J110" s="391">
        <f t="shared" si="18"/>
        <v>100</v>
      </c>
      <c r="K110" s="389"/>
      <c r="L110" s="390">
        <v>50</v>
      </c>
      <c r="M110" s="390"/>
      <c r="N110" s="390"/>
      <c r="O110" s="390">
        <v>50</v>
      </c>
      <c r="P110" s="390"/>
      <c r="Q110" s="390"/>
      <c r="R110" s="391">
        <f t="shared" si="19"/>
        <v>100</v>
      </c>
      <c r="S110" s="389"/>
      <c r="T110" s="390">
        <v>50</v>
      </c>
      <c r="U110" s="390"/>
      <c r="V110" s="390">
        <v>50</v>
      </c>
      <c r="W110" s="390"/>
      <c r="X110" s="390"/>
      <c r="Y110" s="391">
        <f t="shared" si="20"/>
        <v>100</v>
      </c>
    </row>
    <row r="111" spans="1:25" s="58" customFormat="1" x14ac:dyDescent="0.35">
      <c r="A111" s="390" t="s">
        <v>2367</v>
      </c>
      <c r="B111" s="390" t="str">
        <f>VLOOKUP(A111,TaskValues_ref!E:F,2,FALSE)</f>
        <v>Severe malaria in children</v>
      </c>
      <c r="C111" s="390">
        <v>100</v>
      </c>
      <c r="D111" s="390"/>
      <c r="E111" s="391">
        <f t="shared" si="28"/>
        <v>100</v>
      </c>
      <c r="F111" s="389"/>
      <c r="G111" s="390">
        <v>100</v>
      </c>
      <c r="H111" s="390"/>
      <c r="I111" s="390"/>
      <c r="J111" s="391">
        <f t="shared" si="18"/>
        <v>100</v>
      </c>
      <c r="K111" s="389"/>
      <c r="L111" s="390">
        <v>50</v>
      </c>
      <c r="M111" s="390"/>
      <c r="N111" s="390"/>
      <c r="O111" s="390">
        <v>50</v>
      </c>
      <c r="P111" s="390"/>
      <c r="Q111" s="390"/>
      <c r="R111" s="391">
        <f t="shared" si="19"/>
        <v>100</v>
      </c>
      <c r="S111" s="389"/>
      <c r="T111" s="390">
        <v>50</v>
      </c>
      <c r="U111" s="390"/>
      <c r="V111" s="390">
        <v>50</v>
      </c>
      <c r="W111" s="390"/>
      <c r="X111" s="390"/>
      <c r="Y111" s="391">
        <f t="shared" si="20"/>
        <v>100</v>
      </c>
    </row>
    <row r="112" spans="1:25" s="58" customFormat="1" x14ac:dyDescent="0.35">
      <c r="A112" s="390" t="s">
        <v>2709</v>
      </c>
      <c r="B112" s="390" t="str">
        <f>VLOOKUP(A112,TaskValues_ref!E:F,2,FALSE)</f>
        <v>Malaria surveillance</v>
      </c>
      <c r="C112" s="390">
        <v>100</v>
      </c>
      <c r="D112" s="390"/>
      <c r="E112" s="391">
        <f t="shared" si="28"/>
        <v>100</v>
      </c>
      <c r="F112" s="389"/>
      <c r="G112" s="390"/>
      <c r="H112" s="390">
        <v>100</v>
      </c>
      <c r="I112" s="390"/>
      <c r="J112" s="391">
        <f t="shared" si="18"/>
        <v>100</v>
      </c>
      <c r="K112" s="389"/>
      <c r="L112" s="390"/>
      <c r="M112" s="390">
        <v>50</v>
      </c>
      <c r="N112" s="390">
        <v>50</v>
      </c>
      <c r="O112" s="390"/>
      <c r="P112" s="390"/>
      <c r="Q112" s="390"/>
      <c r="R112" s="391">
        <f t="shared" si="19"/>
        <v>100</v>
      </c>
      <c r="S112" s="389"/>
      <c r="T112" s="390"/>
      <c r="U112" s="390">
        <v>100</v>
      </c>
      <c r="V112" s="390"/>
      <c r="W112" s="390"/>
      <c r="X112" s="390"/>
      <c r="Y112" s="391">
        <f t="shared" si="20"/>
        <v>100</v>
      </c>
    </row>
    <row r="113" spans="1:25" x14ac:dyDescent="0.35">
      <c r="A113" s="319" t="s">
        <v>2710</v>
      </c>
      <c r="B113" s="319" t="str">
        <f>VLOOKUP(A113,TaskValues_ref!E:F,2,FALSE)</f>
        <v>Risk reduction</v>
      </c>
      <c r="C113" s="390">
        <v>100</v>
      </c>
      <c r="D113" s="390"/>
      <c r="E113" s="391">
        <f t="shared" si="28"/>
        <v>100</v>
      </c>
      <c r="F113" s="389"/>
      <c r="G113" s="390"/>
      <c r="H113" s="390">
        <v>100</v>
      </c>
      <c r="I113" s="390"/>
      <c r="J113" s="391">
        <f t="shared" ref="J113" si="33">SUM(F113:I113)</f>
        <v>100</v>
      </c>
      <c r="K113" s="389"/>
      <c r="L113" s="390"/>
      <c r="M113" s="390"/>
      <c r="N113" s="390"/>
      <c r="O113" s="390"/>
      <c r="P113" s="390">
        <v>100</v>
      </c>
      <c r="Q113" s="390"/>
      <c r="R113" s="391">
        <f t="shared" ref="R113" si="34">SUM(K113:Q113)</f>
        <v>100</v>
      </c>
      <c r="S113" s="389"/>
      <c r="T113" s="390"/>
      <c r="U113" s="390"/>
      <c r="V113" s="390"/>
      <c r="W113" s="390">
        <v>100</v>
      </c>
      <c r="X113" s="390"/>
      <c r="Y113" s="391">
        <f t="shared" ref="Y113" si="35">SUM(S113:X113)</f>
        <v>100</v>
      </c>
    </row>
    <row r="114" spans="1:25" x14ac:dyDescent="0.35">
      <c r="A114" s="319" t="s">
        <v>2711</v>
      </c>
      <c r="B114" s="319" t="str">
        <f>VLOOKUP(A114,TaskValues_ref!E:F,2,FALSE)</f>
        <v>Outbreak detection &amp; response</v>
      </c>
      <c r="C114" s="390">
        <v>100</v>
      </c>
      <c r="D114" s="390"/>
      <c r="E114" s="391">
        <f t="shared" si="28"/>
        <v>100</v>
      </c>
      <c r="F114" s="389"/>
      <c r="G114" s="390"/>
      <c r="H114" s="390">
        <v>100</v>
      </c>
      <c r="I114" s="390"/>
      <c r="J114" s="391">
        <f t="shared" ref="J114" si="36">SUM(F114:I114)</f>
        <v>100</v>
      </c>
      <c r="K114" s="389"/>
      <c r="L114" s="390"/>
      <c r="M114" s="390"/>
      <c r="N114" s="390"/>
      <c r="O114" s="390"/>
      <c r="P114" s="390">
        <v>100</v>
      </c>
      <c r="Q114" s="390"/>
      <c r="R114" s="391">
        <f t="shared" ref="R114" si="37">SUM(K114:Q114)</f>
        <v>100</v>
      </c>
      <c r="S114" s="389"/>
      <c r="T114" s="390"/>
      <c r="U114" s="390"/>
      <c r="V114" s="390"/>
      <c r="W114" s="390">
        <v>100</v>
      </c>
      <c r="X114" s="390"/>
      <c r="Y114" s="391">
        <f t="shared" ref="Y114" si="38">SUM(S114:X114)</f>
        <v>100</v>
      </c>
    </row>
    <row r="115" spans="1:25" s="58" customFormat="1" x14ac:dyDescent="0.35">
      <c r="A115" s="390" t="s">
        <v>2383</v>
      </c>
      <c r="B115" s="390" t="str">
        <f>VLOOKUP(A115,TaskValues_ref!E:F,2,FALSE)</f>
        <v>Testing</v>
      </c>
      <c r="C115" s="390">
        <v>100</v>
      </c>
      <c r="D115" s="390"/>
      <c r="E115" s="391">
        <f t="shared" si="28"/>
        <v>100</v>
      </c>
      <c r="F115" s="389"/>
      <c r="G115" s="392">
        <v>50</v>
      </c>
      <c r="H115" s="390">
        <v>50</v>
      </c>
      <c r="I115" s="390"/>
      <c r="J115" s="391">
        <f t="shared" si="18"/>
        <v>100</v>
      </c>
      <c r="K115" s="389"/>
      <c r="L115" s="392"/>
      <c r="M115" s="390"/>
      <c r="N115" s="390">
        <v>100</v>
      </c>
      <c r="O115" s="390"/>
      <c r="P115" s="390"/>
      <c r="Q115" s="390"/>
      <c r="R115" s="391">
        <f t="shared" si="19"/>
        <v>100</v>
      </c>
      <c r="S115" s="389"/>
      <c r="T115" s="392"/>
      <c r="U115" s="390">
        <v>100</v>
      </c>
      <c r="V115" s="390"/>
      <c r="W115" s="390">
        <f t="shared" si="29"/>
        <v>0</v>
      </c>
      <c r="X115" s="390"/>
      <c r="Y115" s="391">
        <f t="shared" si="20"/>
        <v>100</v>
      </c>
    </row>
    <row r="116" spans="1:25" s="58" customFormat="1" x14ac:dyDescent="0.35">
      <c r="A116" s="390" t="s">
        <v>2384</v>
      </c>
      <c r="B116" s="390" t="str">
        <f>VLOOKUP(A116,TaskValues_ref!E:F,2,FALSE)</f>
        <v>Follow-up and linkage for positives</v>
      </c>
      <c r="C116" s="390">
        <v>100</v>
      </c>
      <c r="D116" s="390"/>
      <c r="E116" s="391">
        <f t="shared" si="28"/>
        <v>100</v>
      </c>
      <c r="F116" s="389"/>
      <c r="G116" s="390"/>
      <c r="H116" s="390">
        <v>100</v>
      </c>
      <c r="I116" s="390"/>
      <c r="J116" s="391">
        <f t="shared" si="18"/>
        <v>100</v>
      </c>
      <c r="K116" s="389"/>
      <c r="L116" s="390"/>
      <c r="M116" s="390">
        <v>50</v>
      </c>
      <c r="N116" s="390">
        <v>50</v>
      </c>
      <c r="O116" s="390"/>
      <c r="P116" s="390"/>
      <c r="Q116" s="390"/>
      <c r="R116" s="391">
        <f t="shared" si="19"/>
        <v>100</v>
      </c>
      <c r="S116" s="389"/>
      <c r="T116" s="390"/>
      <c r="U116" s="390">
        <v>100</v>
      </c>
      <c r="V116" s="390"/>
      <c r="W116" s="390"/>
      <c r="X116" s="390"/>
      <c r="Y116" s="391">
        <f t="shared" si="20"/>
        <v>100</v>
      </c>
    </row>
    <row r="117" spans="1:25" x14ac:dyDescent="0.35">
      <c r="A117" s="319" t="s">
        <v>2712</v>
      </c>
      <c r="B117" s="319" t="str">
        <f>VLOOKUP(A117,TaskValues_ref!E:F,2,FALSE)</f>
        <v>Treatment (DOT)</v>
      </c>
      <c r="C117" s="390">
        <v>100</v>
      </c>
      <c r="D117" s="390"/>
      <c r="E117" s="391">
        <f t="shared" si="28"/>
        <v>100</v>
      </c>
      <c r="F117" s="389"/>
      <c r="G117" s="390"/>
      <c r="H117" s="390">
        <v>100</v>
      </c>
      <c r="I117" s="390"/>
      <c r="J117" s="391">
        <f t="shared" ref="J117:J118" si="39">SUM(F117:I117)</f>
        <v>100</v>
      </c>
      <c r="K117" s="389"/>
      <c r="L117" s="390"/>
      <c r="M117" s="390">
        <v>50</v>
      </c>
      <c r="N117" s="390">
        <v>50</v>
      </c>
      <c r="O117" s="390"/>
      <c r="P117" s="390"/>
      <c r="Q117" s="390"/>
      <c r="R117" s="391">
        <f t="shared" ref="R117:R118" si="40">SUM(K117:Q117)</f>
        <v>100</v>
      </c>
      <c r="S117" s="389"/>
      <c r="T117" s="390"/>
      <c r="U117" s="390">
        <v>100</v>
      </c>
      <c r="V117" s="390"/>
      <c r="W117" s="390"/>
      <c r="X117" s="390"/>
      <c r="Y117" s="391">
        <f t="shared" ref="Y117:Y118" si="41">SUM(S117:X117)</f>
        <v>100</v>
      </c>
    </row>
    <row r="118" spans="1:25" x14ac:dyDescent="0.35">
      <c r="A118" s="319" t="s">
        <v>2713</v>
      </c>
      <c r="B118" s="319" t="str">
        <f>VLOOKUP(A118,TaskValues_ref!E:F,2,FALSE)</f>
        <v>HIV prevention for TB patients</v>
      </c>
      <c r="C118" s="390">
        <v>100</v>
      </c>
      <c r="D118" s="390"/>
      <c r="E118" s="391">
        <f t="shared" si="28"/>
        <v>100</v>
      </c>
      <c r="F118" s="389"/>
      <c r="G118" s="390"/>
      <c r="H118" s="390">
        <v>100</v>
      </c>
      <c r="I118" s="390"/>
      <c r="J118" s="391">
        <f t="shared" si="39"/>
        <v>100</v>
      </c>
      <c r="K118" s="389"/>
      <c r="L118" s="390"/>
      <c r="M118" s="390">
        <v>50</v>
      </c>
      <c r="N118" s="390">
        <v>50</v>
      </c>
      <c r="O118" s="390"/>
      <c r="P118" s="390"/>
      <c r="Q118" s="390"/>
      <c r="R118" s="391">
        <f t="shared" si="40"/>
        <v>100</v>
      </c>
      <c r="S118" s="389"/>
      <c r="T118" s="390"/>
      <c r="U118" s="390">
        <v>100</v>
      </c>
      <c r="V118" s="390"/>
      <c r="W118" s="390"/>
      <c r="X118" s="390"/>
      <c r="Y118" s="391">
        <f t="shared" si="41"/>
        <v>100</v>
      </c>
    </row>
    <row r="119" spans="1:25" x14ac:dyDescent="0.35">
      <c r="A119" s="319" t="s">
        <v>2393</v>
      </c>
      <c r="B119" s="319" t="str">
        <f>VLOOKUP(A119,TaskValues_ref!E:F,2,FALSE)</f>
        <v>Promote protection from tobacco smoke</v>
      </c>
      <c r="C119" s="390">
        <v>100</v>
      </c>
      <c r="D119" s="390"/>
      <c r="E119" s="391">
        <f t="shared" si="28"/>
        <v>100</v>
      </c>
      <c r="F119" s="389"/>
      <c r="G119" s="390"/>
      <c r="H119" s="390">
        <v>100</v>
      </c>
      <c r="I119" s="390"/>
      <c r="J119" s="391">
        <f t="shared" si="18"/>
        <v>100</v>
      </c>
      <c r="K119" s="389"/>
      <c r="L119" s="390"/>
      <c r="M119" s="390">
        <v>50</v>
      </c>
      <c r="N119" s="390">
        <v>50</v>
      </c>
      <c r="O119" s="390"/>
      <c r="P119" s="390"/>
      <c r="Q119" s="390"/>
      <c r="R119" s="391">
        <f t="shared" si="19"/>
        <v>100</v>
      </c>
      <c r="S119" s="389"/>
      <c r="T119" s="390"/>
      <c r="U119" s="390">
        <v>100</v>
      </c>
      <c r="V119" s="390"/>
      <c r="W119" s="390"/>
      <c r="X119" s="390"/>
      <c r="Y119" s="391">
        <f t="shared" si="20"/>
        <v>100</v>
      </c>
    </row>
    <row r="120" spans="1:25" x14ac:dyDescent="0.35">
      <c r="A120" s="319" t="s">
        <v>2394</v>
      </c>
      <c r="B120" s="319" t="str">
        <f>VLOOKUP(A120,TaskValues_ref!E:F,2,FALSE)</f>
        <v>Campaigns re: alcohol use</v>
      </c>
      <c r="C120" s="390">
        <v>100</v>
      </c>
      <c r="D120" s="390"/>
      <c r="E120" s="391">
        <f t="shared" si="28"/>
        <v>100</v>
      </c>
      <c r="F120" s="389"/>
      <c r="G120" s="390"/>
      <c r="H120" s="390">
        <v>100</v>
      </c>
      <c r="I120" s="390"/>
      <c r="J120" s="391">
        <f t="shared" ref="J120:J122" si="42">SUM(F120:I120)</f>
        <v>100</v>
      </c>
      <c r="K120" s="389"/>
      <c r="L120" s="390"/>
      <c r="M120" s="390">
        <v>50</v>
      </c>
      <c r="N120" s="390">
        <v>50</v>
      </c>
      <c r="O120" s="390"/>
      <c r="P120" s="390"/>
      <c r="Q120" s="390"/>
      <c r="R120" s="391">
        <f t="shared" ref="R120:R122" si="43">SUM(K120:Q120)</f>
        <v>100</v>
      </c>
      <c r="S120" s="389"/>
      <c r="T120" s="390"/>
      <c r="U120" s="390">
        <v>100</v>
      </c>
      <c r="V120" s="390"/>
      <c r="W120" s="390"/>
      <c r="X120" s="390"/>
      <c r="Y120" s="391">
        <f t="shared" ref="Y120:Y122" si="44">SUM(S120:X120)</f>
        <v>100</v>
      </c>
    </row>
    <row r="121" spans="1:25" x14ac:dyDescent="0.35">
      <c r="A121" s="319" t="s">
        <v>2395</v>
      </c>
      <c r="B121" s="319" t="str">
        <f>VLOOKUP(A121,TaskValues_ref!E:F,2,FALSE)</f>
        <v>Community-level physical activity</v>
      </c>
      <c r="C121" s="390">
        <v>100</v>
      </c>
      <c r="D121" s="390"/>
      <c r="E121" s="391">
        <f t="shared" si="28"/>
        <v>100</v>
      </c>
      <c r="F121" s="389"/>
      <c r="G121" s="390"/>
      <c r="H121" s="390">
        <v>100</v>
      </c>
      <c r="I121" s="390"/>
      <c r="J121" s="391">
        <f t="shared" si="42"/>
        <v>100</v>
      </c>
      <c r="K121" s="389"/>
      <c r="L121" s="390"/>
      <c r="M121" s="390">
        <v>50</v>
      </c>
      <c r="N121" s="390">
        <v>50</v>
      </c>
      <c r="O121" s="390"/>
      <c r="P121" s="390"/>
      <c r="Q121" s="390"/>
      <c r="R121" s="391">
        <f t="shared" si="43"/>
        <v>100</v>
      </c>
      <c r="S121" s="389"/>
      <c r="T121" s="390"/>
      <c r="U121" s="390">
        <v>100</v>
      </c>
      <c r="V121" s="390"/>
      <c r="W121" s="390"/>
      <c r="X121" s="390"/>
      <c r="Y121" s="391">
        <f t="shared" si="44"/>
        <v>100</v>
      </c>
    </row>
    <row r="122" spans="1:25" x14ac:dyDescent="0.35">
      <c r="A122" s="319" t="s">
        <v>2714</v>
      </c>
      <c r="B122" s="319" t="str">
        <f>VLOOKUP(A122,TaskValues_ref!E:F,2,FALSE)</f>
        <v>Awareness on risk factors</v>
      </c>
      <c r="C122" s="390">
        <v>100</v>
      </c>
      <c r="D122" s="390"/>
      <c r="E122" s="391">
        <f t="shared" si="28"/>
        <v>100</v>
      </c>
      <c r="F122" s="389"/>
      <c r="G122" s="390"/>
      <c r="H122" s="390">
        <v>100</v>
      </c>
      <c r="I122" s="390"/>
      <c r="J122" s="391">
        <f t="shared" si="42"/>
        <v>100</v>
      </c>
      <c r="K122" s="389"/>
      <c r="L122" s="390"/>
      <c r="M122" s="390">
        <v>50</v>
      </c>
      <c r="N122" s="390">
        <v>50</v>
      </c>
      <c r="O122" s="390"/>
      <c r="P122" s="390"/>
      <c r="Q122" s="390"/>
      <c r="R122" s="391">
        <f t="shared" si="43"/>
        <v>100</v>
      </c>
      <c r="S122" s="389"/>
      <c r="T122" s="390"/>
      <c r="U122" s="390">
        <v>100</v>
      </c>
      <c r="V122" s="390"/>
      <c r="W122" s="390"/>
      <c r="X122" s="390"/>
      <c r="Y122" s="391">
        <f t="shared" si="44"/>
        <v>100</v>
      </c>
    </row>
    <row r="123" spans="1:25" s="58" customFormat="1" x14ac:dyDescent="0.35">
      <c r="A123" s="390" t="s">
        <v>2715</v>
      </c>
      <c r="B123" s="390" t="str">
        <f>VLOOKUP(A123,TaskValues_ref!E:F,2,FALSE)</f>
        <v>Screening for common cancers</v>
      </c>
      <c r="C123" s="390">
        <v>100</v>
      </c>
      <c r="D123" s="390"/>
      <c r="E123" s="391">
        <f t="shared" si="28"/>
        <v>100</v>
      </c>
      <c r="F123" s="389"/>
      <c r="G123" s="390">
        <v>100</v>
      </c>
      <c r="H123" s="390"/>
      <c r="I123" s="390"/>
      <c r="J123" s="391">
        <f t="shared" si="18"/>
        <v>100</v>
      </c>
      <c r="K123" s="389"/>
      <c r="L123" s="390"/>
      <c r="M123" s="390"/>
      <c r="N123" s="390"/>
      <c r="O123" s="390">
        <v>100</v>
      </c>
      <c r="P123" s="390"/>
      <c r="Q123" s="390"/>
      <c r="R123" s="391">
        <f t="shared" si="19"/>
        <v>100</v>
      </c>
      <c r="S123" s="389"/>
      <c r="T123" s="390"/>
      <c r="U123" s="390"/>
      <c r="V123" s="390">
        <v>100</v>
      </c>
      <c r="W123" s="390"/>
      <c r="X123" s="390"/>
      <c r="Y123" s="391">
        <f t="shared" si="20"/>
        <v>100</v>
      </c>
    </row>
    <row r="124" spans="1:25" s="58" customFormat="1" x14ac:dyDescent="0.35">
      <c r="A124" s="390" t="s">
        <v>2716</v>
      </c>
      <c r="B124" s="390" t="str">
        <f>VLOOKUP(A124,TaskValues_ref!E:F,2,FALSE)</f>
        <v>Breast cancer education</v>
      </c>
      <c r="C124" s="390">
        <v>100</v>
      </c>
      <c r="D124" s="390"/>
      <c r="E124" s="391">
        <f t="shared" si="28"/>
        <v>100</v>
      </c>
      <c r="F124" s="389"/>
      <c r="G124" s="390">
        <v>100</v>
      </c>
      <c r="H124" s="390"/>
      <c r="I124" s="390"/>
      <c r="J124" s="391">
        <f t="shared" si="18"/>
        <v>100</v>
      </c>
      <c r="K124" s="389"/>
      <c r="L124" s="390"/>
      <c r="M124" s="390"/>
      <c r="N124" s="390"/>
      <c r="O124" s="390">
        <v>100</v>
      </c>
      <c r="P124" s="390"/>
      <c r="Q124" s="390"/>
      <c r="R124" s="391">
        <f t="shared" si="19"/>
        <v>100</v>
      </c>
      <c r="S124" s="389"/>
      <c r="T124" s="390"/>
      <c r="U124" s="390"/>
      <c r="V124" s="390">
        <v>100</v>
      </c>
      <c r="W124" s="390"/>
      <c r="X124" s="390"/>
      <c r="Y124" s="391">
        <f t="shared" si="20"/>
        <v>100</v>
      </c>
    </row>
    <row r="125" spans="1:25" s="58" customFormat="1" x14ac:dyDescent="0.35">
      <c r="A125" s="390" t="s">
        <v>2717</v>
      </c>
      <c r="B125" s="390" t="str">
        <f>VLOOKUP(A125,TaskValues_ref!E:F,2,FALSE)</f>
        <v>Clinical breast exams</v>
      </c>
      <c r="C125" s="390">
        <v>100</v>
      </c>
      <c r="D125" s="390"/>
      <c r="E125" s="391">
        <f t="shared" si="28"/>
        <v>100</v>
      </c>
      <c r="F125" s="389"/>
      <c r="G125" s="390">
        <v>100</v>
      </c>
      <c r="H125" s="390"/>
      <c r="I125" s="390"/>
      <c r="J125" s="391">
        <f t="shared" si="18"/>
        <v>100</v>
      </c>
      <c r="K125" s="389"/>
      <c r="L125" s="390"/>
      <c r="M125" s="390"/>
      <c r="N125" s="390"/>
      <c r="O125" s="390">
        <v>100</v>
      </c>
      <c r="P125" s="390"/>
      <c r="Q125" s="390"/>
      <c r="R125" s="391">
        <f t="shared" si="19"/>
        <v>100</v>
      </c>
      <c r="S125" s="389"/>
      <c r="T125" s="390"/>
      <c r="U125" s="390"/>
      <c r="V125" s="390">
        <v>100</v>
      </c>
      <c r="W125" s="390"/>
      <c r="X125" s="390"/>
      <c r="Y125" s="391">
        <f t="shared" si="20"/>
        <v>100</v>
      </c>
    </row>
    <row r="126" spans="1:25" s="58" customFormat="1" x14ac:dyDescent="0.35">
      <c r="A126" s="390" t="s">
        <v>2718</v>
      </c>
      <c r="B126" s="390" t="str">
        <f>VLOOKUP(A126,TaskValues_ref!E:F,2,FALSE)</f>
        <v>Palliative care for cancer</v>
      </c>
      <c r="C126" s="390">
        <v>100</v>
      </c>
      <c r="D126" s="390"/>
      <c r="E126" s="391">
        <f t="shared" si="28"/>
        <v>100</v>
      </c>
      <c r="F126" s="389"/>
      <c r="G126" s="390">
        <v>100</v>
      </c>
      <c r="H126" s="390"/>
      <c r="I126" s="390"/>
      <c r="J126" s="391">
        <f t="shared" si="18"/>
        <v>100</v>
      </c>
      <c r="K126" s="389"/>
      <c r="L126" s="390"/>
      <c r="M126" s="390"/>
      <c r="N126" s="390"/>
      <c r="O126" s="390">
        <v>100</v>
      </c>
      <c r="P126" s="390"/>
      <c r="Q126" s="390"/>
      <c r="R126" s="391">
        <f t="shared" si="19"/>
        <v>100</v>
      </c>
      <c r="S126" s="389"/>
      <c r="T126" s="390"/>
      <c r="U126" s="390"/>
      <c r="V126" s="390">
        <v>100</v>
      </c>
      <c r="W126" s="390"/>
      <c r="X126" s="390"/>
      <c r="Y126" s="391">
        <f t="shared" si="20"/>
        <v>100</v>
      </c>
    </row>
    <row r="127" spans="1:25" s="58" customFormat="1" x14ac:dyDescent="0.35">
      <c r="A127" s="390" t="s">
        <v>2719</v>
      </c>
      <c r="B127" s="390" t="str">
        <f>VLOOKUP(A127,TaskValues_ref!E:F,2,FALSE)</f>
        <v>Lifestyle counseling</v>
      </c>
      <c r="C127" s="390">
        <v>100</v>
      </c>
      <c r="D127" s="390"/>
      <c r="E127" s="391">
        <f t="shared" si="28"/>
        <v>100</v>
      </c>
      <c r="F127" s="389"/>
      <c r="G127" s="390">
        <v>100</v>
      </c>
      <c r="H127" s="390"/>
      <c r="I127" s="390"/>
      <c r="J127" s="391">
        <f t="shared" si="18"/>
        <v>100</v>
      </c>
      <c r="K127" s="389"/>
      <c r="L127" s="390"/>
      <c r="M127" s="390"/>
      <c r="N127" s="390"/>
      <c r="O127" s="390">
        <v>100</v>
      </c>
      <c r="P127" s="390"/>
      <c r="Q127" s="390"/>
      <c r="R127" s="391">
        <f t="shared" si="19"/>
        <v>100</v>
      </c>
      <c r="S127" s="389"/>
      <c r="T127" s="390"/>
      <c r="U127" s="390"/>
      <c r="V127" s="390">
        <v>100</v>
      </c>
      <c r="W127" s="390"/>
      <c r="X127" s="390"/>
      <c r="Y127" s="391">
        <f t="shared" si="20"/>
        <v>100</v>
      </c>
    </row>
    <row r="128" spans="1:25" x14ac:dyDescent="0.35">
      <c r="A128" s="319" t="s">
        <v>2720</v>
      </c>
      <c r="B128" s="319" t="str">
        <f>VLOOKUP(A128,TaskValues_ref!E:F,2,FALSE)</f>
        <v>Hypertension screening</v>
      </c>
      <c r="C128" s="390">
        <v>100</v>
      </c>
      <c r="D128" s="390"/>
      <c r="E128" s="391">
        <f t="shared" si="28"/>
        <v>100</v>
      </c>
      <c r="F128" s="389"/>
      <c r="G128" s="392">
        <v>100</v>
      </c>
      <c r="H128" s="390"/>
      <c r="I128" s="390"/>
      <c r="J128" s="391">
        <f t="shared" si="18"/>
        <v>100</v>
      </c>
      <c r="K128" s="389"/>
      <c r="L128" s="392"/>
      <c r="M128" s="390"/>
      <c r="N128" s="390"/>
      <c r="O128" s="392">
        <v>100</v>
      </c>
      <c r="P128" s="390"/>
      <c r="Q128" s="390"/>
      <c r="R128" s="391">
        <f t="shared" si="19"/>
        <v>100</v>
      </c>
      <c r="S128" s="389"/>
      <c r="T128" s="392"/>
      <c r="U128" s="390"/>
      <c r="V128" s="390">
        <v>100</v>
      </c>
      <c r="W128" s="390"/>
      <c r="X128" s="390"/>
      <c r="Y128" s="391">
        <f t="shared" si="20"/>
        <v>100</v>
      </c>
    </row>
    <row r="129" spans="1:25" x14ac:dyDescent="0.35">
      <c r="A129" s="319" t="s">
        <v>2721</v>
      </c>
      <c r="B129" s="319" t="str">
        <f>VLOOKUP(A129,TaskValues_ref!E:F,2,FALSE)</f>
        <v>Hypertension routine care</v>
      </c>
      <c r="C129" s="390">
        <v>100</v>
      </c>
      <c r="D129" s="390"/>
      <c r="E129" s="391">
        <f t="shared" si="28"/>
        <v>100</v>
      </c>
      <c r="F129" s="389"/>
      <c r="G129" s="392">
        <v>100</v>
      </c>
      <c r="H129" s="390"/>
      <c r="I129" s="390"/>
      <c r="J129" s="391">
        <f t="shared" ref="J129:J132" si="45">SUM(F129:I129)</f>
        <v>100</v>
      </c>
      <c r="K129" s="389"/>
      <c r="L129" s="392"/>
      <c r="M129" s="390"/>
      <c r="N129" s="390"/>
      <c r="O129" s="392">
        <v>100</v>
      </c>
      <c r="P129" s="390"/>
      <c r="Q129" s="390"/>
      <c r="R129" s="391">
        <f t="shared" ref="R129:R132" si="46">SUM(K129:Q129)</f>
        <v>100</v>
      </c>
      <c r="S129" s="389"/>
      <c r="T129" s="392"/>
      <c r="U129" s="390"/>
      <c r="V129" s="390">
        <v>100</v>
      </c>
      <c r="W129" s="390"/>
      <c r="X129" s="390"/>
      <c r="Y129" s="391">
        <f t="shared" ref="Y129:Y132" si="47">SUM(S129:X129)</f>
        <v>100</v>
      </c>
    </row>
    <row r="130" spans="1:25" x14ac:dyDescent="0.35">
      <c r="A130" s="319" t="s">
        <v>2722</v>
      </c>
      <c r="B130" s="319" t="str">
        <f>VLOOKUP(A130,TaskValues_ref!E:F,2,FALSE)</f>
        <v>Lifestyle counseling</v>
      </c>
      <c r="C130" s="390">
        <v>100</v>
      </c>
      <c r="D130" s="390"/>
      <c r="E130" s="391">
        <f t="shared" ref="E130:E161" si="48">SUM(C130:D130)</f>
        <v>100</v>
      </c>
      <c r="F130" s="389"/>
      <c r="G130" s="392">
        <v>100</v>
      </c>
      <c r="H130" s="390"/>
      <c r="I130" s="390"/>
      <c r="J130" s="391">
        <f t="shared" si="45"/>
        <v>100</v>
      </c>
      <c r="K130" s="389"/>
      <c r="L130" s="392"/>
      <c r="M130" s="390"/>
      <c r="N130" s="390"/>
      <c r="O130" s="392">
        <v>100</v>
      </c>
      <c r="P130" s="390"/>
      <c r="Q130" s="390"/>
      <c r="R130" s="391">
        <f t="shared" si="46"/>
        <v>100</v>
      </c>
      <c r="S130" s="389"/>
      <c r="T130" s="392"/>
      <c r="U130" s="390"/>
      <c r="V130" s="390">
        <v>100</v>
      </c>
      <c r="W130" s="390"/>
      <c r="X130" s="390"/>
      <c r="Y130" s="391">
        <f t="shared" si="47"/>
        <v>100</v>
      </c>
    </row>
    <row r="131" spans="1:25" x14ac:dyDescent="0.35">
      <c r="A131" s="319" t="s">
        <v>2723</v>
      </c>
      <c r="B131" s="319" t="str">
        <f>VLOOKUP(A131,TaskValues_ref!E:F,2,FALSE)</f>
        <v>Screening for type 2 diabetes</v>
      </c>
      <c r="C131" s="390">
        <v>100</v>
      </c>
      <c r="D131" s="390"/>
      <c r="E131" s="391">
        <f t="shared" si="48"/>
        <v>100</v>
      </c>
      <c r="F131" s="389"/>
      <c r="G131" s="392">
        <v>100</v>
      </c>
      <c r="H131" s="390"/>
      <c r="I131" s="390"/>
      <c r="J131" s="391">
        <f t="shared" si="45"/>
        <v>100</v>
      </c>
      <c r="K131" s="389"/>
      <c r="L131" s="392"/>
      <c r="M131" s="390"/>
      <c r="N131" s="390"/>
      <c r="O131" s="392">
        <v>100</v>
      </c>
      <c r="P131" s="390"/>
      <c r="Q131" s="390"/>
      <c r="R131" s="391">
        <f t="shared" si="46"/>
        <v>100</v>
      </c>
      <c r="S131" s="389"/>
      <c r="T131" s="392"/>
      <c r="U131" s="390"/>
      <c r="V131" s="390">
        <v>100</v>
      </c>
      <c r="W131" s="390"/>
      <c r="X131" s="390"/>
      <c r="Y131" s="391">
        <f t="shared" si="47"/>
        <v>100</v>
      </c>
    </row>
    <row r="132" spans="1:25" x14ac:dyDescent="0.35">
      <c r="A132" s="319" t="s">
        <v>2724</v>
      </c>
      <c r="B132" s="319" t="str">
        <f>VLOOKUP(A132,TaskValues_ref!E:F,2,FALSE)</f>
        <v>Diabetes routine care</v>
      </c>
      <c r="C132" s="390">
        <v>100</v>
      </c>
      <c r="D132" s="390"/>
      <c r="E132" s="391">
        <f t="shared" si="48"/>
        <v>100</v>
      </c>
      <c r="F132" s="389"/>
      <c r="G132" s="392">
        <v>100</v>
      </c>
      <c r="H132" s="390"/>
      <c r="I132" s="390"/>
      <c r="J132" s="391">
        <f t="shared" si="45"/>
        <v>100</v>
      </c>
      <c r="K132" s="389"/>
      <c r="L132" s="392"/>
      <c r="M132" s="390"/>
      <c r="N132" s="390"/>
      <c r="O132" s="392">
        <v>100</v>
      </c>
      <c r="P132" s="390"/>
      <c r="Q132" s="390"/>
      <c r="R132" s="391">
        <f t="shared" si="46"/>
        <v>100</v>
      </c>
      <c r="S132" s="389"/>
      <c r="T132" s="392"/>
      <c r="U132" s="390"/>
      <c r="V132" s="390">
        <v>100</v>
      </c>
      <c r="W132" s="390"/>
      <c r="X132" s="390"/>
      <c r="Y132" s="391">
        <f t="shared" si="47"/>
        <v>100</v>
      </c>
    </row>
    <row r="133" spans="1:25" x14ac:dyDescent="0.35">
      <c r="A133" s="319" t="s">
        <v>2725</v>
      </c>
      <c r="B133" s="319" t="str">
        <f>VLOOKUP(A133,TaskValues_ref!E:F,2,FALSE)</f>
        <v>Smoking cessation</v>
      </c>
      <c r="C133" s="390">
        <v>100</v>
      </c>
      <c r="D133" s="390"/>
      <c r="E133" s="391">
        <f t="shared" si="48"/>
        <v>100</v>
      </c>
      <c r="F133" s="389"/>
      <c r="G133" s="390"/>
      <c r="H133" s="390">
        <v>100</v>
      </c>
      <c r="I133" s="390"/>
      <c r="J133" s="391">
        <f t="shared" ref="J133:J176" si="49">SUM(F133:I133)</f>
        <v>100</v>
      </c>
      <c r="K133" s="389"/>
      <c r="L133" s="390"/>
      <c r="M133" s="390">
        <v>50</v>
      </c>
      <c r="N133" s="390">
        <v>50</v>
      </c>
      <c r="O133" s="390"/>
      <c r="P133" s="390"/>
      <c r="Q133" s="390"/>
      <c r="R133" s="391">
        <f t="shared" ref="R133:R175" si="50">SUM(K133:Q133)</f>
        <v>100</v>
      </c>
      <c r="S133" s="389"/>
      <c r="T133" s="390"/>
      <c r="U133" s="390">
        <v>100</v>
      </c>
      <c r="V133" s="390"/>
      <c r="W133" s="390"/>
      <c r="X133" s="390"/>
      <c r="Y133" s="391">
        <f t="shared" ref="Y133:Y184" si="51">SUM(S133:X133)</f>
        <v>100</v>
      </c>
    </row>
    <row r="134" spans="1:25" x14ac:dyDescent="0.35">
      <c r="A134" s="319" t="s">
        <v>2726</v>
      </c>
      <c r="B134" s="319" t="str">
        <f>VLOOKUP(A134,TaskValues_ref!E:F,2,FALSE)</f>
        <v>Prevention of risk factors</v>
      </c>
      <c r="C134" s="390">
        <v>100</v>
      </c>
      <c r="D134" s="390"/>
      <c r="E134" s="391">
        <f t="shared" si="48"/>
        <v>100</v>
      </c>
      <c r="F134" s="389"/>
      <c r="G134" s="390"/>
      <c r="H134" s="390">
        <v>100</v>
      </c>
      <c r="I134" s="390"/>
      <c r="J134" s="391">
        <f t="shared" si="49"/>
        <v>100</v>
      </c>
      <c r="K134" s="389"/>
      <c r="L134" s="390"/>
      <c r="M134" s="390">
        <v>50</v>
      </c>
      <c r="N134" s="390">
        <v>50</v>
      </c>
      <c r="O134" s="390"/>
      <c r="P134" s="390"/>
      <c r="Q134" s="390"/>
      <c r="R134" s="391">
        <f t="shared" si="50"/>
        <v>100</v>
      </c>
      <c r="S134" s="389"/>
      <c r="T134" s="390"/>
      <c r="U134" s="390">
        <v>100</v>
      </c>
      <c r="V134" s="390"/>
      <c r="W134" s="390"/>
      <c r="X134" s="390"/>
      <c r="Y134" s="391">
        <f t="shared" si="51"/>
        <v>100</v>
      </c>
    </row>
    <row r="135" spans="1:25" x14ac:dyDescent="0.35">
      <c r="A135" s="319" t="s">
        <v>2727</v>
      </c>
      <c r="B135" s="319" t="str">
        <f>VLOOKUP(A135,TaskValues_ref!E:F,2,FALSE)</f>
        <v>Dx &amp; treat mild asthma</v>
      </c>
      <c r="C135" s="390">
        <v>100</v>
      </c>
      <c r="D135" s="390"/>
      <c r="E135" s="391">
        <f t="shared" si="48"/>
        <v>100</v>
      </c>
      <c r="F135" s="389"/>
      <c r="G135" s="392">
        <v>100</v>
      </c>
      <c r="H135" s="390"/>
      <c r="I135" s="390"/>
      <c r="J135" s="391">
        <f t="shared" si="49"/>
        <v>100</v>
      </c>
      <c r="K135" s="389"/>
      <c r="L135" s="392"/>
      <c r="M135" s="390"/>
      <c r="N135" s="390"/>
      <c r="O135" s="392">
        <v>100</v>
      </c>
      <c r="P135" s="390"/>
      <c r="Q135" s="390"/>
      <c r="R135" s="391">
        <f t="shared" si="50"/>
        <v>100</v>
      </c>
      <c r="S135" s="389"/>
      <c r="T135" s="392"/>
      <c r="U135" s="390"/>
      <c r="V135" s="390">
        <v>100</v>
      </c>
      <c r="W135" s="390"/>
      <c r="X135" s="390"/>
      <c r="Y135" s="391">
        <f t="shared" si="51"/>
        <v>100</v>
      </c>
    </row>
    <row r="136" spans="1:25" x14ac:dyDescent="0.35">
      <c r="A136" s="321" t="s">
        <v>2728</v>
      </c>
      <c r="B136" s="319" t="str">
        <f>VLOOKUP(A136,TaskValues_ref!E:F,2,FALSE)</f>
        <v>Dx &amp; refer severe asthma</v>
      </c>
      <c r="C136" s="390">
        <v>100</v>
      </c>
      <c r="D136" s="390"/>
      <c r="E136" s="391">
        <f t="shared" si="48"/>
        <v>100</v>
      </c>
      <c r="F136" s="389"/>
      <c r="G136" s="392">
        <v>100</v>
      </c>
      <c r="H136" s="390"/>
      <c r="I136" s="390"/>
      <c r="J136" s="391">
        <f t="shared" si="49"/>
        <v>100</v>
      </c>
      <c r="K136" s="389"/>
      <c r="L136" s="392"/>
      <c r="M136" s="390"/>
      <c r="N136" s="390"/>
      <c r="O136" s="392">
        <v>100</v>
      </c>
      <c r="P136" s="390"/>
      <c r="Q136" s="390"/>
      <c r="R136" s="391">
        <f t="shared" si="50"/>
        <v>100</v>
      </c>
      <c r="S136" s="389"/>
      <c r="T136" s="392"/>
      <c r="U136" s="390"/>
      <c r="V136" s="390">
        <v>100</v>
      </c>
      <c r="W136" s="390"/>
      <c r="X136" s="390"/>
      <c r="Y136" s="391">
        <f t="shared" si="51"/>
        <v>100</v>
      </c>
    </row>
    <row r="137" spans="1:25" x14ac:dyDescent="0.35">
      <c r="A137" s="319" t="s">
        <v>2453</v>
      </c>
      <c r="B137" s="319" t="str">
        <f>VLOOKUP(A137,TaskValues_ref!E:F,2,FALSE)</f>
        <v>Generate community awareness</v>
      </c>
      <c r="C137" s="390">
        <v>100</v>
      </c>
      <c r="D137" s="390"/>
      <c r="E137" s="391">
        <f t="shared" si="48"/>
        <v>100</v>
      </c>
      <c r="F137" s="389"/>
      <c r="G137" s="390"/>
      <c r="H137" s="390">
        <v>100</v>
      </c>
      <c r="I137" s="390"/>
      <c r="J137" s="391">
        <f t="shared" si="49"/>
        <v>100</v>
      </c>
      <c r="K137" s="389"/>
      <c r="L137" s="390"/>
      <c r="M137" s="390">
        <v>50</v>
      </c>
      <c r="N137" s="390">
        <v>50</v>
      </c>
      <c r="O137" s="390"/>
      <c r="P137" s="390"/>
      <c r="Q137" s="390"/>
      <c r="R137" s="391">
        <f t="shared" si="50"/>
        <v>100</v>
      </c>
      <c r="S137" s="389"/>
      <c r="T137" s="390"/>
      <c r="U137" s="390">
        <v>100</v>
      </c>
      <c r="V137" s="390"/>
      <c r="W137" s="390"/>
      <c r="X137" s="390"/>
      <c r="Y137" s="391">
        <f t="shared" si="51"/>
        <v>100</v>
      </c>
    </row>
    <row r="138" spans="1:25" x14ac:dyDescent="0.35">
      <c r="A138" s="319" t="s">
        <v>2454</v>
      </c>
      <c r="B138" s="319" t="str">
        <f>VLOOKUP(A138,TaskValues_ref!E:F,2,FALSE)</f>
        <v>Identify &amp; link to care</v>
      </c>
      <c r="C138" s="390">
        <v>100</v>
      </c>
      <c r="D138" s="390"/>
      <c r="E138" s="391">
        <f t="shared" si="48"/>
        <v>100</v>
      </c>
      <c r="F138" s="389"/>
      <c r="G138" s="392">
        <v>100</v>
      </c>
      <c r="H138" s="390"/>
      <c r="I138" s="390"/>
      <c r="J138" s="391">
        <f t="shared" si="49"/>
        <v>100</v>
      </c>
      <c r="K138" s="389"/>
      <c r="L138" s="392"/>
      <c r="M138" s="390"/>
      <c r="N138" s="390"/>
      <c r="O138" s="392">
        <v>100</v>
      </c>
      <c r="P138" s="390"/>
      <c r="Q138" s="390"/>
      <c r="R138" s="391">
        <f t="shared" si="50"/>
        <v>100</v>
      </c>
      <c r="S138" s="389"/>
      <c r="T138" s="392"/>
      <c r="U138" s="390"/>
      <c r="V138" s="390">
        <v>100</v>
      </c>
      <c r="W138" s="390"/>
      <c r="X138" s="390"/>
      <c r="Y138" s="391">
        <f t="shared" si="51"/>
        <v>100</v>
      </c>
    </row>
    <row r="139" spans="1:25" x14ac:dyDescent="0.35">
      <c r="A139" s="319" t="s">
        <v>2729</v>
      </c>
      <c r="B139" s="319" t="str">
        <f>VLOOKUP(A139,TaskValues_ref!E:F,2,FALSE)</f>
        <v>Workplace stress reduction</v>
      </c>
      <c r="C139" s="390">
        <v>100</v>
      </c>
      <c r="D139" s="390"/>
      <c r="E139" s="391">
        <f t="shared" si="48"/>
        <v>100</v>
      </c>
      <c r="F139" s="389"/>
      <c r="G139" s="390"/>
      <c r="H139" s="390">
        <v>100</v>
      </c>
      <c r="I139" s="390"/>
      <c r="J139" s="391">
        <f t="shared" si="49"/>
        <v>100</v>
      </c>
      <c r="K139" s="389"/>
      <c r="L139" s="390"/>
      <c r="M139" s="390">
        <v>50</v>
      </c>
      <c r="N139" s="390">
        <v>50</v>
      </c>
      <c r="O139" s="390"/>
      <c r="P139" s="390"/>
      <c r="Q139" s="390"/>
      <c r="R139" s="391">
        <f t="shared" si="50"/>
        <v>100</v>
      </c>
      <c r="S139" s="389"/>
      <c r="T139" s="390"/>
      <c r="U139" s="390">
        <v>100</v>
      </c>
      <c r="V139" s="390"/>
      <c r="W139" s="390"/>
      <c r="X139" s="390"/>
      <c r="Y139" s="391">
        <f t="shared" si="51"/>
        <v>100</v>
      </c>
    </row>
    <row r="140" spans="1:25" x14ac:dyDescent="0.35">
      <c r="A140" s="319" t="s">
        <v>2730</v>
      </c>
      <c r="B140" s="319" t="str">
        <f>VLOOKUP(A140,TaskValues_ref!E:F,2,FALSE)</f>
        <v>School-based mental health programs</v>
      </c>
      <c r="C140" s="390">
        <v>100</v>
      </c>
      <c r="D140" s="390"/>
      <c r="E140" s="391">
        <f t="shared" si="48"/>
        <v>100</v>
      </c>
      <c r="F140" s="389"/>
      <c r="G140" s="390"/>
      <c r="H140" s="390">
        <v>100</v>
      </c>
      <c r="I140" s="390"/>
      <c r="J140" s="391">
        <f t="shared" si="49"/>
        <v>100</v>
      </c>
      <c r="K140" s="389"/>
      <c r="L140" s="390"/>
      <c r="M140" s="390">
        <v>50</v>
      </c>
      <c r="N140" s="390">
        <v>50</v>
      </c>
      <c r="O140" s="390"/>
      <c r="P140" s="390"/>
      <c r="Q140" s="390"/>
      <c r="R140" s="391">
        <f t="shared" si="50"/>
        <v>100</v>
      </c>
      <c r="S140" s="389"/>
      <c r="T140" s="390"/>
      <c r="U140" s="390">
        <v>100</v>
      </c>
      <c r="V140" s="390"/>
      <c r="W140" s="390"/>
      <c r="X140" s="390"/>
      <c r="Y140" s="391">
        <f t="shared" si="51"/>
        <v>100</v>
      </c>
    </row>
    <row r="141" spans="1:25" x14ac:dyDescent="0.35">
      <c r="A141" s="319" t="s">
        <v>2731</v>
      </c>
      <c r="B141" s="319" t="str">
        <f>VLOOKUP(A141,TaskValues_ref!E:F,2,FALSE)</f>
        <v>Identify &amp; assess drug use</v>
      </c>
      <c r="C141" s="390">
        <v>100</v>
      </c>
      <c r="D141" s="390"/>
      <c r="E141" s="391">
        <f t="shared" si="48"/>
        <v>100</v>
      </c>
      <c r="F141" s="389"/>
      <c r="G141" s="390">
        <v>100</v>
      </c>
      <c r="H141" s="390"/>
      <c r="I141" s="390"/>
      <c r="J141" s="391">
        <f t="shared" si="49"/>
        <v>100</v>
      </c>
      <c r="K141" s="389"/>
      <c r="L141" s="390"/>
      <c r="M141" s="390"/>
      <c r="N141" s="390"/>
      <c r="O141" s="390">
        <v>100</v>
      </c>
      <c r="P141" s="390"/>
      <c r="Q141" s="390"/>
      <c r="R141" s="391">
        <f t="shared" si="50"/>
        <v>100</v>
      </c>
      <c r="S141" s="389"/>
      <c r="T141" s="390"/>
      <c r="U141" s="390"/>
      <c r="V141" s="390">
        <v>100</v>
      </c>
      <c r="W141" s="390"/>
      <c r="X141" s="390"/>
      <c r="Y141" s="391">
        <f t="shared" si="51"/>
        <v>100</v>
      </c>
    </row>
    <row r="142" spans="1:25" s="58" customFormat="1" x14ac:dyDescent="0.35">
      <c r="A142" s="390" t="s">
        <v>2732</v>
      </c>
      <c r="B142" s="390" t="str">
        <f>VLOOKUP(A142,TaskValues_ref!E:F,2,FALSE)</f>
        <v>Safer storage of pesticides</v>
      </c>
      <c r="C142" s="390">
        <v>100</v>
      </c>
      <c r="D142" s="390"/>
      <c r="E142" s="391">
        <f t="shared" si="48"/>
        <v>100</v>
      </c>
      <c r="F142" s="389"/>
      <c r="G142" s="390"/>
      <c r="H142" s="390">
        <v>100</v>
      </c>
      <c r="I142" s="390"/>
      <c r="J142" s="391">
        <f t="shared" si="49"/>
        <v>100</v>
      </c>
      <c r="K142" s="389"/>
      <c r="L142" s="390"/>
      <c r="M142" s="390"/>
      <c r="N142" s="390"/>
      <c r="O142" s="390"/>
      <c r="P142" s="390">
        <v>100</v>
      </c>
      <c r="Q142" s="390"/>
      <c r="R142" s="391">
        <f t="shared" si="50"/>
        <v>100</v>
      </c>
      <c r="S142" s="389"/>
      <c r="T142" s="390"/>
      <c r="U142" s="390"/>
      <c r="V142" s="390"/>
      <c r="W142" s="390">
        <f t="shared" si="29"/>
        <v>100</v>
      </c>
      <c r="X142" s="390"/>
      <c r="Y142" s="391">
        <f t="shared" si="51"/>
        <v>100</v>
      </c>
    </row>
    <row r="143" spans="1:25" x14ac:dyDescent="0.35">
      <c r="A143" s="319" t="s">
        <v>2733</v>
      </c>
      <c r="B143" s="319" t="str">
        <f>VLOOKUP(A143,TaskValues_ref!E:F,2,FALSE)</f>
        <v>Emergency poisoning response</v>
      </c>
      <c r="C143" s="390">
        <v>100</v>
      </c>
      <c r="D143" s="390"/>
      <c r="E143" s="391">
        <f t="shared" si="48"/>
        <v>100</v>
      </c>
      <c r="F143" s="389"/>
      <c r="G143" s="390"/>
      <c r="H143" s="390">
        <v>100</v>
      </c>
      <c r="I143" s="390"/>
      <c r="J143" s="391">
        <f t="shared" ref="J143:J145" si="52">SUM(F143:I143)</f>
        <v>100</v>
      </c>
      <c r="K143" s="389"/>
      <c r="L143" s="390"/>
      <c r="M143" s="390"/>
      <c r="N143" s="390"/>
      <c r="O143" s="390"/>
      <c r="P143" s="390">
        <v>100</v>
      </c>
      <c r="Q143" s="390"/>
      <c r="R143" s="391">
        <f t="shared" ref="R143:R145" si="53">SUM(K143:Q143)</f>
        <v>100</v>
      </c>
      <c r="S143" s="389"/>
      <c r="T143" s="390"/>
      <c r="U143" s="390"/>
      <c r="V143" s="390"/>
      <c r="W143" s="390">
        <f t="shared" ref="W143" si="54">M143+P143</f>
        <v>100</v>
      </c>
      <c r="X143" s="390"/>
      <c r="Y143" s="391">
        <f t="shared" ref="Y143:Y145" si="55">SUM(S143:X143)</f>
        <v>100</v>
      </c>
    </row>
    <row r="144" spans="1:25" x14ac:dyDescent="0.35">
      <c r="A144" s="319" t="s">
        <v>2734</v>
      </c>
      <c r="B144" s="319" t="str">
        <f>VLOOKUP(A144,TaskValues_ref!E:F,2,FALSE)</f>
        <v>Awareness &amp; screening for cataracts</v>
      </c>
      <c r="C144" s="390">
        <v>100</v>
      </c>
      <c r="D144" s="390"/>
      <c r="E144" s="391">
        <f t="shared" si="48"/>
        <v>100</v>
      </c>
      <c r="F144" s="389"/>
      <c r="G144" s="390">
        <v>100</v>
      </c>
      <c r="H144" s="390"/>
      <c r="I144" s="390"/>
      <c r="J144" s="391">
        <f t="shared" si="52"/>
        <v>100</v>
      </c>
      <c r="K144" s="389"/>
      <c r="L144" s="390"/>
      <c r="M144" s="390"/>
      <c r="N144" s="390"/>
      <c r="O144" s="390">
        <v>100</v>
      </c>
      <c r="P144" s="390"/>
      <c r="Q144" s="390"/>
      <c r="R144" s="391">
        <f t="shared" si="53"/>
        <v>100</v>
      </c>
      <c r="S144" s="389"/>
      <c r="T144" s="390"/>
      <c r="U144" s="390"/>
      <c r="V144" s="390">
        <v>100</v>
      </c>
      <c r="W144" s="390"/>
      <c r="X144" s="390"/>
      <c r="Y144" s="391">
        <f t="shared" si="55"/>
        <v>100</v>
      </c>
    </row>
    <row r="145" spans="1:25" x14ac:dyDescent="0.35">
      <c r="A145" s="319" t="s">
        <v>2735</v>
      </c>
      <c r="B145" s="319" t="str">
        <f>VLOOKUP(A145,TaskValues_ref!E:F,2,FALSE)</f>
        <v>Awareness of eye glasses</v>
      </c>
      <c r="C145" s="390">
        <v>100</v>
      </c>
      <c r="D145" s="390"/>
      <c r="E145" s="391">
        <f t="shared" si="48"/>
        <v>100</v>
      </c>
      <c r="F145" s="389"/>
      <c r="G145" s="390">
        <v>100</v>
      </c>
      <c r="H145" s="390"/>
      <c r="I145" s="390"/>
      <c r="J145" s="391">
        <f t="shared" si="52"/>
        <v>100</v>
      </c>
      <c r="K145" s="389"/>
      <c r="L145" s="390"/>
      <c r="M145" s="390"/>
      <c r="N145" s="390"/>
      <c r="O145" s="390">
        <v>100</v>
      </c>
      <c r="P145" s="390"/>
      <c r="Q145" s="390"/>
      <c r="R145" s="391">
        <f t="shared" si="53"/>
        <v>100</v>
      </c>
      <c r="S145" s="389"/>
      <c r="T145" s="390"/>
      <c r="U145" s="390"/>
      <c r="V145" s="390">
        <v>100</v>
      </c>
      <c r="W145" s="390"/>
      <c r="X145" s="390"/>
      <c r="Y145" s="391">
        <f t="shared" si="55"/>
        <v>100</v>
      </c>
    </row>
    <row r="146" spans="1:25" x14ac:dyDescent="0.35">
      <c r="A146" s="319" t="s">
        <v>2736</v>
      </c>
      <c r="B146" s="319" t="str">
        <f>VLOOKUP(A146,TaskValues_ref!E:F,2,FALSE)</f>
        <v>School screenings for vision impairment</v>
      </c>
      <c r="C146" s="390">
        <v>100</v>
      </c>
      <c r="D146" s="390"/>
      <c r="E146" s="391">
        <f t="shared" si="48"/>
        <v>100</v>
      </c>
      <c r="F146" s="389"/>
      <c r="G146" s="390"/>
      <c r="H146" s="390">
        <v>100</v>
      </c>
      <c r="I146" s="390"/>
      <c r="J146" s="391">
        <f t="shared" si="49"/>
        <v>100</v>
      </c>
      <c r="K146" s="389"/>
      <c r="L146" s="390"/>
      <c r="M146" s="390">
        <v>50</v>
      </c>
      <c r="N146" s="390">
        <v>50</v>
      </c>
      <c r="O146" s="390"/>
      <c r="P146" s="390"/>
      <c r="Q146" s="390"/>
      <c r="R146" s="391">
        <f t="shared" si="50"/>
        <v>100</v>
      </c>
      <c r="S146" s="389"/>
      <c r="T146" s="390"/>
      <c r="U146" s="390">
        <v>100</v>
      </c>
      <c r="V146" s="390"/>
      <c r="W146" s="390"/>
      <c r="X146" s="390"/>
      <c r="Y146" s="391">
        <f t="shared" si="51"/>
        <v>100</v>
      </c>
    </row>
    <row r="147" spans="1:25" x14ac:dyDescent="0.35">
      <c r="A147" s="319" t="s">
        <v>2737</v>
      </c>
      <c r="B147" s="319" t="str">
        <f>VLOOKUP(A147,TaskValues_ref!E:F,2,FALSE)</f>
        <v>Opportunistic screenings for vision impairment</v>
      </c>
      <c r="C147" s="390">
        <v>100</v>
      </c>
      <c r="D147" s="390"/>
      <c r="E147" s="391">
        <f t="shared" si="48"/>
        <v>100</v>
      </c>
      <c r="F147" s="389"/>
      <c r="G147" s="390">
        <v>100</v>
      </c>
      <c r="H147" s="390"/>
      <c r="I147" s="390"/>
      <c r="J147" s="391">
        <f t="shared" si="49"/>
        <v>100</v>
      </c>
      <c r="K147" s="389"/>
      <c r="L147" s="390"/>
      <c r="M147" s="390"/>
      <c r="N147" s="390"/>
      <c r="O147" s="390">
        <v>100</v>
      </c>
      <c r="P147" s="390"/>
      <c r="Q147" s="390"/>
      <c r="R147" s="391">
        <f t="shared" si="50"/>
        <v>100</v>
      </c>
      <c r="S147" s="389"/>
      <c r="T147" s="390"/>
      <c r="U147" s="390"/>
      <c r="V147" s="390">
        <v>100</v>
      </c>
      <c r="W147" s="390"/>
      <c r="X147" s="390"/>
      <c r="Y147" s="391">
        <f t="shared" si="51"/>
        <v>100</v>
      </c>
    </row>
    <row r="148" spans="1:25" x14ac:dyDescent="0.35">
      <c r="A148" s="319" t="s">
        <v>2738</v>
      </c>
      <c r="B148" s="319" t="str">
        <f>VLOOKUP(A148,TaskValues_ref!E:F,2,FALSE)</f>
        <v>Awareness &amp; screening for glaucoma</v>
      </c>
      <c r="C148" s="390">
        <v>100</v>
      </c>
      <c r="D148" s="390"/>
      <c r="E148" s="391">
        <f t="shared" si="48"/>
        <v>100</v>
      </c>
      <c r="F148" s="389"/>
      <c r="G148" s="390">
        <v>100</v>
      </c>
      <c r="H148" s="390"/>
      <c r="I148" s="390"/>
      <c r="J148" s="391">
        <f t="shared" si="49"/>
        <v>100</v>
      </c>
      <c r="K148" s="389"/>
      <c r="L148" s="390"/>
      <c r="M148" s="390"/>
      <c r="N148" s="390"/>
      <c r="O148" s="390">
        <v>100</v>
      </c>
      <c r="P148" s="390"/>
      <c r="Q148" s="390"/>
      <c r="R148" s="391">
        <f t="shared" si="50"/>
        <v>100</v>
      </c>
      <c r="S148" s="389"/>
      <c r="T148" s="390"/>
      <c r="U148" s="390"/>
      <c r="V148" s="390">
        <v>100</v>
      </c>
      <c r="W148" s="390"/>
      <c r="X148" s="390"/>
      <c r="Y148" s="391">
        <f t="shared" si="51"/>
        <v>100</v>
      </c>
    </row>
    <row r="149" spans="1:25" x14ac:dyDescent="0.35">
      <c r="A149" s="319" t="s">
        <v>2739</v>
      </c>
      <c r="B149" s="319" t="str">
        <f>VLOOKUP(A149,TaskValues_ref!E:F,2,FALSE)</f>
        <v>Common eye infection treatment</v>
      </c>
      <c r="C149" s="390">
        <v>100</v>
      </c>
      <c r="D149" s="390"/>
      <c r="E149" s="391">
        <f t="shared" si="48"/>
        <v>100</v>
      </c>
      <c r="F149" s="389"/>
      <c r="G149" s="390"/>
      <c r="H149" s="390">
        <v>100</v>
      </c>
      <c r="I149" s="390"/>
      <c r="J149" s="391">
        <f t="shared" ref="J149" si="56">SUM(F149:I149)</f>
        <v>100</v>
      </c>
      <c r="K149" s="389"/>
      <c r="L149" s="390"/>
      <c r="M149" s="390"/>
      <c r="N149" s="390">
        <v>25</v>
      </c>
      <c r="O149" s="390">
        <v>75</v>
      </c>
      <c r="P149" s="390"/>
      <c r="Q149" s="390"/>
      <c r="R149" s="391">
        <f t="shared" ref="R149" si="57">SUM(K149:Q149)</f>
        <v>100</v>
      </c>
      <c r="S149" s="389"/>
      <c r="T149" s="390"/>
      <c r="U149" s="390">
        <v>25</v>
      </c>
      <c r="V149" s="390">
        <v>75</v>
      </c>
      <c r="W149" s="390"/>
      <c r="X149" s="390"/>
      <c r="Y149" s="391">
        <f t="shared" ref="Y149" si="58">SUM(S149:X149)</f>
        <v>100</v>
      </c>
    </row>
    <row r="150" spans="1:25" x14ac:dyDescent="0.35">
      <c r="A150" s="319" t="s">
        <v>2603</v>
      </c>
      <c r="B150" s="319" t="str">
        <f>VLOOKUP(A150,TaskValues_ref!E:F,2,FALSE)</f>
        <v>Basic first aid</v>
      </c>
      <c r="C150" s="390">
        <v>100</v>
      </c>
      <c r="D150" s="390"/>
      <c r="E150" s="391">
        <f t="shared" si="48"/>
        <v>100</v>
      </c>
      <c r="F150" s="389"/>
      <c r="G150" s="390"/>
      <c r="H150" s="390">
        <v>100</v>
      </c>
      <c r="I150" s="390"/>
      <c r="J150" s="391">
        <f t="shared" si="49"/>
        <v>100</v>
      </c>
      <c r="K150" s="389"/>
      <c r="L150" s="390"/>
      <c r="M150" s="390"/>
      <c r="N150" s="390">
        <v>25</v>
      </c>
      <c r="O150" s="390">
        <v>75</v>
      </c>
      <c r="P150" s="390"/>
      <c r="Q150" s="390"/>
      <c r="R150" s="391">
        <f t="shared" si="50"/>
        <v>100</v>
      </c>
      <c r="S150" s="389"/>
      <c r="T150" s="390"/>
      <c r="U150" s="390">
        <v>25</v>
      </c>
      <c r="V150" s="390">
        <v>75</v>
      </c>
      <c r="W150" s="390"/>
      <c r="X150" s="390"/>
      <c r="Y150" s="391">
        <f t="shared" si="51"/>
        <v>100</v>
      </c>
    </row>
    <row r="151" spans="1:25" x14ac:dyDescent="0.35">
      <c r="A151" s="319" t="s">
        <v>2605</v>
      </c>
      <c r="B151" s="319" t="str">
        <f>VLOOKUP(A151,TaskValues_ref!E:F,2,FALSE)</f>
        <v>Advanced first aid</v>
      </c>
      <c r="C151" s="390">
        <v>100</v>
      </c>
      <c r="D151" s="390"/>
      <c r="E151" s="391">
        <f t="shared" si="48"/>
        <v>100</v>
      </c>
      <c r="F151" s="389"/>
      <c r="G151" s="392">
        <v>100</v>
      </c>
      <c r="H151" s="390"/>
      <c r="I151" s="390"/>
      <c r="J151" s="391">
        <f t="shared" ref="J151" si="59">SUM(F151:I151)</f>
        <v>100</v>
      </c>
      <c r="K151" s="389"/>
      <c r="L151" s="392">
        <v>50</v>
      </c>
      <c r="M151" s="390"/>
      <c r="N151" s="390"/>
      <c r="O151" s="390">
        <v>50</v>
      </c>
      <c r="P151" s="390"/>
      <c r="Q151" s="390"/>
      <c r="R151" s="391">
        <f t="shared" ref="R151" si="60">SUM(K151:Q151)</f>
        <v>100</v>
      </c>
      <c r="S151" s="389"/>
      <c r="T151" s="392">
        <v>50</v>
      </c>
      <c r="U151" s="390"/>
      <c r="V151" s="390">
        <v>50</v>
      </c>
      <c r="W151" s="390"/>
      <c r="X151" s="376"/>
      <c r="Y151" s="391">
        <f t="shared" si="51"/>
        <v>100</v>
      </c>
    </row>
    <row r="152" spans="1:25" s="58" customFormat="1" x14ac:dyDescent="0.35">
      <c r="A152" s="390" t="s">
        <v>2740</v>
      </c>
      <c r="B152" s="390" t="str">
        <f>VLOOKUP(A152,TaskValues_ref!E:F,2,FALSE)</f>
        <v>Assorted adult outpatient</v>
      </c>
      <c r="C152" s="390">
        <v>100</v>
      </c>
      <c r="D152" s="390"/>
      <c r="E152" s="391">
        <f t="shared" si="48"/>
        <v>100</v>
      </c>
      <c r="F152" s="389"/>
      <c r="G152" s="392">
        <v>100</v>
      </c>
      <c r="H152" s="390"/>
      <c r="I152" s="390"/>
      <c r="J152" s="391">
        <f t="shared" si="49"/>
        <v>100</v>
      </c>
      <c r="K152" s="389"/>
      <c r="L152" s="392">
        <v>50</v>
      </c>
      <c r="M152" s="390"/>
      <c r="N152" s="390"/>
      <c r="O152" s="390">
        <v>50</v>
      </c>
      <c r="P152" s="390"/>
      <c r="Q152" s="390"/>
      <c r="R152" s="391">
        <f t="shared" si="50"/>
        <v>100</v>
      </c>
      <c r="S152" s="389"/>
      <c r="T152" s="392">
        <v>50</v>
      </c>
      <c r="U152" s="390"/>
      <c r="V152" s="390">
        <v>50</v>
      </c>
      <c r="W152" s="390"/>
      <c r="X152" s="390"/>
      <c r="Y152" s="391">
        <f t="shared" si="51"/>
        <v>100</v>
      </c>
    </row>
    <row r="153" spans="1:25" s="58" customFormat="1" x14ac:dyDescent="0.35">
      <c r="A153" s="390" t="s">
        <v>2462</v>
      </c>
      <c r="B153" s="390" t="str">
        <f>VLOOKUP(A153,TaskValues_ref!E:F,2,FALSE)</f>
        <v>Surveillance for NTDs</v>
      </c>
      <c r="C153" s="390">
        <v>100</v>
      </c>
      <c r="D153" s="390"/>
      <c r="E153" s="391">
        <f t="shared" si="48"/>
        <v>100</v>
      </c>
      <c r="F153" s="389"/>
      <c r="G153" s="390"/>
      <c r="H153" s="390">
        <v>100</v>
      </c>
      <c r="I153" s="390"/>
      <c r="J153" s="391">
        <f t="shared" si="49"/>
        <v>100</v>
      </c>
      <c r="K153" s="389"/>
      <c r="L153" s="390"/>
      <c r="M153" s="390"/>
      <c r="N153" s="390"/>
      <c r="O153" s="390"/>
      <c r="P153" s="390">
        <v>100</v>
      </c>
      <c r="Q153" s="390"/>
      <c r="R153" s="391">
        <f t="shared" si="50"/>
        <v>100</v>
      </c>
      <c r="S153" s="389"/>
      <c r="T153" s="390"/>
      <c r="U153" s="390"/>
      <c r="V153" s="390"/>
      <c r="W153" s="390">
        <f t="shared" ref="W153:W173" si="61">M153+P153</f>
        <v>100</v>
      </c>
      <c r="X153" s="390"/>
      <c r="Y153" s="391">
        <f t="shared" si="51"/>
        <v>100</v>
      </c>
    </row>
    <row r="154" spans="1:25" s="58" customFormat="1" x14ac:dyDescent="0.35">
      <c r="A154" s="390" t="s">
        <v>2741</v>
      </c>
      <c r="B154" s="390" t="str">
        <f>VLOOKUP(A154,TaskValues_ref!E:F,2,FALSE)</f>
        <v>LF screening &amp; referral</v>
      </c>
      <c r="C154" s="390">
        <v>100</v>
      </c>
      <c r="D154" s="390"/>
      <c r="E154" s="391">
        <f t="shared" si="48"/>
        <v>100</v>
      </c>
      <c r="F154" s="389"/>
      <c r="G154" s="390"/>
      <c r="H154" s="390">
        <v>100</v>
      </c>
      <c r="I154" s="390"/>
      <c r="J154" s="391">
        <f t="shared" si="49"/>
        <v>100</v>
      </c>
      <c r="K154" s="389"/>
      <c r="L154" s="390"/>
      <c r="M154" s="390">
        <v>100</v>
      </c>
      <c r="N154" s="390"/>
      <c r="O154" s="390"/>
      <c r="P154" s="390"/>
      <c r="Q154" s="390"/>
      <c r="R154" s="391">
        <f t="shared" si="50"/>
        <v>100</v>
      </c>
      <c r="S154" s="389"/>
      <c r="T154" s="390"/>
      <c r="U154" s="390"/>
      <c r="V154" s="390"/>
      <c r="W154" s="390">
        <f t="shared" si="61"/>
        <v>100</v>
      </c>
      <c r="X154" s="390"/>
      <c r="Y154" s="391">
        <f t="shared" si="51"/>
        <v>100</v>
      </c>
    </row>
    <row r="155" spans="1:25" s="58" customFormat="1" x14ac:dyDescent="0.35">
      <c r="A155" s="390" t="s">
        <v>2742</v>
      </c>
      <c r="B155" s="390" t="str">
        <f>VLOOKUP(A155,TaskValues_ref!E:F,2,FALSE)</f>
        <v>LF MDA</v>
      </c>
      <c r="C155" s="390">
        <v>100</v>
      </c>
      <c r="D155" s="390"/>
      <c r="E155" s="391">
        <f t="shared" si="48"/>
        <v>100</v>
      </c>
      <c r="F155" s="389"/>
      <c r="G155" s="390"/>
      <c r="H155" s="390">
        <v>100</v>
      </c>
      <c r="I155" s="390"/>
      <c r="J155" s="391">
        <f t="shared" si="49"/>
        <v>100</v>
      </c>
      <c r="K155" s="389"/>
      <c r="L155" s="390"/>
      <c r="M155" s="390"/>
      <c r="N155" s="390"/>
      <c r="O155" s="390"/>
      <c r="P155" s="390">
        <v>100</v>
      </c>
      <c r="Q155" s="390"/>
      <c r="R155" s="391">
        <f t="shared" si="50"/>
        <v>100</v>
      </c>
      <c r="S155" s="389"/>
      <c r="T155" s="390"/>
      <c r="U155" s="390"/>
      <c r="V155" s="390"/>
      <c r="W155" s="390">
        <f t="shared" si="61"/>
        <v>100</v>
      </c>
      <c r="X155" s="390"/>
      <c r="Y155" s="391">
        <f t="shared" si="51"/>
        <v>100</v>
      </c>
    </row>
    <row r="156" spans="1:25" s="58" customFormat="1" x14ac:dyDescent="0.35">
      <c r="A156" s="390" t="s">
        <v>2743</v>
      </c>
      <c r="B156" s="390" t="str">
        <f>VLOOKUP(A156,TaskValues_ref!E:F,2,FALSE)</f>
        <v>LLINs and IRS</v>
      </c>
      <c r="C156" s="390">
        <v>100</v>
      </c>
      <c r="D156" s="390"/>
      <c r="E156" s="391">
        <f t="shared" si="48"/>
        <v>100</v>
      </c>
      <c r="F156" s="389"/>
      <c r="G156" s="390"/>
      <c r="H156" s="390">
        <v>100</v>
      </c>
      <c r="I156" s="390"/>
      <c r="J156" s="391">
        <f t="shared" si="49"/>
        <v>100</v>
      </c>
      <c r="K156" s="389"/>
      <c r="L156" s="390"/>
      <c r="M156" s="390"/>
      <c r="N156" s="390"/>
      <c r="O156" s="390"/>
      <c r="P156" s="390">
        <v>100</v>
      </c>
      <c r="Q156" s="390"/>
      <c r="R156" s="391">
        <f t="shared" si="50"/>
        <v>100</v>
      </c>
      <c r="S156" s="389"/>
      <c r="T156" s="390"/>
      <c r="U156" s="390"/>
      <c r="V156" s="390"/>
      <c r="W156" s="390">
        <f t="shared" si="61"/>
        <v>100</v>
      </c>
      <c r="X156" s="390"/>
      <c r="Y156" s="391">
        <f t="shared" si="51"/>
        <v>100</v>
      </c>
    </row>
    <row r="157" spans="1:25" s="58" customFormat="1" x14ac:dyDescent="0.35">
      <c r="A157" s="390" t="s">
        <v>2744</v>
      </c>
      <c r="B157" s="390" t="str">
        <f>VLOOKUP(A157,TaskValues_ref!E:F,2,FALSE)</f>
        <v>LF behavior change</v>
      </c>
      <c r="C157" s="390">
        <v>100</v>
      </c>
      <c r="D157" s="390"/>
      <c r="E157" s="391">
        <f t="shared" si="48"/>
        <v>100</v>
      </c>
      <c r="F157" s="389"/>
      <c r="G157" s="390"/>
      <c r="H157" s="390">
        <v>100</v>
      </c>
      <c r="I157" s="390"/>
      <c r="J157" s="391">
        <f t="shared" si="49"/>
        <v>100</v>
      </c>
      <c r="K157" s="389"/>
      <c r="L157" s="390"/>
      <c r="M157" s="390">
        <v>50</v>
      </c>
      <c r="N157" s="390"/>
      <c r="O157" s="390"/>
      <c r="P157" s="390">
        <v>50</v>
      </c>
      <c r="Q157" s="390"/>
      <c r="R157" s="391">
        <f t="shared" si="50"/>
        <v>100</v>
      </c>
      <c r="S157" s="389"/>
      <c r="T157" s="390"/>
      <c r="U157" s="390">
        <v>50</v>
      </c>
      <c r="V157" s="390"/>
      <c r="W157" s="390">
        <v>50</v>
      </c>
      <c r="X157" s="390"/>
      <c r="Y157" s="391">
        <f t="shared" si="51"/>
        <v>100</v>
      </c>
    </row>
    <row r="158" spans="1:25" s="58" customFormat="1" x14ac:dyDescent="0.35">
      <c r="A158" s="390" t="s">
        <v>2745</v>
      </c>
      <c r="B158" s="390" t="str">
        <f>VLOOKUP(A158,TaskValues_ref!E:F,2,FALSE)</f>
        <v>Oncho MDA</v>
      </c>
      <c r="C158" s="390">
        <v>100</v>
      </c>
      <c r="D158" s="390"/>
      <c r="E158" s="391">
        <f t="shared" si="48"/>
        <v>100</v>
      </c>
      <c r="F158" s="389"/>
      <c r="G158" s="390"/>
      <c r="H158" s="390">
        <v>100</v>
      </c>
      <c r="I158" s="390"/>
      <c r="J158" s="391">
        <f t="shared" si="49"/>
        <v>100</v>
      </c>
      <c r="K158" s="389"/>
      <c r="L158" s="390"/>
      <c r="M158" s="390"/>
      <c r="N158" s="390"/>
      <c r="O158" s="390"/>
      <c r="P158" s="390">
        <v>100</v>
      </c>
      <c r="Q158" s="390"/>
      <c r="R158" s="391">
        <f t="shared" si="50"/>
        <v>100</v>
      </c>
      <c r="S158" s="389"/>
      <c r="T158" s="390"/>
      <c r="U158" s="390"/>
      <c r="V158" s="390"/>
      <c r="W158" s="390">
        <f t="shared" si="61"/>
        <v>100</v>
      </c>
      <c r="X158" s="390"/>
      <c r="Y158" s="391">
        <f t="shared" si="51"/>
        <v>100</v>
      </c>
    </row>
    <row r="159" spans="1:25" s="58" customFormat="1" x14ac:dyDescent="0.35">
      <c r="A159" s="390" t="s">
        <v>2746</v>
      </c>
      <c r="B159" s="390" t="str">
        <f>VLOOKUP(A159,TaskValues_ref!E:F,2,FALSE)</f>
        <v>Oncho behavior change</v>
      </c>
      <c r="C159" s="390">
        <v>100</v>
      </c>
      <c r="D159" s="390"/>
      <c r="E159" s="391">
        <f t="shared" si="48"/>
        <v>100</v>
      </c>
      <c r="F159" s="389"/>
      <c r="G159" s="390"/>
      <c r="H159" s="390">
        <v>100</v>
      </c>
      <c r="I159" s="390"/>
      <c r="J159" s="391">
        <f t="shared" si="49"/>
        <v>100</v>
      </c>
      <c r="K159" s="389"/>
      <c r="L159" s="390"/>
      <c r="M159" s="390">
        <v>50</v>
      </c>
      <c r="N159" s="390"/>
      <c r="O159" s="390"/>
      <c r="P159" s="390">
        <v>50</v>
      </c>
      <c r="Q159" s="390"/>
      <c r="R159" s="391">
        <f t="shared" si="50"/>
        <v>100</v>
      </c>
      <c r="S159" s="389"/>
      <c r="T159" s="390"/>
      <c r="U159" s="390">
        <v>50</v>
      </c>
      <c r="V159" s="390"/>
      <c r="W159" s="390">
        <v>50</v>
      </c>
      <c r="X159" s="390"/>
      <c r="Y159" s="391">
        <f t="shared" si="51"/>
        <v>100</v>
      </c>
    </row>
    <row r="160" spans="1:25" s="58" customFormat="1" x14ac:dyDescent="0.35">
      <c r="A160" s="390" t="s">
        <v>2747</v>
      </c>
      <c r="B160" s="390" t="str">
        <f>VLOOKUP(A160,TaskValues_ref!E:F,2,FALSE)</f>
        <v>Trachoma behavior change</v>
      </c>
      <c r="C160" s="390">
        <v>100</v>
      </c>
      <c r="D160" s="390"/>
      <c r="E160" s="391">
        <f t="shared" si="48"/>
        <v>100</v>
      </c>
      <c r="F160" s="389"/>
      <c r="G160" s="390"/>
      <c r="H160" s="390">
        <v>100</v>
      </c>
      <c r="I160" s="390"/>
      <c r="J160" s="391">
        <f t="shared" si="49"/>
        <v>100</v>
      </c>
      <c r="K160" s="389"/>
      <c r="L160" s="390"/>
      <c r="M160" s="390">
        <v>50</v>
      </c>
      <c r="N160" s="390"/>
      <c r="O160" s="390"/>
      <c r="P160" s="390">
        <v>50</v>
      </c>
      <c r="Q160" s="390"/>
      <c r="R160" s="391">
        <f t="shared" si="50"/>
        <v>100</v>
      </c>
      <c r="S160" s="389"/>
      <c r="T160" s="390"/>
      <c r="U160" s="390">
        <v>50</v>
      </c>
      <c r="V160" s="390"/>
      <c r="W160" s="390">
        <v>50</v>
      </c>
      <c r="X160" s="390"/>
      <c r="Y160" s="391">
        <f t="shared" si="51"/>
        <v>100</v>
      </c>
    </row>
    <row r="161" spans="1:25" s="58" customFormat="1" x14ac:dyDescent="0.35">
      <c r="A161" s="390" t="s">
        <v>2748</v>
      </c>
      <c r="B161" s="390" t="str">
        <f>VLOOKUP(A161,TaskValues_ref!E:F,2,FALSE)</f>
        <v>Promote water and sanitation</v>
      </c>
      <c r="C161" s="390">
        <v>100</v>
      </c>
      <c r="D161" s="390"/>
      <c r="E161" s="391">
        <f t="shared" si="48"/>
        <v>100</v>
      </c>
      <c r="F161" s="389"/>
      <c r="G161" s="390"/>
      <c r="H161" s="390">
        <v>100</v>
      </c>
      <c r="I161" s="390"/>
      <c r="J161" s="391">
        <f t="shared" si="49"/>
        <v>100</v>
      </c>
      <c r="K161" s="389"/>
      <c r="L161" s="390"/>
      <c r="M161" s="390">
        <v>50</v>
      </c>
      <c r="N161" s="390"/>
      <c r="O161" s="390"/>
      <c r="P161" s="390">
        <v>50</v>
      </c>
      <c r="Q161" s="390"/>
      <c r="R161" s="391">
        <f t="shared" si="50"/>
        <v>100</v>
      </c>
      <c r="S161" s="389"/>
      <c r="T161" s="390"/>
      <c r="U161" s="390">
        <v>50</v>
      </c>
      <c r="V161" s="390"/>
      <c r="W161" s="390">
        <v>50</v>
      </c>
      <c r="X161" s="390"/>
      <c r="Y161" s="391">
        <f t="shared" si="51"/>
        <v>100</v>
      </c>
    </row>
    <row r="162" spans="1:25" s="58" customFormat="1" x14ac:dyDescent="0.35">
      <c r="A162" s="390" t="s">
        <v>2749</v>
      </c>
      <c r="B162" s="390" t="str">
        <f>VLOOKUP(A162,TaskValues_ref!E:F,2,FALSE)</f>
        <v>Dx &amp; treat trachoma</v>
      </c>
      <c r="C162" s="390">
        <v>100</v>
      </c>
      <c r="D162" s="390"/>
      <c r="E162" s="391">
        <f t="shared" ref="E162:E180" si="62">SUM(C162:D162)</f>
        <v>100</v>
      </c>
      <c r="F162" s="389"/>
      <c r="G162" s="390"/>
      <c r="H162" s="390">
        <v>100</v>
      </c>
      <c r="I162" s="390"/>
      <c r="J162" s="391">
        <f t="shared" si="49"/>
        <v>100</v>
      </c>
      <c r="K162" s="389"/>
      <c r="L162" s="390"/>
      <c r="M162" s="390">
        <v>100</v>
      </c>
      <c r="N162" s="390"/>
      <c r="O162" s="390"/>
      <c r="P162" s="390"/>
      <c r="Q162" s="390"/>
      <c r="R162" s="391">
        <f t="shared" si="50"/>
        <v>100</v>
      </c>
      <c r="S162" s="389"/>
      <c r="T162" s="390"/>
      <c r="U162" s="390"/>
      <c r="V162" s="390"/>
      <c r="W162" s="390">
        <f t="shared" si="61"/>
        <v>100</v>
      </c>
      <c r="X162" s="390"/>
      <c r="Y162" s="391">
        <f t="shared" si="51"/>
        <v>100</v>
      </c>
    </row>
    <row r="163" spans="1:25" s="58" customFormat="1" x14ac:dyDescent="0.35">
      <c r="A163" s="390" t="s">
        <v>2750</v>
      </c>
      <c r="B163" s="390" t="str">
        <f>VLOOKUP(A163,TaskValues_ref!E:F,2,FALSE)</f>
        <v>Trochomatous trichiasis surgery</v>
      </c>
      <c r="C163" s="390">
        <v>100</v>
      </c>
      <c r="D163" s="390"/>
      <c r="E163" s="391">
        <f t="shared" si="62"/>
        <v>100</v>
      </c>
      <c r="F163" s="389"/>
      <c r="G163" s="390"/>
      <c r="H163" s="390">
        <v>100</v>
      </c>
      <c r="I163" s="390"/>
      <c r="J163" s="391">
        <f t="shared" si="49"/>
        <v>100</v>
      </c>
      <c r="K163" s="389"/>
      <c r="L163" s="390"/>
      <c r="M163" s="390">
        <v>100</v>
      </c>
      <c r="N163" s="390"/>
      <c r="O163" s="390"/>
      <c r="P163" s="390"/>
      <c r="Q163" s="390"/>
      <c r="R163" s="391">
        <f t="shared" si="50"/>
        <v>100</v>
      </c>
      <c r="S163" s="389"/>
      <c r="T163" s="390"/>
      <c r="U163" s="390"/>
      <c r="V163" s="390"/>
      <c r="W163" s="390">
        <f t="shared" si="61"/>
        <v>100</v>
      </c>
      <c r="X163" s="390"/>
      <c r="Y163" s="391">
        <f t="shared" si="51"/>
        <v>100</v>
      </c>
    </row>
    <row r="164" spans="1:25" s="58" customFormat="1" x14ac:dyDescent="0.35">
      <c r="A164" s="390" t="s">
        <v>2751</v>
      </c>
      <c r="B164" s="390" t="str">
        <f>VLOOKUP(A164,TaskValues_ref!E:F,2,FALSE)</f>
        <v>Trachoma MDA</v>
      </c>
      <c r="C164" s="390">
        <v>100</v>
      </c>
      <c r="D164" s="390"/>
      <c r="E164" s="391">
        <f t="shared" si="62"/>
        <v>100</v>
      </c>
      <c r="F164" s="389"/>
      <c r="G164" s="390"/>
      <c r="H164" s="390">
        <v>100</v>
      </c>
      <c r="I164" s="390"/>
      <c r="J164" s="391">
        <f t="shared" si="49"/>
        <v>100</v>
      </c>
      <c r="K164" s="389"/>
      <c r="L164" s="390"/>
      <c r="M164" s="390"/>
      <c r="N164" s="390"/>
      <c r="O164" s="390"/>
      <c r="P164" s="392">
        <v>100</v>
      </c>
      <c r="Q164" s="390"/>
      <c r="R164" s="391">
        <f t="shared" si="50"/>
        <v>100</v>
      </c>
      <c r="S164" s="389"/>
      <c r="T164" s="390"/>
      <c r="U164" s="390"/>
      <c r="V164" s="390"/>
      <c r="W164" s="390">
        <f t="shared" si="61"/>
        <v>100</v>
      </c>
      <c r="X164" s="390"/>
      <c r="Y164" s="391">
        <f t="shared" si="51"/>
        <v>100</v>
      </c>
    </row>
    <row r="165" spans="1:25" s="58" customFormat="1" x14ac:dyDescent="0.35">
      <c r="A165" s="390" t="s">
        <v>2752</v>
      </c>
      <c r="B165" s="390" t="str">
        <f>VLOOKUP(A165,TaskValues_ref!E:F,2,FALSE)</f>
        <v>Promote face washing</v>
      </c>
      <c r="C165" s="390">
        <v>100</v>
      </c>
      <c r="D165" s="390"/>
      <c r="E165" s="391">
        <f t="shared" si="62"/>
        <v>100</v>
      </c>
      <c r="F165" s="389"/>
      <c r="G165" s="390"/>
      <c r="H165" s="390">
        <v>100</v>
      </c>
      <c r="I165" s="390"/>
      <c r="J165" s="391">
        <f t="shared" si="49"/>
        <v>100</v>
      </c>
      <c r="K165" s="389"/>
      <c r="L165" s="390"/>
      <c r="M165" s="390">
        <v>50</v>
      </c>
      <c r="N165" s="390"/>
      <c r="O165" s="390"/>
      <c r="P165" s="390">
        <v>50</v>
      </c>
      <c r="Q165" s="390"/>
      <c r="R165" s="391">
        <f t="shared" si="50"/>
        <v>100</v>
      </c>
      <c r="S165" s="389"/>
      <c r="T165" s="390"/>
      <c r="U165" s="390">
        <v>50</v>
      </c>
      <c r="V165" s="390"/>
      <c r="W165" s="390">
        <v>50</v>
      </c>
      <c r="X165" s="390"/>
      <c r="Y165" s="391">
        <f t="shared" si="51"/>
        <v>100</v>
      </c>
    </row>
    <row r="166" spans="1:25" s="58" customFormat="1" x14ac:dyDescent="0.35">
      <c r="A166" s="390" t="s">
        <v>2753</v>
      </c>
      <c r="B166" s="390" t="str">
        <f>VLOOKUP(A166,TaskValues_ref!E:F,2,FALSE)</f>
        <v>Schisto behavior change</v>
      </c>
      <c r="C166" s="390">
        <v>100</v>
      </c>
      <c r="D166" s="390"/>
      <c r="E166" s="391">
        <f t="shared" si="62"/>
        <v>100</v>
      </c>
      <c r="F166" s="389"/>
      <c r="G166" s="390"/>
      <c r="H166" s="390">
        <v>100</v>
      </c>
      <c r="I166" s="390"/>
      <c r="J166" s="391">
        <f t="shared" si="49"/>
        <v>100</v>
      </c>
      <c r="K166" s="389"/>
      <c r="L166" s="390"/>
      <c r="M166" s="390">
        <v>50</v>
      </c>
      <c r="N166" s="390"/>
      <c r="O166" s="390"/>
      <c r="P166" s="390">
        <v>50</v>
      </c>
      <c r="Q166" s="390"/>
      <c r="R166" s="391">
        <f t="shared" si="50"/>
        <v>100</v>
      </c>
      <c r="S166" s="389"/>
      <c r="T166" s="390"/>
      <c r="U166" s="390">
        <v>50</v>
      </c>
      <c r="V166" s="390"/>
      <c r="W166" s="390">
        <v>50</v>
      </c>
      <c r="X166" s="390"/>
      <c r="Y166" s="391">
        <f t="shared" si="51"/>
        <v>100</v>
      </c>
    </row>
    <row r="167" spans="1:25" s="58" customFormat="1" x14ac:dyDescent="0.35">
      <c r="A167" s="390" t="s">
        <v>2754</v>
      </c>
      <c r="B167" s="390" t="str">
        <f>VLOOKUP(A167,TaskValues_ref!E:F,2,FALSE)</f>
        <v>Snail control</v>
      </c>
      <c r="C167" s="390">
        <v>100</v>
      </c>
      <c r="D167" s="390"/>
      <c r="E167" s="391">
        <f t="shared" si="62"/>
        <v>100</v>
      </c>
      <c r="F167" s="389"/>
      <c r="G167" s="390"/>
      <c r="H167" s="390">
        <v>100</v>
      </c>
      <c r="I167" s="390"/>
      <c r="J167" s="391">
        <f t="shared" si="49"/>
        <v>100</v>
      </c>
      <c r="K167" s="389"/>
      <c r="L167" s="390"/>
      <c r="M167" s="390"/>
      <c r="N167" s="390"/>
      <c r="O167" s="390"/>
      <c r="P167" s="390">
        <v>100</v>
      </c>
      <c r="Q167" s="390"/>
      <c r="R167" s="391">
        <f t="shared" si="50"/>
        <v>100</v>
      </c>
      <c r="S167" s="389"/>
      <c r="T167" s="390"/>
      <c r="U167" s="390"/>
      <c r="V167" s="390"/>
      <c r="W167" s="390">
        <f t="shared" si="61"/>
        <v>100</v>
      </c>
      <c r="X167" s="390"/>
      <c r="Y167" s="391">
        <f t="shared" si="51"/>
        <v>100</v>
      </c>
    </row>
    <row r="168" spans="1:25" s="58" customFormat="1" x14ac:dyDescent="0.35">
      <c r="A168" s="390" t="s">
        <v>2755</v>
      </c>
      <c r="B168" s="390" t="str">
        <f>VLOOKUP(A168,TaskValues_ref!E:F,2,FALSE)</f>
        <v>Schisto MDA</v>
      </c>
      <c r="C168" s="390">
        <v>100</v>
      </c>
      <c r="D168" s="390"/>
      <c r="E168" s="391">
        <f t="shared" si="62"/>
        <v>100</v>
      </c>
      <c r="F168" s="389"/>
      <c r="G168" s="390"/>
      <c r="H168" s="390">
        <v>100</v>
      </c>
      <c r="I168" s="390"/>
      <c r="J168" s="391">
        <f t="shared" si="49"/>
        <v>100</v>
      </c>
      <c r="K168" s="389"/>
      <c r="L168" s="390"/>
      <c r="M168" s="390"/>
      <c r="N168" s="390"/>
      <c r="O168" s="390"/>
      <c r="P168" s="392">
        <v>100</v>
      </c>
      <c r="Q168" s="390"/>
      <c r="R168" s="391">
        <f t="shared" si="50"/>
        <v>100</v>
      </c>
      <c r="S168" s="389"/>
      <c r="T168" s="390"/>
      <c r="U168" s="390"/>
      <c r="V168" s="390"/>
      <c r="W168" s="390">
        <f t="shared" si="61"/>
        <v>100</v>
      </c>
      <c r="X168" s="390"/>
      <c r="Y168" s="391">
        <f t="shared" si="51"/>
        <v>100</v>
      </c>
    </row>
    <row r="169" spans="1:25" s="58" customFormat="1" x14ac:dyDescent="0.35">
      <c r="A169" s="390" t="s">
        <v>2756</v>
      </c>
      <c r="B169" s="390" t="str">
        <f>VLOOKUP(A169,TaskValues_ref!E:F,2,FALSE)</f>
        <v>STH behavior change</v>
      </c>
      <c r="C169" s="390">
        <v>100</v>
      </c>
      <c r="D169" s="390"/>
      <c r="E169" s="391">
        <f t="shared" si="62"/>
        <v>100</v>
      </c>
      <c r="F169" s="389"/>
      <c r="G169" s="390"/>
      <c r="H169" s="390">
        <v>100</v>
      </c>
      <c r="I169" s="390"/>
      <c r="J169" s="391">
        <f t="shared" si="49"/>
        <v>100</v>
      </c>
      <c r="K169" s="389"/>
      <c r="L169" s="390"/>
      <c r="M169" s="390">
        <v>50</v>
      </c>
      <c r="N169" s="390"/>
      <c r="O169" s="390"/>
      <c r="P169" s="390">
        <v>50</v>
      </c>
      <c r="Q169" s="390"/>
      <c r="R169" s="391">
        <f t="shared" si="50"/>
        <v>100</v>
      </c>
      <c r="S169" s="389"/>
      <c r="T169" s="390"/>
      <c r="U169" s="390">
        <v>50</v>
      </c>
      <c r="V169" s="390"/>
      <c r="W169" s="390">
        <v>50</v>
      </c>
      <c r="X169" s="390"/>
      <c r="Y169" s="391">
        <f t="shared" si="51"/>
        <v>100</v>
      </c>
    </row>
    <row r="170" spans="1:25" s="58" customFormat="1" x14ac:dyDescent="0.35">
      <c r="A170" s="390" t="s">
        <v>2757</v>
      </c>
      <c r="B170" s="390" t="str">
        <f>VLOOKUP(A170,TaskValues_ref!E:F,2,FALSE)</f>
        <v>STH MDA</v>
      </c>
      <c r="C170" s="390">
        <v>100</v>
      </c>
      <c r="D170" s="390"/>
      <c r="E170" s="391">
        <f t="shared" si="62"/>
        <v>100</v>
      </c>
      <c r="F170" s="389"/>
      <c r="G170" s="390"/>
      <c r="H170" s="390">
        <v>100</v>
      </c>
      <c r="I170" s="390"/>
      <c r="J170" s="391">
        <f t="shared" si="49"/>
        <v>100</v>
      </c>
      <c r="K170" s="389"/>
      <c r="L170" s="390"/>
      <c r="M170" s="390"/>
      <c r="N170" s="390"/>
      <c r="O170" s="390"/>
      <c r="P170" s="392">
        <v>100</v>
      </c>
      <c r="Q170" s="390"/>
      <c r="R170" s="391">
        <f t="shared" si="50"/>
        <v>100</v>
      </c>
      <c r="S170" s="389"/>
      <c r="T170" s="390"/>
      <c r="U170" s="390"/>
      <c r="V170" s="390"/>
      <c r="W170" s="390">
        <f t="shared" si="61"/>
        <v>100</v>
      </c>
      <c r="X170" s="390"/>
      <c r="Y170" s="391">
        <f t="shared" si="51"/>
        <v>100</v>
      </c>
    </row>
    <row r="171" spans="1:25" s="58" customFormat="1" x14ac:dyDescent="0.35">
      <c r="A171" s="390" t="s">
        <v>2758</v>
      </c>
      <c r="B171" s="390" t="str">
        <f>VLOOKUP(A171,TaskValues_ref!E:F,2,FALSE)</f>
        <v>STH dx &amp; treat in pregnancy</v>
      </c>
      <c r="C171" s="390">
        <v>100</v>
      </c>
      <c r="D171" s="390"/>
      <c r="E171" s="391">
        <f t="shared" si="62"/>
        <v>100</v>
      </c>
      <c r="F171" s="389">
        <v>100</v>
      </c>
      <c r="G171" s="390"/>
      <c r="H171" s="390"/>
      <c r="I171" s="390"/>
      <c r="J171" s="391">
        <f t="shared" si="49"/>
        <v>100</v>
      </c>
      <c r="K171" s="389">
        <v>100</v>
      </c>
      <c r="L171" s="390"/>
      <c r="M171" s="390"/>
      <c r="N171" s="390"/>
      <c r="O171" s="390"/>
      <c r="P171" s="392"/>
      <c r="Q171" s="390"/>
      <c r="R171" s="391">
        <f t="shared" si="50"/>
        <v>100</v>
      </c>
      <c r="S171" s="389">
        <v>100</v>
      </c>
      <c r="T171" s="390"/>
      <c r="U171" s="390"/>
      <c r="V171" s="390"/>
      <c r="W171" s="390"/>
      <c r="X171" s="390"/>
      <c r="Y171" s="391">
        <f t="shared" si="51"/>
        <v>100</v>
      </c>
    </row>
    <row r="172" spans="1:25" s="58" customFormat="1" x14ac:dyDescent="0.35">
      <c r="A172" s="390" t="s">
        <v>2759</v>
      </c>
      <c r="B172" s="390" t="str">
        <f>VLOOKUP(A172,TaskValues_ref!E:F,2,FALSE)</f>
        <v>Scabies behavior change</v>
      </c>
      <c r="C172" s="390">
        <v>100</v>
      </c>
      <c r="D172" s="390"/>
      <c r="E172" s="391">
        <f t="shared" si="62"/>
        <v>100</v>
      </c>
      <c r="F172" s="389"/>
      <c r="G172" s="390"/>
      <c r="H172" s="390">
        <v>100</v>
      </c>
      <c r="I172" s="390"/>
      <c r="J172" s="391">
        <f t="shared" si="49"/>
        <v>100</v>
      </c>
      <c r="K172" s="389"/>
      <c r="L172" s="390"/>
      <c r="M172" s="390">
        <v>50</v>
      </c>
      <c r="N172" s="390"/>
      <c r="O172" s="390"/>
      <c r="P172" s="390">
        <v>50</v>
      </c>
      <c r="Q172" s="390"/>
      <c r="R172" s="391">
        <f t="shared" si="50"/>
        <v>100</v>
      </c>
      <c r="S172" s="389"/>
      <c r="T172" s="390"/>
      <c r="U172" s="390">
        <v>50</v>
      </c>
      <c r="V172" s="390"/>
      <c r="W172" s="390">
        <v>50</v>
      </c>
      <c r="X172" s="390"/>
      <c r="Y172" s="391">
        <f t="shared" si="51"/>
        <v>100</v>
      </c>
    </row>
    <row r="173" spans="1:25" s="58" customFormat="1" x14ac:dyDescent="0.35">
      <c r="A173" s="390" t="s">
        <v>2760</v>
      </c>
      <c r="B173" s="390" t="str">
        <f>VLOOKUP(A173,TaskValues_ref!E:F,2,FALSE)</f>
        <v>Scabies MDA</v>
      </c>
      <c r="C173" s="390">
        <v>100</v>
      </c>
      <c r="D173" s="390"/>
      <c r="E173" s="391">
        <f t="shared" si="62"/>
        <v>100</v>
      </c>
      <c r="F173" s="389"/>
      <c r="G173" s="390"/>
      <c r="H173" s="390">
        <v>100</v>
      </c>
      <c r="I173" s="390"/>
      <c r="J173" s="391">
        <f t="shared" si="49"/>
        <v>100</v>
      </c>
      <c r="K173" s="389"/>
      <c r="L173" s="390"/>
      <c r="M173" s="390"/>
      <c r="N173" s="390"/>
      <c r="O173" s="390"/>
      <c r="P173" s="392">
        <v>100</v>
      </c>
      <c r="Q173" s="390"/>
      <c r="R173" s="391">
        <f t="shared" si="50"/>
        <v>100</v>
      </c>
      <c r="S173" s="389"/>
      <c r="T173" s="390"/>
      <c r="U173" s="390"/>
      <c r="V173" s="390"/>
      <c r="W173" s="390">
        <f t="shared" si="61"/>
        <v>100</v>
      </c>
      <c r="X173" s="390"/>
      <c r="Y173" s="391">
        <f t="shared" si="51"/>
        <v>100</v>
      </c>
    </row>
    <row r="174" spans="1:25" x14ac:dyDescent="0.35">
      <c r="A174" s="319" t="s">
        <v>2636</v>
      </c>
      <c r="B174" s="319" t="str">
        <f>VLOOKUP(A174,TaskValues_ref!E:F,2,FALSE)</f>
        <v>Model household program</v>
      </c>
      <c r="C174" s="390">
        <v>100</v>
      </c>
      <c r="E174" s="320">
        <f t="shared" si="62"/>
        <v>100</v>
      </c>
      <c r="H174" s="319">
        <v>100</v>
      </c>
      <c r="J174" s="320">
        <f t="shared" si="49"/>
        <v>100</v>
      </c>
      <c r="P174" s="392">
        <v>100</v>
      </c>
      <c r="R174" s="320">
        <f t="shared" si="50"/>
        <v>100</v>
      </c>
      <c r="W174" s="319">
        <v>100</v>
      </c>
      <c r="Y174" s="320">
        <f t="shared" si="51"/>
        <v>100</v>
      </c>
    </row>
    <row r="175" spans="1:25" x14ac:dyDescent="0.35">
      <c r="A175" s="319" t="s">
        <v>2637</v>
      </c>
      <c r="B175" s="319" t="str">
        <f>VLOOKUP(A175,TaskValues_ref!E:F,2,FALSE)</f>
        <v>Model household program</v>
      </c>
      <c r="C175" s="390">
        <v>100</v>
      </c>
      <c r="E175" s="320">
        <f t="shared" si="62"/>
        <v>100</v>
      </c>
      <c r="H175" s="319">
        <v>100</v>
      </c>
      <c r="J175" s="320">
        <f t="shared" si="49"/>
        <v>100</v>
      </c>
      <c r="M175" s="319">
        <v>50</v>
      </c>
      <c r="N175" s="319">
        <v>50</v>
      </c>
      <c r="R175" s="320">
        <f t="shared" si="50"/>
        <v>100</v>
      </c>
      <c r="U175" s="319">
        <v>100</v>
      </c>
      <c r="Y175" s="320">
        <f t="shared" si="51"/>
        <v>100</v>
      </c>
    </row>
    <row r="176" spans="1:25" x14ac:dyDescent="0.35">
      <c r="A176" s="319" t="s">
        <v>1958</v>
      </c>
      <c r="B176" s="319" t="str">
        <f>VLOOKUP(A176,TaskValues_ref!E:F,2,FALSE)</f>
        <v>Record keeping</v>
      </c>
      <c r="C176" s="390">
        <v>100</v>
      </c>
      <c r="E176" s="320">
        <f t="shared" si="62"/>
        <v>100</v>
      </c>
      <c r="F176" s="64">
        <v>25</v>
      </c>
      <c r="G176" s="321">
        <v>25</v>
      </c>
      <c r="H176" s="392">
        <v>50</v>
      </c>
      <c r="J176" s="320">
        <f t="shared" si="49"/>
        <v>100</v>
      </c>
      <c r="K176" s="64">
        <f>1/6*100</f>
        <v>16.666666666666664</v>
      </c>
      <c r="L176" s="319">
        <f t="shared" ref="L176:P176" si="63">1/6*100</f>
        <v>16.666666666666664</v>
      </c>
      <c r="M176" s="319">
        <f t="shared" si="63"/>
        <v>16.666666666666664</v>
      </c>
      <c r="N176" s="319">
        <f t="shared" si="63"/>
        <v>16.666666666666664</v>
      </c>
      <c r="O176" s="319">
        <f t="shared" si="63"/>
        <v>16.666666666666664</v>
      </c>
      <c r="P176" s="319">
        <f t="shared" si="63"/>
        <v>16.666666666666664</v>
      </c>
      <c r="R176" s="320">
        <f>SUM(K176:Q176)</f>
        <v>99.999999999999972</v>
      </c>
      <c r="S176" s="64">
        <f>1/6*100</f>
        <v>16.666666666666664</v>
      </c>
      <c r="T176" s="319">
        <f t="shared" ref="T176:W176" si="64">1/6*100</f>
        <v>16.666666666666664</v>
      </c>
      <c r="U176" s="319">
        <f>1/6*100*2</f>
        <v>33.333333333333329</v>
      </c>
      <c r="V176" s="319">
        <f t="shared" si="64"/>
        <v>16.666666666666664</v>
      </c>
      <c r="W176" s="319">
        <f t="shared" si="64"/>
        <v>16.666666666666664</v>
      </c>
      <c r="Y176" s="320">
        <f t="shared" si="51"/>
        <v>99.999999999999972</v>
      </c>
    </row>
    <row r="177" spans="1:25" x14ac:dyDescent="0.35">
      <c r="A177" s="319" t="s">
        <v>2804</v>
      </c>
      <c r="B177" s="319" t="s">
        <v>2806</v>
      </c>
      <c r="C177" s="390">
        <v>100</v>
      </c>
      <c r="E177" s="320">
        <f t="shared" si="62"/>
        <v>100</v>
      </c>
      <c r="H177" s="321">
        <v>100</v>
      </c>
      <c r="J177" s="320">
        <f t="shared" ref="J177:J178" si="65">SUM(F177:I177)</f>
        <v>100</v>
      </c>
      <c r="P177" s="321">
        <v>100</v>
      </c>
      <c r="R177" s="320">
        <f>SUM(K177:Q177)</f>
        <v>100</v>
      </c>
      <c r="W177" s="319">
        <v>100</v>
      </c>
      <c r="Y177" s="320">
        <f t="shared" si="51"/>
        <v>100</v>
      </c>
    </row>
    <row r="178" spans="1:25" x14ac:dyDescent="0.35">
      <c r="A178" s="319" t="s">
        <v>2805</v>
      </c>
      <c r="B178" s="319" t="s">
        <v>2807</v>
      </c>
      <c r="C178" s="390">
        <v>100</v>
      </c>
      <c r="E178" s="320">
        <f t="shared" si="62"/>
        <v>100</v>
      </c>
      <c r="H178" s="321">
        <v>100</v>
      </c>
      <c r="J178" s="320">
        <f t="shared" si="65"/>
        <v>100</v>
      </c>
      <c r="M178" s="319">
        <v>100</v>
      </c>
      <c r="P178" s="321"/>
      <c r="R178" s="320">
        <f>SUM(K178:Q178)</f>
        <v>100</v>
      </c>
      <c r="U178" s="319">
        <v>100</v>
      </c>
      <c r="Y178" s="320">
        <f t="shared" si="51"/>
        <v>100</v>
      </c>
    </row>
    <row r="179" spans="1:25" x14ac:dyDescent="0.35">
      <c r="A179" s="64" t="s">
        <v>2822</v>
      </c>
      <c r="B179" s="321" t="s">
        <v>2828</v>
      </c>
      <c r="C179" s="390">
        <v>100</v>
      </c>
      <c r="E179" s="320">
        <f t="shared" si="62"/>
        <v>100</v>
      </c>
      <c r="H179" s="319">
        <v>100</v>
      </c>
      <c r="J179" s="320">
        <f t="shared" ref="J179:J182" si="66">SUM(F179:I179)</f>
        <v>100</v>
      </c>
      <c r="K179" s="64">
        <v>100</v>
      </c>
      <c r="R179" s="320">
        <f t="shared" ref="R179:R184" si="67">SUM(K179:Q179)</f>
        <v>100</v>
      </c>
      <c r="S179" s="64">
        <v>100</v>
      </c>
      <c r="Y179" s="320">
        <f t="shared" si="51"/>
        <v>100</v>
      </c>
    </row>
    <row r="180" spans="1:25" x14ac:dyDescent="0.35">
      <c r="A180" s="64" t="s">
        <v>2823</v>
      </c>
      <c r="B180" s="321" t="s">
        <v>2829</v>
      </c>
      <c r="C180" s="390">
        <v>100</v>
      </c>
      <c r="E180" s="320">
        <f t="shared" si="62"/>
        <v>100</v>
      </c>
      <c r="H180" s="319">
        <v>100</v>
      </c>
      <c r="J180" s="320">
        <f t="shared" si="66"/>
        <v>100</v>
      </c>
      <c r="L180" s="319">
        <v>100</v>
      </c>
      <c r="R180" s="320">
        <f t="shared" si="67"/>
        <v>100</v>
      </c>
      <c r="T180" s="319">
        <v>100</v>
      </c>
      <c r="Y180" s="320">
        <f t="shared" si="51"/>
        <v>100</v>
      </c>
    </row>
    <row r="181" spans="1:25" x14ac:dyDescent="0.35">
      <c r="A181" s="64" t="s">
        <v>2824</v>
      </c>
      <c r="B181" s="321" t="s">
        <v>2830</v>
      </c>
      <c r="H181" s="319">
        <v>100</v>
      </c>
      <c r="J181" s="320">
        <f t="shared" si="66"/>
        <v>100</v>
      </c>
      <c r="M181" s="319">
        <v>100</v>
      </c>
      <c r="R181" s="320">
        <f t="shared" si="67"/>
        <v>100</v>
      </c>
      <c r="U181" s="319">
        <v>100</v>
      </c>
      <c r="Y181" s="320">
        <f t="shared" si="51"/>
        <v>100</v>
      </c>
    </row>
    <row r="182" spans="1:25" x14ac:dyDescent="0.35">
      <c r="A182" s="64" t="s">
        <v>2825</v>
      </c>
      <c r="B182" s="321" t="s">
        <v>2831</v>
      </c>
      <c r="C182" s="321"/>
      <c r="H182" s="321">
        <v>100</v>
      </c>
      <c r="J182" s="320">
        <f t="shared" si="66"/>
        <v>100</v>
      </c>
      <c r="N182" s="319">
        <v>100</v>
      </c>
      <c r="R182" s="320">
        <f t="shared" si="67"/>
        <v>100</v>
      </c>
      <c r="U182" s="319">
        <v>100</v>
      </c>
      <c r="Y182" s="320">
        <f t="shared" si="51"/>
        <v>100</v>
      </c>
    </row>
    <row r="183" spans="1:25" x14ac:dyDescent="0.35">
      <c r="A183" s="321" t="s">
        <v>2826</v>
      </c>
      <c r="B183" s="321" t="s">
        <v>2832</v>
      </c>
      <c r="O183" s="319">
        <v>100</v>
      </c>
      <c r="R183" s="320">
        <f t="shared" si="67"/>
        <v>100</v>
      </c>
      <c r="V183" s="319">
        <v>100</v>
      </c>
      <c r="Y183" s="320">
        <f t="shared" si="51"/>
        <v>100</v>
      </c>
    </row>
    <row r="184" spans="1:25" x14ac:dyDescent="0.35">
      <c r="A184" s="321" t="s">
        <v>2827</v>
      </c>
      <c r="B184" s="321" t="s">
        <v>2833</v>
      </c>
      <c r="P184" s="319">
        <v>100</v>
      </c>
      <c r="R184" s="320">
        <f t="shared" si="67"/>
        <v>100</v>
      </c>
      <c r="W184" s="319">
        <v>100</v>
      </c>
      <c r="Y184" s="320">
        <f t="shared" si="51"/>
        <v>100</v>
      </c>
    </row>
  </sheetData>
  <conditionalFormatting sqref="E2:E31 E34:E40 E43:E53 E55:E59 E62:E66 E68 E86:E93 E96:E108 E70 E72 E74:E78 E123:E128 E115:E116 E110:E112 E119 E142 J152:J176 R152:R176 Y151:Y176 E152:E184">
    <cfRule type="cellIs" dxfId="316" priority="213" operator="notEqual">
      <formula>100</formula>
    </cfRule>
  </conditionalFormatting>
  <conditionalFormatting sqref="J2:J31 J34:J40 J43:J53 J55:J59 J62:J66 J68 J86:J93 J96:J108 J70 J72 J74:J78 J123:J128 J115:J116 J110:J112 J119 J142">
    <cfRule type="cellIs" dxfId="315" priority="212" operator="notEqual">
      <formula>100</formula>
    </cfRule>
  </conditionalFormatting>
  <conditionalFormatting sqref="R2:R31 R34:R40 R43:R53 R55:R59 R62:R66 R68 R86:R93 R96:R108 R70 R72 R74:R78 R123:R128 R115:R116 R110:R112 R119 R142">
    <cfRule type="cellIs" dxfId="314" priority="211" operator="notEqual">
      <formula>100</formula>
    </cfRule>
  </conditionalFormatting>
  <conditionalFormatting sqref="Y2:Y31 Y34:Y40 Y43:Y53 Y55:Y59 Y62:Y66 Y68 Y86:Y93 Y96:Y108 Y70 Y72 Y74:Y78 Y123:Y128 Y115:Y116 Y110:Y112 Y119 Y142">
    <cfRule type="cellIs" dxfId="313" priority="210" operator="notEqual">
      <formula>100</formula>
    </cfRule>
  </conditionalFormatting>
  <conditionalFormatting sqref="E151">
    <cfRule type="cellIs" dxfId="312" priority="209" operator="notEqual">
      <formula>100</formula>
    </cfRule>
  </conditionalFormatting>
  <conditionalFormatting sqref="J151">
    <cfRule type="cellIs" dxfId="311" priority="208" operator="notEqual">
      <formula>100</formula>
    </cfRule>
  </conditionalFormatting>
  <conditionalFormatting sqref="R151">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43">
    <cfRule type="cellIs" dxfId="213" priority="110" operator="notEqual">
      <formula>100</formula>
    </cfRule>
  </conditionalFormatting>
  <conditionalFormatting sqref="J143">
    <cfRule type="cellIs" dxfId="212" priority="109" operator="notEqual">
      <formula>100</formula>
    </cfRule>
  </conditionalFormatting>
  <conditionalFormatting sqref="R143">
    <cfRule type="cellIs" dxfId="211" priority="108" operator="notEqual">
      <formula>100</formula>
    </cfRule>
  </conditionalFormatting>
  <conditionalFormatting sqref="Y143">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33">
    <cfRule type="cellIs" dxfId="193" priority="90" operator="notEqual">
      <formula>100</formula>
    </cfRule>
  </conditionalFormatting>
  <conditionalFormatting sqref="J133">
    <cfRule type="cellIs" dxfId="192" priority="89" operator="notEqual">
      <formula>100</formula>
    </cfRule>
  </conditionalFormatting>
  <conditionalFormatting sqref="R133">
    <cfRule type="cellIs" dxfId="191" priority="88" operator="notEqual">
      <formula>100</formula>
    </cfRule>
  </conditionalFormatting>
  <conditionalFormatting sqref="Y133">
    <cfRule type="cellIs" dxfId="190" priority="87" operator="notEqual">
      <formula>100</formula>
    </cfRule>
  </conditionalFormatting>
  <conditionalFormatting sqref="E134">
    <cfRule type="cellIs" dxfId="189" priority="86" operator="notEqual">
      <formula>100</formula>
    </cfRule>
  </conditionalFormatting>
  <conditionalFormatting sqref="J134">
    <cfRule type="cellIs" dxfId="188" priority="85" operator="notEqual">
      <formula>100</formula>
    </cfRule>
  </conditionalFormatting>
  <conditionalFormatting sqref="R134">
    <cfRule type="cellIs" dxfId="187" priority="84" operator="notEqual">
      <formula>100</formula>
    </cfRule>
  </conditionalFormatting>
  <conditionalFormatting sqref="Y134">
    <cfRule type="cellIs" dxfId="186" priority="83" operator="notEqual">
      <formula>100</formula>
    </cfRule>
  </conditionalFormatting>
  <conditionalFormatting sqref="E137">
    <cfRule type="cellIs" dxfId="185" priority="82" operator="notEqual">
      <formula>100</formula>
    </cfRule>
  </conditionalFormatting>
  <conditionalFormatting sqref="J137">
    <cfRule type="cellIs" dxfId="184" priority="81" operator="notEqual">
      <formula>100</formula>
    </cfRule>
  </conditionalFormatting>
  <conditionalFormatting sqref="R137">
    <cfRule type="cellIs" dxfId="183" priority="80" operator="notEqual">
      <formula>100</formula>
    </cfRule>
  </conditionalFormatting>
  <conditionalFormatting sqref="Y137">
    <cfRule type="cellIs" dxfId="182" priority="79" operator="notEqual">
      <formula>100</formula>
    </cfRule>
  </conditionalFormatting>
  <conditionalFormatting sqref="E139">
    <cfRule type="cellIs" dxfId="181" priority="78" operator="notEqual">
      <formula>100</formula>
    </cfRule>
  </conditionalFormatting>
  <conditionalFormatting sqref="J139">
    <cfRule type="cellIs" dxfId="180" priority="77" operator="notEqual">
      <formula>100</formula>
    </cfRule>
  </conditionalFormatting>
  <conditionalFormatting sqref="R139">
    <cfRule type="cellIs" dxfId="179" priority="76" operator="notEqual">
      <formula>100</formula>
    </cfRule>
  </conditionalFormatting>
  <conditionalFormatting sqref="Y139">
    <cfRule type="cellIs" dxfId="178" priority="75" operator="notEqual">
      <formula>100</formula>
    </cfRule>
  </conditionalFormatting>
  <conditionalFormatting sqref="E140">
    <cfRule type="cellIs" dxfId="177" priority="74" operator="notEqual">
      <formula>100</formula>
    </cfRule>
  </conditionalFormatting>
  <conditionalFormatting sqref="J140">
    <cfRule type="cellIs" dxfId="176" priority="73" operator="notEqual">
      <formula>100</formula>
    </cfRule>
  </conditionalFormatting>
  <conditionalFormatting sqref="R140">
    <cfRule type="cellIs" dxfId="175" priority="72" operator="notEqual">
      <formula>100</formula>
    </cfRule>
  </conditionalFormatting>
  <conditionalFormatting sqref="Y140">
    <cfRule type="cellIs" dxfId="174" priority="71" operator="notEqual">
      <formula>100</formula>
    </cfRule>
  </conditionalFormatting>
  <conditionalFormatting sqref="E146">
    <cfRule type="cellIs" dxfId="173" priority="70" operator="notEqual">
      <formula>100</formula>
    </cfRule>
  </conditionalFormatting>
  <conditionalFormatting sqref="J146">
    <cfRule type="cellIs" dxfId="172" priority="69" operator="notEqual">
      <formula>100</formula>
    </cfRule>
  </conditionalFormatting>
  <conditionalFormatting sqref="R146">
    <cfRule type="cellIs" dxfId="171" priority="68" operator="notEqual">
      <formula>100</formula>
    </cfRule>
  </conditionalFormatting>
  <conditionalFormatting sqref="Y146">
    <cfRule type="cellIs" dxfId="170" priority="67" operator="notEqual">
      <formula>100</formula>
    </cfRule>
  </conditionalFormatting>
  <conditionalFormatting sqref="E129">
    <cfRule type="cellIs" dxfId="169" priority="66" operator="notEqual">
      <formula>100</formula>
    </cfRule>
  </conditionalFormatting>
  <conditionalFormatting sqref="J129">
    <cfRule type="cellIs" dxfId="168" priority="65" operator="notEqual">
      <formula>100</formula>
    </cfRule>
  </conditionalFormatting>
  <conditionalFormatting sqref="R129">
    <cfRule type="cellIs" dxfId="167" priority="64" operator="notEqual">
      <formula>100</formula>
    </cfRule>
  </conditionalFormatting>
  <conditionalFormatting sqref="Y129">
    <cfRule type="cellIs" dxfId="166" priority="63" operator="notEqual">
      <formula>100</formula>
    </cfRule>
  </conditionalFormatting>
  <conditionalFormatting sqref="E130">
    <cfRule type="cellIs" dxfId="165" priority="62" operator="notEqual">
      <formula>100</formula>
    </cfRule>
  </conditionalFormatting>
  <conditionalFormatting sqref="J130">
    <cfRule type="cellIs" dxfId="164" priority="61" operator="notEqual">
      <formula>100</formula>
    </cfRule>
  </conditionalFormatting>
  <conditionalFormatting sqref="R130">
    <cfRule type="cellIs" dxfId="163" priority="60" operator="notEqual">
      <formula>100</formula>
    </cfRule>
  </conditionalFormatting>
  <conditionalFormatting sqref="Y130">
    <cfRule type="cellIs" dxfId="162" priority="59" operator="notEqual">
      <formula>100</formula>
    </cfRule>
  </conditionalFormatting>
  <conditionalFormatting sqref="E131">
    <cfRule type="cellIs" dxfId="161" priority="58" operator="notEqual">
      <formula>100</formula>
    </cfRule>
  </conditionalFormatting>
  <conditionalFormatting sqref="J131">
    <cfRule type="cellIs" dxfId="160" priority="57" operator="notEqual">
      <formula>100</formula>
    </cfRule>
  </conditionalFormatting>
  <conditionalFormatting sqref="R131">
    <cfRule type="cellIs" dxfId="159" priority="56" operator="notEqual">
      <formula>100</formula>
    </cfRule>
  </conditionalFormatting>
  <conditionalFormatting sqref="Y131">
    <cfRule type="cellIs" dxfId="158" priority="55" operator="notEqual">
      <formula>100</formula>
    </cfRule>
  </conditionalFormatting>
  <conditionalFormatting sqref="E132">
    <cfRule type="cellIs" dxfId="157" priority="54" operator="notEqual">
      <formula>100</formula>
    </cfRule>
  </conditionalFormatting>
  <conditionalFormatting sqref="J132">
    <cfRule type="cellIs" dxfId="156" priority="53" operator="notEqual">
      <formula>100</formula>
    </cfRule>
  </conditionalFormatting>
  <conditionalFormatting sqref="R132">
    <cfRule type="cellIs" dxfId="155" priority="52" operator="notEqual">
      <formula>100</formula>
    </cfRule>
  </conditionalFormatting>
  <conditionalFormatting sqref="Y132">
    <cfRule type="cellIs" dxfId="154" priority="51" operator="notEqual">
      <formula>100</formula>
    </cfRule>
  </conditionalFormatting>
  <conditionalFormatting sqref="E135">
    <cfRule type="cellIs" dxfId="153" priority="50" operator="notEqual">
      <formula>100</formula>
    </cfRule>
  </conditionalFormatting>
  <conditionalFormatting sqref="J135">
    <cfRule type="cellIs" dxfId="152" priority="49" operator="notEqual">
      <formula>100</formula>
    </cfRule>
  </conditionalFormatting>
  <conditionalFormatting sqref="R135">
    <cfRule type="cellIs" dxfId="151" priority="48" operator="notEqual">
      <formula>100</formula>
    </cfRule>
  </conditionalFormatting>
  <conditionalFormatting sqref="Y135">
    <cfRule type="cellIs" dxfId="150" priority="47" operator="notEqual">
      <formula>100</formula>
    </cfRule>
  </conditionalFormatting>
  <conditionalFormatting sqref="E136">
    <cfRule type="cellIs" dxfId="149" priority="46" operator="notEqual">
      <formula>100</formula>
    </cfRule>
  </conditionalFormatting>
  <conditionalFormatting sqref="J136">
    <cfRule type="cellIs" dxfId="148" priority="45" operator="notEqual">
      <formula>100</formula>
    </cfRule>
  </conditionalFormatting>
  <conditionalFormatting sqref="R136">
    <cfRule type="cellIs" dxfId="147" priority="44" operator="notEqual">
      <formula>100</formula>
    </cfRule>
  </conditionalFormatting>
  <conditionalFormatting sqref="Y136">
    <cfRule type="cellIs" dxfId="146" priority="43" operator="notEqual">
      <formula>100</formula>
    </cfRule>
  </conditionalFormatting>
  <conditionalFormatting sqref="E138">
    <cfRule type="cellIs" dxfId="145" priority="42" operator="notEqual">
      <formula>100</formula>
    </cfRule>
  </conditionalFormatting>
  <conditionalFormatting sqref="J138">
    <cfRule type="cellIs" dxfId="144" priority="41" operator="notEqual">
      <formula>100</formula>
    </cfRule>
  </conditionalFormatting>
  <conditionalFormatting sqref="R138">
    <cfRule type="cellIs" dxfId="143" priority="40" operator="notEqual">
      <formula>100</formula>
    </cfRule>
  </conditionalFormatting>
  <conditionalFormatting sqref="Y138">
    <cfRule type="cellIs" dxfId="142" priority="39" operator="notEqual">
      <formula>100</formula>
    </cfRule>
  </conditionalFormatting>
  <conditionalFormatting sqref="E141">
    <cfRule type="cellIs" dxfId="141" priority="38" operator="notEqual">
      <formula>100</formula>
    </cfRule>
  </conditionalFormatting>
  <conditionalFormatting sqref="J141">
    <cfRule type="cellIs" dxfId="140" priority="37" operator="notEqual">
      <formula>100</formula>
    </cfRule>
  </conditionalFormatting>
  <conditionalFormatting sqref="R141">
    <cfRule type="cellIs" dxfId="139" priority="36" operator="notEqual">
      <formula>100</formula>
    </cfRule>
  </conditionalFormatting>
  <conditionalFormatting sqref="Y141">
    <cfRule type="cellIs" dxfId="138" priority="35" operator="notEqual">
      <formula>100</formula>
    </cfRule>
  </conditionalFormatting>
  <conditionalFormatting sqref="E144">
    <cfRule type="cellIs" dxfId="137" priority="34" operator="notEqual">
      <formula>100</formula>
    </cfRule>
  </conditionalFormatting>
  <conditionalFormatting sqref="J144">
    <cfRule type="cellIs" dxfId="136" priority="33" operator="notEqual">
      <formula>100</formula>
    </cfRule>
  </conditionalFormatting>
  <conditionalFormatting sqref="R144">
    <cfRule type="cellIs" dxfId="135" priority="32" operator="notEqual">
      <formula>100</formula>
    </cfRule>
  </conditionalFormatting>
  <conditionalFormatting sqref="Y144">
    <cfRule type="cellIs" dxfId="134" priority="31" operator="notEqual">
      <formula>100</formula>
    </cfRule>
  </conditionalFormatting>
  <conditionalFormatting sqref="E145">
    <cfRule type="cellIs" dxfId="133" priority="30" operator="notEqual">
      <formula>100</formula>
    </cfRule>
  </conditionalFormatting>
  <conditionalFormatting sqref="J145">
    <cfRule type="cellIs" dxfId="132" priority="29" operator="notEqual">
      <formula>100</formula>
    </cfRule>
  </conditionalFormatting>
  <conditionalFormatting sqref="R145">
    <cfRule type="cellIs" dxfId="131" priority="28" operator="notEqual">
      <formula>100</formula>
    </cfRule>
  </conditionalFormatting>
  <conditionalFormatting sqref="Y145">
    <cfRule type="cellIs" dxfId="130" priority="27" operator="notEqual">
      <formula>100</formula>
    </cfRule>
  </conditionalFormatting>
  <conditionalFormatting sqref="E147">
    <cfRule type="cellIs" dxfId="129" priority="26" operator="notEqual">
      <formula>100</formula>
    </cfRule>
  </conditionalFormatting>
  <conditionalFormatting sqref="J147">
    <cfRule type="cellIs" dxfId="128" priority="25" operator="notEqual">
      <formula>100</formula>
    </cfRule>
  </conditionalFormatting>
  <conditionalFormatting sqref="R147">
    <cfRule type="cellIs" dxfId="127" priority="24" operator="notEqual">
      <formula>100</formula>
    </cfRule>
  </conditionalFormatting>
  <conditionalFormatting sqref="Y147">
    <cfRule type="cellIs" dxfId="126" priority="23" operator="notEqual">
      <formula>100</formula>
    </cfRule>
  </conditionalFormatting>
  <conditionalFormatting sqref="E148">
    <cfRule type="cellIs" dxfId="125" priority="22" operator="notEqual">
      <formula>100</formula>
    </cfRule>
  </conditionalFormatting>
  <conditionalFormatting sqref="J148">
    <cfRule type="cellIs" dxfId="124" priority="21" operator="notEqual">
      <formula>100</formula>
    </cfRule>
  </conditionalFormatting>
  <conditionalFormatting sqref="R148">
    <cfRule type="cellIs" dxfId="123" priority="20" operator="notEqual">
      <formula>100</formula>
    </cfRule>
  </conditionalFormatting>
  <conditionalFormatting sqref="Y148">
    <cfRule type="cellIs" dxfId="122" priority="19" operator="notEqual">
      <formula>100</formula>
    </cfRule>
  </conditionalFormatting>
  <conditionalFormatting sqref="E150">
    <cfRule type="cellIs" dxfId="121" priority="14" operator="notEqual">
      <formula>100</formula>
    </cfRule>
  </conditionalFormatting>
  <conditionalFormatting sqref="J150">
    <cfRule type="cellIs" dxfId="120" priority="13" operator="notEqual">
      <formula>100</formula>
    </cfRule>
  </conditionalFormatting>
  <conditionalFormatting sqref="R150">
    <cfRule type="cellIs" dxfId="119" priority="12" operator="notEqual">
      <formula>100</formula>
    </cfRule>
  </conditionalFormatting>
  <conditionalFormatting sqref="Y150">
    <cfRule type="cellIs" dxfId="118" priority="11" operator="notEqual">
      <formula>100</formula>
    </cfRule>
  </conditionalFormatting>
  <conditionalFormatting sqref="E149">
    <cfRule type="cellIs" dxfId="117" priority="10" operator="notEqual">
      <formula>100</formula>
    </cfRule>
  </conditionalFormatting>
  <conditionalFormatting sqref="J149">
    <cfRule type="cellIs" dxfId="116" priority="9" operator="notEqual">
      <formula>100</formula>
    </cfRule>
  </conditionalFormatting>
  <conditionalFormatting sqref="R149">
    <cfRule type="cellIs" dxfId="115" priority="8" operator="notEqual">
      <formula>100</formula>
    </cfRule>
  </conditionalFormatting>
  <conditionalFormatting sqref="Y149">
    <cfRule type="cellIs" dxfId="114" priority="7" operator="notEqual">
      <formula>100</formula>
    </cfRule>
  </conditionalFormatting>
  <conditionalFormatting sqref="J177:J178">
    <cfRule type="cellIs" dxfId="113" priority="6" operator="notEqual">
      <formula>100</formula>
    </cfRule>
  </conditionalFormatting>
  <conditionalFormatting sqref="R177:R184">
    <cfRule type="cellIs" dxfId="112" priority="5" operator="notEqual">
      <formula>100</formula>
    </cfRule>
  </conditionalFormatting>
  <conditionalFormatting sqref="Y177">
    <cfRule type="cellIs" dxfId="111" priority="4" operator="notEqual">
      <formula>100</formula>
    </cfRule>
  </conditionalFormatting>
  <conditionalFormatting sqref="Y178:Y184">
    <cfRule type="cellIs" dxfId="110" priority="2" operator="notEqual">
      <formula>100</formula>
    </cfRule>
  </conditionalFormatting>
  <conditionalFormatting sqref="J179:J182">
    <cfRule type="cellIs" dxfId="109" priority="1" operator="notEqual">
      <formula>100</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64"/>
  <sheetViews>
    <sheetView zoomScale="70" zoomScaleNormal="70" workbookViewId="0">
      <pane ySplit="1" topLeftCell="A1048549" activePane="bottomLeft" state="frozen"/>
      <selection activeCell="B15" sqref="B15"/>
      <selection pane="bottomLeft" activeCell="S1" sqref="S1"/>
    </sheetView>
  </sheetViews>
  <sheetFormatPr defaultRowHeight="14.5" x14ac:dyDescent="0.35"/>
  <cols>
    <col min="1" max="1" width="15.1796875" style="319" customWidth="1"/>
    <col min="2" max="2" width="42" style="319" bestFit="1" customWidth="1"/>
    <col min="3" max="3" width="3.81640625" style="64" customWidth="1"/>
    <col min="4" max="4" width="3.81640625" style="319" customWidth="1"/>
    <col min="5" max="5" width="3.81640625" style="320" customWidth="1"/>
    <col min="6" max="8" width="3.81640625" style="319" customWidth="1"/>
    <col min="9" max="9" width="3.81640625" style="320" customWidth="1"/>
    <col min="10" max="14" width="3.81640625" style="319" customWidth="1"/>
    <col min="15" max="15" width="3.81640625" style="320" customWidth="1"/>
    <col min="16" max="19" width="3.81640625" style="319" customWidth="1"/>
    <col min="20" max="20" width="3.81640625" style="320" customWidth="1"/>
  </cols>
  <sheetData>
    <row r="1" spans="1:20" s="177" customFormat="1" ht="87.5" customHeight="1" x14ac:dyDescent="0.35">
      <c r="A1" s="328" t="s">
        <v>135</v>
      </c>
      <c r="B1" s="328" t="s">
        <v>136</v>
      </c>
      <c r="C1" s="363" t="s">
        <v>2638</v>
      </c>
      <c r="D1" s="364" t="s">
        <v>2640</v>
      </c>
      <c r="E1" s="365" t="s">
        <v>2639</v>
      </c>
      <c r="F1" s="364" t="s">
        <v>2762</v>
      </c>
      <c r="G1" s="364" t="s">
        <v>2764</v>
      </c>
      <c r="H1" s="364" t="s">
        <v>2765</v>
      </c>
      <c r="I1" s="365" t="s">
        <v>2766</v>
      </c>
      <c r="J1" s="364" t="s">
        <v>2768</v>
      </c>
      <c r="K1" s="364" t="s">
        <v>2763</v>
      </c>
      <c r="L1" s="364" t="s">
        <v>2769</v>
      </c>
      <c r="M1" s="364" t="s">
        <v>2770</v>
      </c>
      <c r="N1" s="364" t="s">
        <v>2771</v>
      </c>
      <c r="O1" s="365" t="s">
        <v>2772</v>
      </c>
      <c r="P1" s="364" t="s">
        <v>2774</v>
      </c>
      <c r="Q1" s="364" t="s">
        <v>2775</v>
      </c>
      <c r="R1" s="364" t="s">
        <v>2776</v>
      </c>
      <c r="S1" s="364" t="s">
        <v>2777</v>
      </c>
      <c r="T1" s="365" t="s">
        <v>2778</v>
      </c>
    </row>
    <row r="2" spans="1:20" x14ac:dyDescent="0.35">
      <c r="A2" s="319" t="s">
        <v>2171</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35">
      <c r="A3" s="319" t="s">
        <v>2204</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35">
      <c r="A4" s="319" t="s">
        <v>2197</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35">
      <c r="A5" s="319" t="s">
        <v>2199</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3" si="8">M5</f>
        <v>0</v>
      </c>
      <c r="T5" s="320">
        <f t="shared" si="3"/>
        <v>100</v>
      </c>
    </row>
    <row r="6" spans="1:20" x14ac:dyDescent="0.35">
      <c r="A6" s="321" t="s">
        <v>2208</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35">
      <c r="A7" s="321" t="s">
        <v>2213</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35">
      <c r="A8" s="321" t="s">
        <v>2779</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35">
      <c r="A9" s="321" t="s">
        <v>2780</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35">
      <c r="A10" s="321" t="s">
        <v>2641</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35">
      <c r="A11" s="321" t="s">
        <v>2642</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35">
      <c r="A12" s="321" t="s">
        <v>2643</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35">
      <c r="A13" s="321" t="s">
        <v>2644</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35">
      <c r="A14" s="321" t="s">
        <v>2231</v>
      </c>
      <c r="B14" s="319" t="str">
        <f>VLOOKUP(A14,TaskValues_ref!E:F,2,FALSE)</f>
        <v>Pneumonia/fever</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35">
      <c r="A15" s="321" t="s">
        <v>2233</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35">
      <c r="A16" s="321" t="s">
        <v>2234</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35">
      <c r="A17" s="321" t="s">
        <v>2232</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35">
      <c r="A18" s="321" t="s">
        <v>2646</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35">
      <c r="A19" s="321" t="s">
        <v>2647</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35">
      <c r="A20" s="321" t="s">
        <v>2648</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35">
      <c r="A21" s="321" t="s">
        <v>2649</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35">
      <c r="A22" s="321" t="s">
        <v>2650</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35">
      <c r="A23" s="321" t="s">
        <v>2651</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35">
      <c r="A24" s="321" t="s">
        <v>2652</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35">
      <c r="A25" s="321" t="s">
        <v>2653</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35">
      <c r="A26" s="321" t="s">
        <v>2261</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35">
      <c r="A27" s="321" t="s">
        <v>2267</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35">
      <c r="A28" s="321" t="s">
        <v>2268</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35">
      <c r="A29" s="321" t="s">
        <v>2269</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35">
      <c r="A30" s="321" t="s">
        <v>2270</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35">
      <c r="A31" s="321" t="s">
        <v>2262</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35">
      <c r="A32" s="321" t="s">
        <v>2263</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35">
      <c r="A33" s="321" t="s">
        <v>2264</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35">
      <c r="A34" s="321" t="s">
        <v>2265</v>
      </c>
      <c r="B34" s="319" t="str">
        <f>VLOOKUP(A34,TaskValues_ref!E:F,2,FALSE)</f>
        <v>Mobiliation &amp; promotion of EPI</v>
      </c>
      <c r="C34" s="64">
        <v>100</v>
      </c>
      <c r="E34" s="320">
        <f t="shared" ref="E34:E55" si="34">SUM(C34:D34)</f>
        <v>100</v>
      </c>
      <c r="F34" s="319">
        <v>100</v>
      </c>
      <c r="I34" s="320">
        <f t="shared" ref="I34:I52" si="35">SUM(F34:H34)</f>
        <v>100</v>
      </c>
      <c r="J34" s="319">
        <v>50</v>
      </c>
      <c r="K34" s="321">
        <v>50</v>
      </c>
      <c r="L34" s="321"/>
      <c r="M34" s="319">
        <f>SUMIFS(Cadres_Comprehensive!P:P,Cadres_Comprehensive!A:A,Cadres_Basic!A34)</f>
        <v>0</v>
      </c>
      <c r="O34" s="320">
        <f t="shared" ref="O34:O52" si="36">SUM(J34:N34)</f>
        <v>100</v>
      </c>
      <c r="P34" s="319">
        <v>100</v>
      </c>
      <c r="R34" s="319">
        <f>M34</f>
        <v>0</v>
      </c>
      <c r="T34" s="320">
        <f t="shared" si="3"/>
        <v>100</v>
      </c>
    </row>
    <row r="35" spans="1:20" x14ac:dyDescent="0.35">
      <c r="A35" s="321" t="s">
        <v>2266</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35">
      <c r="A36" s="321" t="s">
        <v>2302</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3" si="37">SUM(P36:S36)</f>
        <v>100</v>
      </c>
    </row>
    <row r="37" spans="1:20" x14ac:dyDescent="0.35">
      <c r="A37" s="321" t="s">
        <v>2303</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35">
      <c r="A38" s="321" t="s">
        <v>2304</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35">
      <c r="A39" s="321" t="s">
        <v>2305</v>
      </c>
      <c r="B39" s="319" t="str">
        <f>VLOOKUP(A39,TaskValues_ref!E:F,2,FALSE)</f>
        <v>FP consult discontinue</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35">
      <c r="A40" s="321" t="s">
        <v>2654</v>
      </c>
      <c r="B40" s="319" t="str">
        <f>VLOOKUP(A40,TaskValues_ref!E:F,2,FALSE)</f>
        <v>Provision of contraceptives</v>
      </c>
      <c r="C40" s="64">
        <v>100</v>
      </c>
      <c r="E40" s="320">
        <f t="shared" si="34"/>
        <v>100</v>
      </c>
      <c r="F40" s="321">
        <v>50</v>
      </c>
      <c r="G40" s="319">
        <v>50</v>
      </c>
      <c r="I40" s="320">
        <f t="shared" si="35"/>
        <v>100</v>
      </c>
      <c r="K40" s="321">
        <v>50</v>
      </c>
      <c r="L40" s="319">
        <v>50</v>
      </c>
      <c r="M40" s="319">
        <f>SUMIFS(Cadres_Comprehensive!P:P,Cadres_Comprehensive!A:A,Cadres_Basic!A40)</f>
        <v>0</v>
      </c>
      <c r="O40" s="320">
        <f t="shared" si="36"/>
        <v>100</v>
      </c>
      <c r="P40" s="321">
        <v>50</v>
      </c>
      <c r="Q40" s="319">
        <v>50</v>
      </c>
      <c r="R40" s="319">
        <f t="shared" si="8"/>
        <v>0</v>
      </c>
      <c r="T40" s="320">
        <f t="shared" si="37"/>
        <v>100</v>
      </c>
    </row>
    <row r="41" spans="1:20" x14ac:dyDescent="0.35">
      <c r="A41" s="321" t="s">
        <v>2655</v>
      </c>
      <c r="B41" s="319" t="str">
        <f>VLOOKUP(A41,TaskValues_ref!E:F,2,FALSE)</f>
        <v>Provision of implants and IUCD</v>
      </c>
      <c r="C41" s="64">
        <v>100</v>
      </c>
      <c r="E41" s="320">
        <f t="shared" si="34"/>
        <v>100</v>
      </c>
      <c r="F41" s="64"/>
      <c r="G41" s="321">
        <v>100</v>
      </c>
      <c r="I41" s="320">
        <f t="shared" si="35"/>
        <v>100</v>
      </c>
      <c r="L41" s="321">
        <v>100</v>
      </c>
      <c r="M41" s="319">
        <f>SUMIFS(Cadres_Comprehensive!P:P,Cadres_Comprehensive!A:A,Cadres_Basic!A41)</f>
        <v>0</v>
      </c>
      <c r="O41" s="320">
        <f t="shared" si="36"/>
        <v>100</v>
      </c>
      <c r="Q41" s="321">
        <v>100</v>
      </c>
      <c r="R41" s="319">
        <f t="shared" si="8"/>
        <v>0</v>
      </c>
      <c r="T41" s="320">
        <f t="shared" si="37"/>
        <v>100</v>
      </c>
    </row>
    <row r="42" spans="1:20" x14ac:dyDescent="0.35">
      <c r="A42" s="321" t="s">
        <v>2657</v>
      </c>
      <c r="B42" s="319" t="str">
        <f>VLOOKUP(A42,TaskValues_ref!E:F,2,FALSE)</f>
        <v>Psycho-social counseling</v>
      </c>
      <c r="C42" s="64">
        <v>100</v>
      </c>
      <c r="E42" s="320">
        <f t="shared" si="34"/>
        <v>100</v>
      </c>
      <c r="F42" s="321"/>
      <c r="G42" s="319">
        <v>100</v>
      </c>
      <c r="I42" s="320">
        <f t="shared" si="35"/>
        <v>100</v>
      </c>
      <c r="K42" s="321"/>
      <c r="L42" s="321">
        <v>100</v>
      </c>
      <c r="M42" s="319">
        <f>SUMIFS(Cadres_Comprehensive!P:P,Cadres_Comprehensive!A:A,Cadres_Basic!A42)</f>
        <v>0</v>
      </c>
      <c r="O42" s="320">
        <f t="shared" si="36"/>
        <v>100</v>
      </c>
      <c r="P42" s="321"/>
      <c r="Q42" s="319">
        <v>100</v>
      </c>
      <c r="R42" s="319">
        <f t="shared" ref="R42" si="38">M42</f>
        <v>0</v>
      </c>
      <c r="T42" s="320">
        <f t="shared" ref="T42" si="39">SUM(P42:S42)</f>
        <v>100</v>
      </c>
    </row>
    <row r="43" spans="1:20" x14ac:dyDescent="0.35">
      <c r="A43" s="321" t="s">
        <v>2659</v>
      </c>
      <c r="B43" s="319" t="str">
        <f>VLOOKUP(A43,TaskValues_ref!E:F,2,FALSE)</f>
        <v>Post-abortion follow-up</v>
      </c>
      <c r="C43" s="64">
        <v>100</v>
      </c>
      <c r="E43" s="320">
        <f t="shared" si="34"/>
        <v>100</v>
      </c>
      <c r="G43" s="321">
        <v>100</v>
      </c>
      <c r="I43" s="320">
        <f t="shared" si="35"/>
        <v>100</v>
      </c>
      <c r="L43" s="321">
        <v>100</v>
      </c>
      <c r="M43" s="319">
        <f>SUMIFS(Cadres_Comprehensive!P:P,Cadres_Comprehensive!A:A,Cadres_Basic!A43)</f>
        <v>0</v>
      </c>
      <c r="O43" s="320">
        <f t="shared" si="36"/>
        <v>100</v>
      </c>
      <c r="Q43" s="321">
        <v>100</v>
      </c>
      <c r="R43" s="319">
        <f t="shared" si="8"/>
        <v>0</v>
      </c>
      <c r="T43" s="320">
        <f t="shared" si="37"/>
        <v>100</v>
      </c>
    </row>
    <row r="44" spans="1:20" x14ac:dyDescent="0.35">
      <c r="A44" s="321" t="s">
        <v>2660</v>
      </c>
      <c r="B44" s="319" t="str">
        <f>VLOOKUP(A44,TaskValues_ref!E:F,2,FALSE)</f>
        <v>Education on menstration</v>
      </c>
      <c r="C44" s="64">
        <v>100</v>
      </c>
      <c r="E44" s="320">
        <f t="shared" si="34"/>
        <v>100</v>
      </c>
      <c r="F44" s="319">
        <v>100</v>
      </c>
      <c r="I44" s="320">
        <f t="shared" si="35"/>
        <v>100</v>
      </c>
      <c r="J44" s="319">
        <v>50</v>
      </c>
      <c r="K44" s="321">
        <v>50</v>
      </c>
      <c r="L44" s="321"/>
      <c r="M44" s="319">
        <f>SUMIFS(Cadres_Comprehensive!P:P,Cadres_Comprehensive!A:A,Cadres_Basic!A44)</f>
        <v>0</v>
      </c>
      <c r="O44" s="320">
        <f t="shared" si="36"/>
        <v>100</v>
      </c>
      <c r="P44" s="319">
        <v>100</v>
      </c>
      <c r="R44" s="319">
        <f>M44</f>
        <v>0</v>
      </c>
      <c r="T44" s="320">
        <f t="shared" ref="T44" si="40">SUM(P44:S44)</f>
        <v>100</v>
      </c>
    </row>
    <row r="45" spans="1:20" x14ac:dyDescent="0.35">
      <c r="A45" s="321" t="s">
        <v>2661</v>
      </c>
      <c r="B45" s="319" t="str">
        <f>VLOOKUP(A45,TaskValues_ref!E:F,2,FALSE)</f>
        <v>Treatment of menstrual problems</v>
      </c>
      <c r="C45" s="64">
        <v>100</v>
      </c>
      <c r="E45" s="320">
        <f t="shared" si="34"/>
        <v>100</v>
      </c>
      <c r="G45" s="321">
        <v>100</v>
      </c>
      <c r="I45" s="320">
        <f t="shared" ref="I45" si="41">SUM(F45:H45)</f>
        <v>100</v>
      </c>
      <c r="L45" s="321">
        <v>100</v>
      </c>
      <c r="M45" s="319">
        <f>SUMIFS(Cadres_Comprehensive!P:P,Cadres_Comprehensive!A:A,Cadres_Basic!A45)</f>
        <v>0</v>
      </c>
      <c r="O45" s="320">
        <f t="shared" ref="O45" si="42">SUM(J45:N45)</f>
        <v>100</v>
      </c>
      <c r="Q45" s="321">
        <v>100</v>
      </c>
      <c r="R45" s="319">
        <f t="shared" ref="R45" si="43">M45</f>
        <v>0</v>
      </c>
      <c r="T45" s="320">
        <f t="shared" ref="T45" si="44">SUM(P45:S45)</f>
        <v>100</v>
      </c>
    </row>
    <row r="46" spans="1:20" x14ac:dyDescent="0.35">
      <c r="A46" s="321" t="s">
        <v>2662</v>
      </c>
      <c r="B46" s="319" t="str">
        <f>VLOOKUP(A46,TaskValues_ref!E:F,2,FALSE)</f>
        <v>Promote self-breast exam</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ref="T46:T48" si="45">SUM(P46:S46)</f>
        <v>100</v>
      </c>
    </row>
    <row r="47" spans="1:20" x14ac:dyDescent="0.35">
      <c r="A47" s="321" t="s">
        <v>2663</v>
      </c>
      <c r="B47" s="319" t="str">
        <f>VLOOKUP(A47,TaskValues_ref!E:F,2,FALSE)</f>
        <v>HPV vacination</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35">
      <c r="A48" s="321" t="s">
        <v>2664</v>
      </c>
      <c r="B48" s="319" t="str">
        <f>VLOOKUP(A48,TaskValues_ref!E:F,2,FALSE)</f>
        <v>Education on health &amp; wellbeing</v>
      </c>
      <c r="C48" s="64">
        <v>100</v>
      </c>
      <c r="E48" s="320">
        <f t="shared" si="34"/>
        <v>100</v>
      </c>
      <c r="F48" s="319">
        <v>100</v>
      </c>
      <c r="I48" s="320">
        <f t="shared" si="35"/>
        <v>100</v>
      </c>
      <c r="J48" s="319">
        <v>50</v>
      </c>
      <c r="K48" s="321">
        <v>50</v>
      </c>
      <c r="L48" s="321"/>
      <c r="M48" s="319">
        <f>SUMIFS(Cadres_Comprehensive!P:P,Cadres_Comprehensive!A:A,Cadres_Basic!A48)</f>
        <v>0</v>
      </c>
      <c r="O48" s="320">
        <f t="shared" si="36"/>
        <v>100</v>
      </c>
      <c r="P48" s="319">
        <v>100</v>
      </c>
      <c r="R48" s="319">
        <f>M48</f>
        <v>0</v>
      </c>
      <c r="T48" s="320">
        <f t="shared" si="45"/>
        <v>100</v>
      </c>
    </row>
    <row r="49" spans="1:20" x14ac:dyDescent="0.35">
      <c r="A49" s="321" t="s">
        <v>2665</v>
      </c>
      <c r="B49" s="319" t="str">
        <f>VLOOKUP(A49,TaskValues_ref!E:F,2,FALSE)</f>
        <v>Adolescent SRH</v>
      </c>
      <c r="C49" s="64">
        <v>100</v>
      </c>
      <c r="E49" s="320">
        <f t="shared" si="34"/>
        <v>100</v>
      </c>
      <c r="G49" s="321">
        <v>100</v>
      </c>
      <c r="I49" s="320">
        <f t="shared" ref="I49:I50" si="46">SUM(F49:H49)</f>
        <v>100</v>
      </c>
      <c r="L49" s="321">
        <v>100</v>
      </c>
      <c r="M49" s="319">
        <f>SUMIFS(Cadres_Comprehensive!P:P,Cadres_Comprehensive!A:A,Cadres_Basic!A49)</f>
        <v>0</v>
      </c>
      <c r="O49" s="320">
        <f t="shared" ref="O49:O50" si="47">SUM(J49:N49)</f>
        <v>100</v>
      </c>
      <c r="Q49" s="321">
        <v>100</v>
      </c>
      <c r="R49" s="319">
        <f t="shared" ref="R49:R50" si="48">M49</f>
        <v>0</v>
      </c>
      <c r="T49" s="320">
        <f t="shared" ref="T49:T50" si="49">SUM(P49:S49)</f>
        <v>100</v>
      </c>
    </row>
    <row r="50" spans="1:20" x14ac:dyDescent="0.35">
      <c r="A50" s="321" t="s">
        <v>2666</v>
      </c>
      <c r="B50" s="319" t="str">
        <f>VLOOKUP(A50,TaskValues_ref!E:F,2,FALSE)</f>
        <v>Provision of adolescent-friendly contraceptives</v>
      </c>
      <c r="C50" s="64">
        <v>100</v>
      </c>
      <c r="E50" s="320">
        <f t="shared" si="34"/>
        <v>100</v>
      </c>
      <c r="G50" s="321">
        <v>100</v>
      </c>
      <c r="I50" s="320">
        <f t="shared" si="46"/>
        <v>100</v>
      </c>
      <c r="L50" s="321">
        <v>100</v>
      </c>
      <c r="M50" s="319">
        <f>SUMIFS(Cadres_Comprehensive!P:P,Cadres_Comprehensive!A:A,Cadres_Basic!A50)</f>
        <v>0</v>
      </c>
      <c r="O50" s="320">
        <f t="shared" si="47"/>
        <v>100</v>
      </c>
      <c r="Q50" s="321">
        <v>100</v>
      </c>
      <c r="R50" s="319">
        <f t="shared" si="48"/>
        <v>0</v>
      </c>
      <c r="T50" s="320">
        <f t="shared" si="49"/>
        <v>100</v>
      </c>
    </row>
    <row r="51" spans="1:20" x14ac:dyDescent="0.35">
      <c r="A51" s="321" t="s">
        <v>2667</v>
      </c>
      <c r="B51" s="319" t="str">
        <f>VLOOKUP(A51,TaskValues_ref!E:F,2,FALSE)</f>
        <v>Education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ref="T51:T52" si="50">SUM(P51:S51)</f>
        <v>100</v>
      </c>
    </row>
    <row r="52" spans="1:20" x14ac:dyDescent="0.35">
      <c r="A52" s="321" t="s">
        <v>2668</v>
      </c>
      <c r="B52" s="319" t="str">
        <f>VLOOKUP(A52,TaskValues_ref!E:F,2,FALSE)</f>
        <v>Community dialogue about GBV</v>
      </c>
      <c r="C52" s="64">
        <v>100</v>
      </c>
      <c r="E52" s="320">
        <f t="shared" si="34"/>
        <v>100</v>
      </c>
      <c r="F52" s="319">
        <v>100</v>
      </c>
      <c r="I52" s="320">
        <f t="shared" si="35"/>
        <v>100</v>
      </c>
      <c r="J52" s="319">
        <v>50</v>
      </c>
      <c r="K52" s="321">
        <v>50</v>
      </c>
      <c r="L52" s="321"/>
      <c r="M52" s="319">
        <f>SUMIFS(Cadres_Comprehensive!P:P,Cadres_Comprehensive!A:A,Cadres_Basic!A52)</f>
        <v>0</v>
      </c>
      <c r="O52" s="320">
        <f t="shared" si="36"/>
        <v>100</v>
      </c>
      <c r="P52" s="319">
        <v>100</v>
      </c>
      <c r="R52" s="319">
        <f>M52</f>
        <v>0</v>
      </c>
      <c r="T52" s="320">
        <f t="shared" si="50"/>
        <v>100</v>
      </c>
    </row>
    <row r="53" spans="1:20" x14ac:dyDescent="0.35">
      <c r="A53" s="321" t="s">
        <v>2669</v>
      </c>
      <c r="B53" s="319" t="str">
        <f>VLOOKUP(A53,TaskValues_ref!E:F,2,FALSE)</f>
        <v>Pregnancy test for GBV</v>
      </c>
      <c r="C53" s="64">
        <v>100</v>
      </c>
      <c r="E53" s="320">
        <f t="shared" si="34"/>
        <v>100</v>
      </c>
      <c r="G53" s="321">
        <v>100</v>
      </c>
      <c r="I53" s="320">
        <f t="shared" ref="I53:I57" si="51">SUM(F53:H53)</f>
        <v>100</v>
      </c>
      <c r="L53" s="321">
        <v>100</v>
      </c>
      <c r="M53" s="319">
        <f>SUMIFS(Cadres_Comprehensive!P:P,Cadres_Comprehensive!A:A,Cadres_Basic!A53)</f>
        <v>0</v>
      </c>
      <c r="O53" s="320">
        <f t="shared" ref="O53:O57" si="52">SUM(J53:N53)</f>
        <v>100</v>
      </c>
      <c r="Q53" s="321">
        <v>100</v>
      </c>
      <c r="R53" s="319">
        <f t="shared" ref="R53:R57" si="53">M53</f>
        <v>0</v>
      </c>
      <c r="T53" s="320">
        <f t="shared" ref="T53:T57" si="54">SUM(P53:S53)</f>
        <v>100</v>
      </c>
    </row>
    <row r="54" spans="1:20" x14ac:dyDescent="0.35">
      <c r="A54" s="321" t="s">
        <v>2670</v>
      </c>
      <c r="B54" s="319" t="str">
        <f>VLOOKUP(A54,TaskValues_ref!E:F,2,FALSE)</f>
        <v>HIV test for GBV</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35">
      <c r="A55" s="321" t="s">
        <v>2671</v>
      </c>
      <c r="B55" s="319" t="str">
        <f>VLOOKUP(A55,TaskValues_ref!E:F,2,FALSE)</f>
        <v>Emergency GBV response</v>
      </c>
      <c r="C55" s="64">
        <v>100</v>
      </c>
      <c r="E55" s="320">
        <f t="shared" si="34"/>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35">
      <c r="A56" s="321" t="s">
        <v>2672</v>
      </c>
      <c r="B56" s="319" t="str">
        <f>VLOOKUP(A56,TaskValues_ref!E:F,2,FALSE)</f>
        <v>Medical treatment for GBV</v>
      </c>
      <c r="C56" s="64">
        <v>100</v>
      </c>
      <c r="E56" s="320">
        <f t="shared" ref="E56:E88" si="55">SUM(C56:D56)</f>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35">
      <c r="A57" s="321" t="s">
        <v>2673</v>
      </c>
      <c r="B57" s="319" t="str">
        <f>VLOOKUP(A57,TaskValues_ref!E:F,2,FALSE)</f>
        <v>Psycho-social support for GBV</v>
      </c>
      <c r="C57" s="64">
        <v>100</v>
      </c>
      <c r="E57" s="320">
        <f t="shared" si="55"/>
        <v>100</v>
      </c>
      <c r="G57" s="321">
        <v>100</v>
      </c>
      <c r="I57" s="320">
        <f t="shared" si="51"/>
        <v>100</v>
      </c>
      <c r="L57" s="321">
        <v>100</v>
      </c>
      <c r="M57" s="319">
        <f>SUMIFS(Cadres_Comprehensive!P:P,Cadres_Comprehensive!A:A,Cadres_Basic!A57)</f>
        <v>0</v>
      </c>
      <c r="O57" s="320">
        <f t="shared" si="52"/>
        <v>100</v>
      </c>
      <c r="Q57" s="321">
        <v>100</v>
      </c>
      <c r="R57" s="319">
        <f t="shared" si="53"/>
        <v>0</v>
      </c>
      <c r="T57" s="320">
        <f t="shared" si="54"/>
        <v>100</v>
      </c>
    </row>
    <row r="58" spans="1:20" x14ac:dyDescent="0.35">
      <c r="A58" s="321" t="s">
        <v>2674</v>
      </c>
      <c r="B58" s="319" t="str">
        <f>VLOOKUP(A58,TaskValues_ref!E:F,2,FALSE)</f>
        <v>Adovacy against HTP</v>
      </c>
      <c r="C58" s="64">
        <v>100</v>
      </c>
      <c r="E58" s="320">
        <f t="shared" si="55"/>
        <v>100</v>
      </c>
      <c r="F58" s="319">
        <v>100</v>
      </c>
      <c r="I58" s="320">
        <f t="shared" ref="I58:I88" si="56">SUM(F58:H58)</f>
        <v>100</v>
      </c>
      <c r="J58" s="319">
        <v>50</v>
      </c>
      <c r="K58" s="321">
        <v>50</v>
      </c>
      <c r="L58" s="321"/>
      <c r="M58" s="319">
        <f>SUMIFS(Cadres_Comprehensive!P:P,Cadres_Comprehensive!A:A,Cadres_Basic!A58)</f>
        <v>0</v>
      </c>
      <c r="O58" s="320">
        <f t="shared" ref="O58:O88" si="57">SUM(J58:N58)</f>
        <v>100</v>
      </c>
      <c r="P58" s="319">
        <v>100</v>
      </c>
      <c r="R58" s="319">
        <f>M58</f>
        <v>0</v>
      </c>
      <c r="T58" s="320">
        <f t="shared" ref="T58:T59" si="58">SUM(P58:S58)</f>
        <v>100</v>
      </c>
    </row>
    <row r="59" spans="1:20" x14ac:dyDescent="0.35">
      <c r="A59" s="321" t="s">
        <v>2675</v>
      </c>
      <c r="B59" s="319" t="str">
        <f>VLOOKUP(A59,TaskValues_ref!E:F,2,FALSE)</f>
        <v>Prevention of teen pregnancy</v>
      </c>
      <c r="C59" s="64">
        <v>100</v>
      </c>
      <c r="E59" s="320">
        <f t="shared" si="55"/>
        <v>100</v>
      </c>
      <c r="F59" s="319">
        <v>100</v>
      </c>
      <c r="I59" s="320">
        <f t="shared" si="56"/>
        <v>100</v>
      </c>
      <c r="J59" s="319">
        <v>50</v>
      </c>
      <c r="K59" s="321">
        <v>50</v>
      </c>
      <c r="L59" s="321"/>
      <c r="M59" s="319">
        <f>SUMIFS(Cadres_Comprehensive!P:P,Cadres_Comprehensive!A:A,Cadres_Basic!A59)</f>
        <v>0</v>
      </c>
      <c r="O59" s="320">
        <f t="shared" si="57"/>
        <v>100</v>
      </c>
      <c r="P59" s="319">
        <v>100</v>
      </c>
      <c r="R59" s="319">
        <f>M59</f>
        <v>0</v>
      </c>
      <c r="T59" s="320">
        <f t="shared" si="58"/>
        <v>100</v>
      </c>
    </row>
    <row r="60" spans="1:20" x14ac:dyDescent="0.35">
      <c r="A60" s="321" t="s">
        <v>2676</v>
      </c>
      <c r="B60" s="319" t="str">
        <f>VLOOKUP(A60,TaskValues_ref!E:F,2,FALSE)</f>
        <v>Folic acid</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59">M60</f>
        <v>0</v>
      </c>
      <c r="T60" s="320">
        <f t="shared" ref="T60" si="60">SUM(P60:S60)</f>
        <v>100</v>
      </c>
    </row>
    <row r="61" spans="1:20" x14ac:dyDescent="0.35">
      <c r="A61" s="321" t="s">
        <v>2677</v>
      </c>
      <c r="B61" s="319" t="str">
        <f>VLOOKUP(A61,TaskValues_ref!E:F,2,FALSE)</f>
        <v>SRH counseling for men</v>
      </c>
      <c r="C61" s="64">
        <v>100</v>
      </c>
      <c r="E61" s="320">
        <f t="shared" si="55"/>
        <v>100</v>
      </c>
      <c r="G61" s="321">
        <v>100</v>
      </c>
      <c r="I61" s="320">
        <f t="shared" si="56"/>
        <v>100</v>
      </c>
      <c r="L61" s="321">
        <v>100</v>
      </c>
      <c r="M61" s="319">
        <f>SUMIFS(Cadres_Comprehensive!P:P,Cadres_Comprehensive!A:A,Cadres_Basic!A61)</f>
        <v>0</v>
      </c>
      <c r="O61" s="320">
        <f t="shared" si="57"/>
        <v>100</v>
      </c>
      <c r="Q61" s="321">
        <v>100</v>
      </c>
      <c r="R61" s="319">
        <f t="shared" ref="R61" si="61">M61</f>
        <v>0</v>
      </c>
      <c r="T61" s="320">
        <f t="shared" ref="T61" si="62">SUM(P61:S61)</f>
        <v>100</v>
      </c>
    </row>
    <row r="62" spans="1:20" x14ac:dyDescent="0.35">
      <c r="A62" s="321" t="s">
        <v>2678</v>
      </c>
      <c r="B62" s="319" t="str">
        <f>VLOOKUP(A62,TaskValues_ref!E:F,2,FALSE)</f>
        <v>Promote breast feeding</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ref="T62:T65" si="63">SUM(P62:S62)</f>
        <v>100</v>
      </c>
    </row>
    <row r="63" spans="1:20" x14ac:dyDescent="0.35">
      <c r="A63" s="321" t="s">
        <v>2679</v>
      </c>
      <c r="B63" s="319" t="str">
        <f>VLOOKUP(A63,TaskValues_ref!E:F,2,FALSE)</f>
        <v>Nutritional screening during pregnancy</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35">
      <c r="A64" s="321" t="s">
        <v>2680</v>
      </c>
      <c r="B64" s="319" t="str">
        <f>VLOOKUP(A64,TaskValues_ref!E:F,2,FALSE)</f>
        <v>Monthly monitoring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35">
      <c r="A65" s="321" t="s">
        <v>2681</v>
      </c>
      <c r="B65" s="319" t="str">
        <f>VLOOKUP(A65,TaskValues_ref!E:F,2,FALSE)</f>
        <v>MUAC and oedema screening</v>
      </c>
      <c r="C65" s="64">
        <v>100</v>
      </c>
      <c r="E65" s="320">
        <f t="shared" si="55"/>
        <v>100</v>
      </c>
      <c r="F65" s="319">
        <v>100</v>
      </c>
      <c r="I65" s="320">
        <f t="shared" si="56"/>
        <v>100</v>
      </c>
      <c r="J65" s="319">
        <v>50</v>
      </c>
      <c r="K65" s="321">
        <v>50</v>
      </c>
      <c r="L65" s="321"/>
      <c r="M65" s="319">
        <f>SUMIFS(Cadres_Comprehensive!P:P,Cadres_Comprehensive!A:A,Cadres_Basic!A65)</f>
        <v>0</v>
      </c>
      <c r="O65" s="320">
        <f t="shared" si="57"/>
        <v>100</v>
      </c>
      <c r="P65" s="319">
        <v>100</v>
      </c>
      <c r="R65" s="319">
        <f>M65</f>
        <v>0</v>
      </c>
      <c r="T65" s="320">
        <f t="shared" si="63"/>
        <v>100</v>
      </c>
    </row>
    <row r="66" spans="1:20" x14ac:dyDescent="0.35">
      <c r="A66" s="321" t="s">
        <v>2682</v>
      </c>
      <c r="B66" s="319" t="str">
        <f>VLOOKUP(A66,TaskValues_ref!E:F,2,FALSE)</f>
        <v>Treat malnourished mothers</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ref="R66:R69" si="64">M66</f>
        <v>0</v>
      </c>
      <c r="T66" s="320">
        <f t="shared" ref="T66:T69" si="65">SUM(P66:S66)</f>
        <v>100</v>
      </c>
    </row>
    <row r="67" spans="1:20" x14ac:dyDescent="0.35">
      <c r="A67" s="321" t="s">
        <v>2632</v>
      </c>
      <c r="B67" s="319" t="str">
        <f>VLOOKUP(A67,TaskValues_ref!E:F,2,FALSE)</f>
        <v>Anaemia severe U5</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35">
      <c r="A68" s="321" t="s">
        <v>2545</v>
      </c>
      <c r="B68" s="319" t="str">
        <f>VLOOKUP(A68,TaskValues_ref!E:F,2,FALSE)</f>
        <v>Anaemia severe children</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35">
      <c r="A69" s="321" t="s">
        <v>2546</v>
      </c>
      <c r="B69" s="319" t="str">
        <f>VLOOKUP(A69,TaskValues_ref!E:F,2,FALSE)</f>
        <v>Anaemia severe adults</v>
      </c>
      <c r="C69" s="64">
        <v>100</v>
      </c>
      <c r="E69" s="320">
        <f t="shared" si="55"/>
        <v>100</v>
      </c>
      <c r="G69" s="321">
        <v>100</v>
      </c>
      <c r="I69" s="320">
        <f t="shared" si="56"/>
        <v>100</v>
      </c>
      <c r="L69" s="321">
        <v>100</v>
      </c>
      <c r="M69" s="319">
        <f>SUMIFS(Cadres_Comprehensive!P:P,Cadres_Comprehensive!A:A,Cadres_Basic!A69)</f>
        <v>0</v>
      </c>
      <c r="O69" s="320">
        <f t="shared" si="57"/>
        <v>100</v>
      </c>
      <c r="Q69" s="321">
        <v>100</v>
      </c>
      <c r="R69" s="319">
        <f t="shared" si="64"/>
        <v>0</v>
      </c>
      <c r="T69" s="320">
        <f t="shared" si="65"/>
        <v>100</v>
      </c>
    </row>
    <row r="70" spans="1:20" x14ac:dyDescent="0.35">
      <c r="A70" s="321" t="s">
        <v>2683</v>
      </c>
      <c r="B70" s="319" t="str">
        <f>VLOOKUP(A70,TaskValues_ref!E:F,2,FALSE)</f>
        <v>Promote nutrition for MNC</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ref="T70:T72" si="66">SUM(P70:S70)</f>
        <v>100</v>
      </c>
    </row>
    <row r="71" spans="1:20" x14ac:dyDescent="0.35">
      <c r="A71" s="321" t="s">
        <v>2684</v>
      </c>
      <c r="B71" s="319" t="str">
        <f>VLOOKUP(A71,TaskValues_ref!E:F,2,FALSE)</f>
        <v>Education re nutrition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35">
      <c r="A72" s="321" t="s">
        <v>2685</v>
      </c>
      <c r="B72" s="319" t="str">
        <f>VLOOKUP(A72,TaskValues_ref!E:F,2,FALSE)</f>
        <v>Calcium supplementation</v>
      </c>
      <c r="C72" s="64">
        <v>100</v>
      </c>
      <c r="E72" s="320">
        <f t="shared" si="55"/>
        <v>100</v>
      </c>
      <c r="F72" s="319">
        <v>100</v>
      </c>
      <c r="I72" s="320">
        <f t="shared" si="56"/>
        <v>100</v>
      </c>
      <c r="J72" s="319">
        <v>50</v>
      </c>
      <c r="K72" s="321">
        <v>50</v>
      </c>
      <c r="L72" s="321"/>
      <c r="M72" s="319">
        <f>SUMIFS(Cadres_Comprehensive!P:P,Cadres_Comprehensive!A:A,Cadres_Basic!A72)</f>
        <v>0</v>
      </c>
      <c r="O72" s="320">
        <f t="shared" si="57"/>
        <v>100</v>
      </c>
      <c r="P72" s="319">
        <v>100</v>
      </c>
      <c r="R72" s="319">
        <f>M72</f>
        <v>0</v>
      </c>
      <c r="T72" s="320">
        <f t="shared" si="66"/>
        <v>100</v>
      </c>
    </row>
    <row r="73" spans="1:20" x14ac:dyDescent="0.35">
      <c r="A73" s="321" t="s">
        <v>2686</v>
      </c>
      <c r="B73" s="319" t="str">
        <f>VLOOKUP(A73,TaskValues_ref!E:F,2,FALSE)</f>
        <v>Nutrition for HIV+ women</v>
      </c>
      <c r="C73" s="64">
        <v>100</v>
      </c>
      <c r="E73" s="320">
        <f t="shared" si="55"/>
        <v>100</v>
      </c>
      <c r="F73" s="321">
        <v>100</v>
      </c>
      <c r="I73" s="320">
        <f t="shared" si="56"/>
        <v>100</v>
      </c>
      <c r="J73" s="321">
        <v>50</v>
      </c>
      <c r="K73" s="321">
        <v>50</v>
      </c>
      <c r="M73" s="319">
        <f>SUMIFS(Cadres_Comprehensive!P:P,Cadres_Comprehensive!A:A,Cadres_Basic!A73)</f>
        <v>0</v>
      </c>
      <c r="O73" s="320">
        <f t="shared" si="57"/>
        <v>100</v>
      </c>
      <c r="P73" s="321">
        <v>100</v>
      </c>
      <c r="R73" s="319">
        <f t="shared" ref="R73:R129" si="67">M73</f>
        <v>0</v>
      </c>
      <c r="T73" s="320">
        <f t="shared" ref="T73:T93" si="68">SUM(P73:S73)</f>
        <v>100</v>
      </c>
    </row>
    <row r="74" spans="1:20" x14ac:dyDescent="0.35">
      <c r="A74" s="321" t="s">
        <v>2687</v>
      </c>
      <c r="B74" s="319" t="str">
        <f>VLOOKUP(A74,TaskValues_ref!E:F,2,FALSE)</f>
        <v>Promote iodized salt &amp; fortified food</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ref="T74:T76" si="69">SUM(P74:S74)</f>
        <v>100</v>
      </c>
    </row>
    <row r="75" spans="1:20" x14ac:dyDescent="0.35">
      <c r="A75" s="321" t="s">
        <v>2688</v>
      </c>
      <c r="B75" s="319" t="str">
        <f>VLOOKUP(A75,TaskValues_ref!E:F,2,FALSE)</f>
        <v>Nutrition outreach</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35">
      <c r="A76" s="321" t="s">
        <v>2689</v>
      </c>
      <c r="B76" s="319" t="str">
        <f>VLOOKUP(A76,TaskValues_ref!E:F,2,FALSE)</f>
        <v>Promote gender equity &amp; empowerment</v>
      </c>
      <c r="C76" s="64">
        <v>100</v>
      </c>
      <c r="E76" s="320">
        <f t="shared" si="55"/>
        <v>100</v>
      </c>
      <c r="F76" s="319">
        <v>100</v>
      </c>
      <c r="I76" s="320">
        <f t="shared" si="56"/>
        <v>100</v>
      </c>
      <c r="J76" s="319">
        <v>50</v>
      </c>
      <c r="K76" s="321">
        <v>50</v>
      </c>
      <c r="L76" s="321"/>
      <c r="M76" s="319">
        <f>SUMIFS(Cadres_Comprehensive!P:P,Cadres_Comprehensive!A:A,Cadres_Basic!A76)</f>
        <v>0</v>
      </c>
      <c r="O76" s="320">
        <f t="shared" si="57"/>
        <v>100</v>
      </c>
      <c r="P76" s="319">
        <v>100</v>
      </c>
      <c r="R76" s="319">
        <f>M76</f>
        <v>0</v>
      </c>
      <c r="T76" s="320">
        <f t="shared" si="69"/>
        <v>100</v>
      </c>
    </row>
    <row r="77" spans="1:20" x14ac:dyDescent="0.35">
      <c r="A77" s="321" t="s">
        <v>2690</v>
      </c>
      <c r="B77" s="319" t="str">
        <f>VLOOKUP(A77,TaskValues_ref!E:F,2,FALSE)</f>
        <v>Nutritional disaster response</v>
      </c>
      <c r="C77" s="64">
        <v>100</v>
      </c>
      <c r="E77" s="320">
        <f t="shared" si="55"/>
        <v>100</v>
      </c>
      <c r="G77" s="321">
        <v>100</v>
      </c>
      <c r="I77" s="320">
        <f t="shared" si="56"/>
        <v>100</v>
      </c>
      <c r="L77" s="321">
        <v>100</v>
      </c>
      <c r="M77" s="319">
        <f>SUMIFS(Cadres_Comprehensive!P:P,Cadres_Comprehensive!A:A,Cadres_Basic!A77)</f>
        <v>0</v>
      </c>
      <c r="O77" s="320">
        <f t="shared" si="57"/>
        <v>100</v>
      </c>
      <c r="Q77" s="321">
        <v>100</v>
      </c>
      <c r="R77" s="319">
        <f t="shared" ref="R77" si="70">M77</f>
        <v>0</v>
      </c>
      <c r="T77" s="320">
        <f t="shared" ref="T77" si="71">SUM(P77:S77)</f>
        <v>100</v>
      </c>
    </row>
    <row r="78" spans="1:20" x14ac:dyDescent="0.35">
      <c r="A78" s="321" t="s">
        <v>2691</v>
      </c>
      <c r="B78" s="319" t="str">
        <f>VLOOKUP(A78,TaskValues_ref!E:F,2,FALSE)</f>
        <v>Multisectoral nutrition intervention</v>
      </c>
      <c r="C78" s="64">
        <v>100</v>
      </c>
      <c r="E78" s="320">
        <f t="shared" si="55"/>
        <v>100</v>
      </c>
      <c r="F78" s="321">
        <v>100</v>
      </c>
      <c r="I78" s="320">
        <f t="shared" si="56"/>
        <v>100</v>
      </c>
      <c r="J78" s="321">
        <v>50</v>
      </c>
      <c r="K78" s="321">
        <v>50</v>
      </c>
      <c r="M78" s="319">
        <f>SUMIFS(Cadres_Comprehensive!P:P,Cadres_Comprehensive!A:A,Cadres_Basic!A78)</f>
        <v>0</v>
      </c>
      <c r="O78" s="320">
        <f t="shared" si="57"/>
        <v>100</v>
      </c>
      <c r="P78" s="321">
        <v>100</v>
      </c>
      <c r="R78" s="319">
        <f t="shared" si="67"/>
        <v>0</v>
      </c>
      <c r="T78" s="320">
        <f t="shared" si="68"/>
        <v>100</v>
      </c>
    </row>
    <row r="79" spans="1:20" x14ac:dyDescent="0.35">
      <c r="A79" s="321" t="s">
        <v>2692</v>
      </c>
      <c r="B79" s="319" t="str">
        <f>VLOOKUP(A79,TaskValues_ref!E:F,2,FALSE)</f>
        <v>Breast feeding technique</v>
      </c>
      <c r="C79" s="64">
        <v>100</v>
      </c>
      <c r="E79" s="320">
        <f t="shared" si="55"/>
        <v>100</v>
      </c>
      <c r="F79" s="319">
        <v>100</v>
      </c>
      <c r="I79" s="320">
        <f t="shared" si="56"/>
        <v>100</v>
      </c>
      <c r="J79" s="319">
        <v>50</v>
      </c>
      <c r="K79" s="321">
        <v>50</v>
      </c>
      <c r="L79" s="321"/>
      <c r="M79" s="319">
        <f>SUMIFS(Cadres_Comprehensive!P:P,Cadres_Comprehensive!A:A,Cadres_Basic!A79)</f>
        <v>0</v>
      </c>
      <c r="O79" s="320">
        <f t="shared" si="57"/>
        <v>100</v>
      </c>
      <c r="P79" s="319">
        <v>100</v>
      </c>
      <c r="R79" s="319">
        <f>M79</f>
        <v>0</v>
      </c>
      <c r="T79" s="320">
        <f t="shared" ref="T79" si="72">SUM(P79:S79)</f>
        <v>100</v>
      </c>
    </row>
    <row r="80" spans="1:20" x14ac:dyDescent="0.35">
      <c r="A80" s="321" t="s">
        <v>2693</v>
      </c>
      <c r="B80" s="319" t="str">
        <f>VLOOKUP(A80,TaskValues_ref!E:F,2,FALSE)</f>
        <v>Acute malnutrition</v>
      </c>
      <c r="C80" s="64">
        <v>100</v>
      </c>
      <c r="E80" s="320">
        <f t="shared" si="55"/>
        <v>100</v>
      </c>
      <c r="G80" s="319">
        <v>100</v>
      </c>
      <c r="I80" s="320">
        <f t="shared" si="56"/>
        <v>100</v>
      </c>
      <c r="L80" s="319">
        <v>100</v>
      </c>
      <c r="M80" s="319">
        <f>SUMIFS(Cadres_Comprehensive!P:P,Cadres_Comprehensive!A:A,Cadres_Basic!A80)</f>
        <v>0</v>
      </c>
      <c r="O80" s="320">
        <f t="shared" si="57"/>
        <v>100</v>
      </c>
      <c r="Q80" s="319">
        <v>100</v>
      </c>
      <c r="R80" s="319">
        <f t="shared" si="67"/>
        <v>0</v>
      </c>
      <c r="T80" s="320">
        <f t="shared" si="68"/>
        <v>100</v>
      </c>
    </row>
    <row r="81" spans="1:20" x14ac:dyDescent="0.35">
      <c r="A81" s="321" t="s">
        <v>2694</v>
      </c>
      <c r="B81" s="319" t="str">
        <f>VLOOKUP(A81,TaskValues_ref!E:F,2,FALSE)</f>
        <v>Counsel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ref="R81:R90" si="73">M81</f>
        <v>0</v>
      </c>
      <c r="T81" s="320">
        <f t="shared" ref="T81:T88" si="74">SUM(P81:S81)</f>
        <v>100</v>
      </c>
    </row>
    <row r="82" spans="1:20" x14ac:dyDescent="0.35">
      <c r="A82" s="321" t="s">
        <v>2695</v>
      </c>
      <c r="B82" s="319" t="str">
        <f>VLOOKUP(A82,TaskValues_ref!E:F,2,FALSE)</f>
        <v>Timely complementary feeding</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35">
      <c r="A83" s="393" t="s">
        <v>2696</v>
      </c>
      <c r="B83" s="319" t="str">
        <f>VLOOKUP(A83,TaskValues_ref!E:F,2,FALSE)</f>
        <v>Promote BF until 24 months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35">
      <c r="A84" s="393" t="s">
        <v>2697</v>
      </c>
      <c r="B84" s="319" t="str">
        <f>VLOOKUP(A84,TaskValues_ref!E:F,2,FALSE)</f>
        <v>Promote BF during child illness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35">
      <c r="A85" s="393" t="s">
        <v>2698</v>
      </c>
      <c r="B85" s="319" t="str">
        <f>VLOOKUP(A85,TaskValues_ref!E:F,2,FALSE)</f>
        <v>Educate on complementary foods</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35">
      <c r="A86" s="321" t="s">
        <v>2699</v>
      </c>
      <c r="B86" s="319" t="str">
        <f>VLOOKUP(A86,TaskValues_ref!E:F,2,FALSE)</f>
        <v>Nutrition education for children</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35">
      <c r="A87" s="321" t="s">
        <v>2700</v>
      </c>
      <c r="B87" s="319" t="str">
        <f>VLOOKUP(A87,TaskValues_ref!E:F,2,FALSE)</f>
        <v>STI prevention for sex workers</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35">
      <c r="A88" s="321" t="s">
        <v>2701</v>
      </c>
      <c r="B88" s="319" t="str">
        <f>VLOOKUP(A88,TaskValues_ref!E:F,2,FALSE)</f>
        <v>Risk reduction</v>
      </c>
      <c r="C88" s="64">
        <v>100</v>
      </c>
      <c r="E88" s="320">
        <f t="shared" si="55"/>
        <v>100</v>
      </c>
      <c r="F88" s="319">
        <v>100</v>
      </c>
      <c r="I88" s="320">
        <f t="shared" si="56"/>
        <v>100</v>
      </c>
      <c r="J88" s="319">
        <v>50</v>
      </c>
      <c r="K88" s="321">
        <v>50</v>
      </c>
      <c r="L88" s="321"/>
      <c r="M88" s="319">
        <f>SUMIFS(Cadres_Comprehensive!P:P,Cadres_Comprehensive!A:A,Cadres_Basic!A88)</f>
        <v>0</v>
      </c>
      <c r="O88" s="320">
        <f t="shared" si="57"/>
        <v>100</v>
      </c>
      <c r="P88" s="319">
        <v>100</v>
      </c>
      <c r="R88" s="319">
        <f t="shared" si="73"/>
        <v>0</v>
      </c>
      <c r="T88" s="320">
        <f t="shared" si="74"/>
        <v>100</v>
      </c>
    </row>
    <row r="89" spans="1:20" x14ac:dyDescent="0.35">
      <c r="A89" s="321" t="s">
        <v>2702</v>
      </c>
      <c r="B89" s="319" t="str">
        <f>VLOOKUP(A89,TaskValues_ref!E:F,2,FALSE)</f>
        <v>HIV self-testing</v>
      </c>
      <c r="C89" s="64">
        <v>100</v>
      </c>
      <c r="E89" s="320">
        <f t="shared" ref="E89:E118" si="75">SUM(C89:D89)</f>
        <v>100</v>
      </c>
      <c r="F89" s="319">
        <v>100</v>
      </c>
      <c r="I89" s="320">
        <f t="shared" ref="I89:I90" si="76">SUM(F89:H89)</f>
        <v>100</v>
      </c>
      <c r="J89" s="319">
        <v>50</v>
      </c>
      <c r="K89" s="321">
        <v>50</v>
      </c>
      <c r="L89" s="321"/>
      <c r="M89" s="319">
        <f>SUMIFS(Cadres_Comprehensive!P:P,Cadres_Comprehensive!A:A,Cadres_Basic!A89)</f>
        <v>0</v>
      </c>
      <c r="O89" s="320">
        <f t="shared" ref="O89:O90" si="77">SUM(J89:N89)</f>
        <v>100</v>
      </c>
      <c r="P89" s="319">
        <v>100</v>
      </c>
      <c r="R89" s="319">
        <f t="shared" si="73"/>
        <v>0</v>
      </c>
      <c r="T89" s="320">
        <f t="shared" ref="T89:T90" si="78">SUM(P89:S89)</f>
        <v>100</v>
      </c>
    </row>
    <row r="90" spans="1:20" x14ac:dyDescent="0.35">
      <c r="A90" s="321" t="s">
        <v>2703</v>
      </c>
      <c r="B90" s="319" t="str">
        <f>VLOOKUP(A90,TaskValues_ref!E:F,2,FALSE)</f>
        <v>HIV voluntary counseling &amp; testing</v>
      </c>
      <c r="C90" s="64">
        <v>100</v>
      </c>
      <c r="E90" s="320">
        <f t="shared" si="75"/>
        <v>100</v>
      </c>
      <c r="F90" s="319">
        <v>100</v>
      </c>
      <c r="I90" s="320">
        <f t="shared" si="76"/>
        <v>100</v>
      </c>
      <c r="J90" s="319">
        <v>50</v>
      </c>
      <c r="K90" s="321">
        <v>50</v>
      </c>
      <c r="L90" s="321"/>
      <c r="M90" s="319">
        <f>SUMIFS(Cadres_Comprehensive!P:P,Cadres_Comprehensive!A:A,Cadres_Basic!A90)</f>
        <v>0</v>
      </c>
      <c r="O90" s="320">
        <f t="shared" si="77"/>
        <v>100</v>
      </c>
      <c r="P90" s="319">
        <v>100</v>
      </c>
      <c r="R90" s="319">
        <f t="shared" si="73"/>
        <v>0</v>
      </c>
      <c r="T90" s="320">
        <f t="shared" si="78"/>
        <v>100</v>
      </c>
    </row>
    <row r="91" spans="1:20" x14ac:dyDescent="0.35">
      <c r="A91" s="321" t="s">
        <v>2704</v>
      </c>
      <c r="B91" s="319" t="str">
        <f>VLOOKUP(A91,TaskValues_ref!E:F,2,FALSE)</f>
        <v>HIV provider-initiated counseling &amp; testing</v>
      </c>
      <c r="C91" s="64">
        <v>100</v>
      </c>
      <c r="E91" s="320">
        <f t="shared" si="75"/>
        <v>100</v>
      </c>
      <c r="G91" s="319">
        <v>100</v>
      </c>
      <c r="I91" s="320">
        <f t="shared" ref="I91:I105" si="79">SUM(F91:H91)</f>
        <v>100</v>
      </c>
      <c r="L91" s="319">
        <v>100</v>
      </c>
      <c r="M91" s="319">
        <f>SUMIFS(Cadres_Comprehensive!P:P,Cadres_Comprehensive!A:A,Cadres_Basic!A91)</f>
        <v>0</v>
      </c>
      <c r="O91" s="320">
        <f t="shared" ref="O91:O105" si="80">SUM(J91:N91)</f>
        <v>100</v>
      </c>
      <c r="Q91" s="319">
        <v>100</v>
      </c>
      <c r="R91" s="319">
        <f t="shared" si="67"/>
        <v>0</v>
      </c>
      <c r="T91" s="320">
        <f t="shared" si="68"/>
        <v>100</v>
      </c>
    </row>
    <row r="92" spans="1:20" x14ac:dyDescent="0.35">
      <c r="A92" s="321" t="s">
        <v>2705</v>
      </c>
      <c r="B92" s="319" t="str">
        <f>VLOOKUP(A92,TaskValues_ref!E:F,2,FALSE)</f>
        <v>HIV linkages</v>
      </c>
      <c r="C92" s="64">
        <v>100</v>
      </c>
      <c r="E92" s="320">
        <f t="shared" si="75"/>
        <v>100</v>
      </c>
      <c r="F92" s="321"/>
      <c r="G92" s="319">
        <v>100</v>
      </c>
      <c r="I92" s="320">
        <f t="shared" ref="I92" si="81">SUM(F92:H92)</f>
        <v>100</v>
      </c>
      <c r="K92" s="321"/>
      <c r="L92" s="321">
        <v>100</v>
      </c>
      <c r="M92" s="319">
        <f>SUMIFS(Cadres_Comprehensive!P:P,Cadres_Comprehensive!A:A,Cadres_Basic!A92)</f>
        <v>0</v>
      </c>
      <c r="O92" s="320">
        <f t="shared" si="80"/>
        <v>100</v>
      </c>
      <c r="P92" s="321"/>
      <c r="Q92" s="319">
        <v>100</v>
      </c>
      <c r="R92" s="319">
        <f t="shared" si="67"/>
        <v>0</v>
      </c>
      <c r="T92" s="320">
        <f t="shared" ref="T92" si="82">SUM(P92:S92)</f>
        <v>100</v>
      </c>
    </row>
    <row r="93" spans="1:20" x14ac:dyDescent="0.35">
      <c r="A93" s="321" t="s">
        <v>2708</v>
      </c>
      <c r="B93" s="319" t="str">
        <f>VLOOKUP(A93,TaskValues_ref!E:F,2,FALSE)</f>
        <v>Vector control</v>
      </c>
      <c r="C93" s="64">
        <v>100</v>
      </c>
      <c r="E93" s="320">
        <f t="shared" si="75"/>
        <v>100</v>
      </c>
      <c r="F93" s="321">
        <v>100</v>
      </c>
      <c r="I93" s="320">
        <f t="shared" si="79"/>
        <v>100</v>
      </c>
      <c r="M93" s="319">
        <f>SUMIFS(Cadres_Comprehensive!P:P,Cadres_Comprehensive!A:A,Cadres_Basic!A93)</f>
        <v>100</v>
      </c>
      <c r="O93" s="320">
        <f t="shared" si="80"/>
        <v>100</v>
      </c>
      <c r="R93" s="319">
        <f t="shared" si="67"/>
        <v>100</v>
      </c>
      <c r="T93" s="320">
        <f t="shared" si="68"/>
        <v>100</v>
      </c>
    </row>
    <row r="94" spans="1:20" x14ac:dyDescent="0.35">
      <c r="A94" s="321" t="s">
        <v>2364</v>
      </c>
      <c r="B94" s="319" t="str">
        <f>VLOOKUP(A94,TaskValues_ref!E:F,2,FALSE)</f>
        <v>Uncomplicated malaria in adults</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ref="T94:T96" si="83">SUM(P94:S94)</f>
        <v>100</v>
      </c>
    </row>
    <row r="95" spans="1:20" x14ac:dyDescent="0.35">
      <c r="A95" s="321" t="s">
        <v>2365</v>
      </c>
      <c r="B95" s="319" t="str">
        <f>VLOOKUP(A95,TaskValues_ref!E:F,2,FALSE)</f>
        <v>Uncomplicated malaria in children</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35">
      <c r="A96" s="321" t="s">
        <v>2368</v>
      </c>
      <c r="B96" s="319" t="str">
        <f>VLOOKUP(A96,TaskValues_ref!E:F,2,FALSE)</f>
        <v>Testing non-malaria cases</v>
      </c>
      <c r="C96" s="64">
        <v>100</v>
      </c>
      <c r="E96" s="320">
        <f t="shared" si="75"/>
        <v>100</v>
      </c>
      <c r="F96" s="319">
        <v>100</v>
      </c>
      <c r="I96" s="320">
        <f t="shared" si="79"/>
        <v>100</v>
      </c>
      <c r="J96" s="319">
        <v>50</v>
      </c>
      <c r="K96" s="321">
        <v>50</v>
      </c>
      <c r="L96" s="321"/>
      <c r="M96" s="319">
        <f>SUMIFS(Cadres_Comprehensive!P:P,Cadres_Comprehensive!A:A,Cadres_Basic!A96)</f>
        <v>0</v>
      </c>
      <c r="O96" s="320">
        <f t="shared" si="80"/>
        <v>100</v>
      </c>
      <c r="P96" s="319">
        <v>100</v>
      </c>
      <c r="R96" s="319">
        <f>M96</f>
        <v>0</v>
      </c>
      <c r="T96" s="320">
        <f t="shared" si="83"/>
        <v>100</v>
      </c>
    </row>
    <row r="97" spans="1:20" x14ac:dyDescent="0.35">
      <c r="A97" s="321" t="s">
        <v>2366</v>
      </c>
      <c r="B97" s="319" t="str">
        <f>VLOOKUP(A97,TaskValues_ref!E:F,2,FALSE)</f>
        <v>Severe malaria in adults</v>
      </c>
      <c r="C97" s="64">
        <v>100</v>
      </c>
      <c r="E97" s="320">
        <f t="shared" si="75"/>
        <v>100</v>
      </c>
      <c r="G97" s="319">
        <v>100</v>
      </c>
      <c r="I97" s="320">
        <f t="shared" ref="I97:I98" si="84">SUM(F97:H97)</f>
        <v>100</v>
      </c>
      <c r="L97" s="319">
        <v>100</v>
      </c>
      <c r="M97" s="319">
        <f>SUMIFS(Cadres_Comprehensive!P:P,Cadres_Comprehensive!A:A,Cadres_Basic!A97)</f>
        <v>0</v>
      </c>
      <c r="O97" s="320">
        <f t="shared" ref="O97:O98" si="85">SUM(J97:N97)</f>
        <v>100</v>
      </c>
      <c r="Q97" s="319">
        <v>100</v>
      </c>
      <c r="R97" s="319">
        <f t="shared" ref="R97:R98" si="86">M97</f>
        <v>0</v>
      </c>
      <c r="T97" s="320">
        <f t="shared" ref="T97:T98" si="87">SUM(P97:S97)</f>
        <v>100</v>
      </c>
    </row>
    <row r="98" spans="1:20" x14ac:dyDescent="0.35">
      <c r="A98" s="321" t="s">
        <v>2367</v>
      </c>
      <c r="B98" s="319" t="str">
        <f>VLOOKUP(A98,TaskValues_ref!E:F,2,FALSE)</f>
        <v>Severe malaria in children</v>
      </c>
      <c r="C98" s="64">
        <v>100</v>
      </c>
      <c r="E98" s="320">
        <f t="shared" si="75"/>
        <v>100</v>
      </c>
      <c r="G98" s="319">
        <v>100</v>
      </c>
      <c r="I98" s="320">
        <f t="shared" si="84"/>
        <v>100</v>
      </c>
      <c r="L98" s="319">
        <v>100</v>
      </c>
      <c r="M98" s="319">
        <f>SUMIFS(Cadres_Comprehensive!P:P,Cadres_Comprehensive!A:A,Cadres_Basic!A98)</f>
        <v>0</v>
      </c>
      <c r="O98" s="320">
        <f t="shared" si="85"/>
        <v>100</v>
      </c>
      <c r="Q98" s="319">
        <v>100</v>
      </c>
      <c r="R98" s="319">
        <f t="shared" si="86"/>
        <v>0</v>
      </c>
      <c r="T98" s="320">
        <f t="shared" si="87"/>
        <v>100</v>
      </c>
    </row>
    <row r="99" spans="1:20" x14ac:dyDescent="0.35">
      <c r="A99" s="321" t="s">
        <v>2709</v>
      </c>
      <c r="B99" s="319" t="str">
        <f>VLOOKUP(A99,TaskValues_ref!E:F,2,FALSE)</f>
        <v>Malaria surveillance</v>
      </c>
      <c r="C99" s="64">
        <v>100</v>
      </c>
      <c r="E99" s="320">
        <f t="shared" si="75"/>
        <v>100</v>
      </c>
      <c r="F99" s="319">
        <v>100</v>
      </c>
      <c r="I99" s="320">
        <f t="shared" si="79"/>
        <v>100</v>
      </c>
      <c r="J99" s="319">
        <v>50</v>
      </c>
      <c r="K99" s="321">
        <v>50</v>
      </c>
      <c r="L99" s="321"/>
      <c r="M99" s="319">
        <f>SUMIFS(Cadres_Comprehensive!P:P,Cadres_Comprehensive!A:A,Cadres_Basic!A99)</f>
        <v>0</v>
      </c>
      <c r="O99" s="320">
        <f t="shared" si="80"/>
        <v>100</v>
      </c>
      <c r="P99" s="319">
        <v>100</v>
      </c>
      <c r="R99" s="319">
        <f>M99</f>
        <v>0</v>
      </c>
      <c r="T99" s="320">
        <f t="shared" ref="T99" si="88">SUM(P99:S99)</f>
        <v>100</v>
      </c>
    </row>
    <row r="100" spans="1:20" x14ac:dyDescent="0.35">
      <c r="A100" s="321" t="s">
        <v>2710</v>
      </c>
      <c r="B100" s="319" t="str">
        <f>VLOOKUP(A100,TaskValues_ref!E:F,2,FALSE)</f>
        <v>Risk reduction</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ref="T100:T129" si="89">SUM(P100:S100)</f>
        <v>100</v>
      </c>
    </row>
    <row r="101" spans="1:20" x14ac:dyDescent="0.35">
      <c r="A101" s="321" t="s">
        <v>2711</v>
      </c>
      <c r="B101" s="319" t="str">
        <f>VLOOKUP(A101,TaskValues_ref!E:F,2,FALSE)</f>
        <v>Outbreak detection &amp; response</v>
      </c>
      <c r="C101" s="64">
        <v>100</v>
      </c>
      <c r="E101" s="320">
        <f t="shared" si="75"/>
        <v>100</v>
      </c>
      <c r="F101" s="321">
        <v>100</v>
      </c>
      <c r="I101" s="320">
        <f t="shared" si="79"/>
        <v>100</v>
      </c>
      <c r="M101" s="319">
        <f>SUMIFS(Cadres_Comprehensive!P:P,Cadres_Comprehensive!A:A,Cadres_Basic!A101)</f>
        <v>100</v>
      </c>
      <c r="O101" s="320">
        <f t="shared" si="80"/>
        <v>100</v>
      </c>
      <c r="R101" s="319">
        <f t="shared" si="67"/>
        <v>100</v>
      </c>
      <c r="T101" s="320">
        <f t="shared" si="89"/>
        <v>100</v>
      </c>
    </row>
    <row r="102" spans="1:20" x14ac:dyDescent="0.35">
      <c r="A102" s="321" t="s">
        <v>2383</v>
      </c>
      <c r="B102" s="319" t="str">
        <f>VLOOKUP(A102,TaskValues_ref!E:F,2,FALSE)</f>
        <v>Testing</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35">
      <c r="A103" s="321" t="s">
        <v>2384</v>
      </c>
      <c r="B103" s="319" t="str">
        <f>VLOOKUP(A103,TaskValues_ref!E:F,2,FALSE)</f>
        <v>Follow-up and linkage for positives</v>
      </c>
      <c r="C103" s="64">
        <v>100</v>
      </c>
      <c r="E103" s="320">
        <f t="shared" si="75"/>
        <v>100</v>
      </c>
      <c r="G103" s="319">
        <v>100</v>
      </c>
      <c r="I103" s="320">
        <f t="shared" si="79"/>
        <v>100</v>
      </c>
      <c r="L103" s="319">
        <v>100</v>
      </c>
      <c r="M103" s="319">
        <f>SUMIFS(Cadres_Comprehensive!P:P,Cadres_Comprehensive!A:A,Cadres_Basic!A103)</f>
        <v>0</v>
      </c>
      <c r="O103" s="320">
        <f t="shared" si="80"/>
        <v>100</v>
      </c>
      <c r="Q103" s="319">
        <v>100</v>
      </c>
      <c r="R103" s="319">
        <f t="shared" si="67"/>
        <v>0</v>
      </c>
      <c r="T103" s="320">
        <f t="shared" si="89"/>
        <v>100</v>
      </c>
    </row>
    <row r="104" spans="1:20" x14ac:dyDescent="0.35">
      <c r="A104" s="321" t="s">
        <v>2712</v>
      </c>
      <c r="B104" s="319" t="str">
        <f>VLOOKUP(A104,TaskValues_ref!E:F,2,FALSE)</f>
        <v>Treatment (DOT)</v>
      </c>
      <c r="C104" s="64">
        <v>100</v>
      </c>
      <c r="E104" s="320">
        <f t="shared" ref="E104" si="90">SUM(C104:D104)</f>
        <v>100</v>
      </c>
      <c r="F104" s="319">
        <v>100</v>
      </c>
      <c r="I104" s="320">
        <f t="shared" ref="I104" si="91">SUM(F104:H104)</f>
        <v>100</v>
      </c>
      <c r="J104" s="319">
        <v>50</v>
      </c>
      <c r="K104" s="321">
        <v>50</v>
      </c>
      <c r="L104" s="321"/>
      <c r="M104" s="319">
        <f>SUMIFS(Cadres_Comprehensive!P:P,Cadres_Comprehensive!A:A,Cadres_Basic!A104)</f>
        <v>0</v>
      </c>
      <c r="O104" s="320">
        <f t="shared" ref="O104" si="92">SUM(J104:N104)</f>
        <v>100</v>
      </c>
      <c r="P104" s="319">
        <v>100</v>
      </c>
      <c r="R104" s="319">
        <f>M104</f>
        <v>0</v>
      </c>
      <c r="T104" s="320">
        <f t="shared" ref="T104" si="93">SUM(P104:S104)</f>
        <v>100</v>
      </c>
    </row>
    <row r="105" spans="1:20" x14ac:dyDescent="0.35">
      <c r="A105" s="321" t="s">
        <v>2713</v>
      </c>
      <c r="B105" s="319" t="str">
        <f>VLOOKUP(A105,TaskValues_ref!E:F,2,FALSE)</f>
        <v>HIV prevention for TB patients</v>
      </c>
      <c r="C105" s="64">
        <v>100</v>
      </c>
      <c r="E105" s="320">
        <f t="shared" si="75"/>
        <v>100</v>
      </c>
      <c r="G105" s="319">
        <v>100</v>
      </c>
      <c r="I105" s="320">
        <f t="shared" si="79"/>
        <v>100</v>
      </c>
      <c r="L105" s="319">
        <v>100</v>
      </c>
      <c r="M105" s="319">
        <f>SUMIFS(Cadres_Comprehensive!P:P,Cadres_Comprehensive!A:A,Cadres_Basic!A105)</f>
        <v>0</v>
      </c>
      <c r="O105" s="320">
        <f t="shared" si="80"/>
        <v>100</v>
      </c>
      <c r="Q105" s="319">
        <v>100</v>
      </c>
      <c r="R105" s="319">
        <f t="shared" si="67"/>
        <v>0</v>
      </c>
      <c r="T105" s="320">
        <f t="shared" si="89"/>
        <v>100</v>
      </c>
    </row>
    <row r="106" spans="1:20" x14ac:dyDescent="0.35">
      <c r="A106" s="321" t="s">
        <v>2393</v>
      </c>
      <c r="B106" s="319" t="str">
        <f>VLOOKUP(A106,TaskValues_ref!E:F,2,FALSE)</f>
        <v>Promote protection from tobacco smoke</v>
      </c>
      <c r="C106" s="64">
        <v>100</v>
      </c>
      <c r="E106" s="320">
        <f t="shared" ref="E106:E110" si="94">SUM(C106:D106)</f>
        <v>100</v>
      </c>
      <c r="F106" s="319">
        <v>100</v>
      </c>
      <c r="I106" s="320">
        <f t="shared" ref="I106:I118" si="95">SUM(F106:H106)</f>
        <v>100</v>
      </c>
      <c r="J106" s="319">
        <v>50</v>
      </c>
      <c r="K106" s="321">
        <v>50</v>
      </c>
      <c r="L106" s="321"/>
      <c r="M106" s="319">
        <f>SUMIFS(Cadres_Comprehensive!P:P,Cadres_Comprehensive!A:A,Cadres_Basic!A106)</f>
        <v>0</v>
      </c>
      <c r="O106" s="320">
        <f t="shared" ref="O106:O118" si="96">SUM(J106:N106)</f>
        <v>100</v>
      </c>
      <c r="P106" s="319">
        <v>100</v>
      </c>
      <c r="R106" s="319">
        <f>M106</f>
        <v>0</v>
      </c>
      <c r="T106" s="320">
        <f t="shared" ref="T106:T110" si="97">SUM(P106:S106)</f>
        <v>100</v>
      </c>
    </row>
    <row r="107" spans="1:20" x14ac:dyDescent="0.35">
      <c r="A107" s="321" t="s">
        <v>2394</v>
      </c>
      <c r="B107" s="319" t="str">
        <f>VLOOKUP(A107,TaskValues_ref!E:F,2,FALSE)</f>
        <v>Campaigns re: alcohol use</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35">
      <c r="A108" s="321" t="s">
        <v>2395</v>
      </c>
      <c r="B108" s="319" t="str">
        <f>VLOOKUP(A108,TaskValues_ref!E:F,2,FALSE)</f>
        <v>Community-level physical activity</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35">
      <c r="A109" s="321" t="s">
        <v>2714</v>
      </c>
      <c r="B109" s="319" t="str">
        <f>VLOOKUP(A109,TaskValues_ref!E:F,2,FALSE)</f>
        <v>Awareness on risk factors</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35">
      <c r="A110" s="321" t="s">
        <v>2716</v>
      </c>
      <c r="B110" s="319" t="str">
        <f>VLOOKUP(A110,TaskValues_ref!E:F,2,FALSE)</f>
        <v>Breast cancer education</v>
      </c>
      <c r="C110" s="64">
        <v>100</v>
      </c>
      <c r="E110" s="320">
        <f t="shared" si="94"/>
        <v>100</v>
      </c>
      <c r="F110" s="319">
        <v>100</v>
      </c>
      <c r="I110" s="320">
        <f t="shared" si="95"/>
        <v>100</v>
      </c>
      <c r="J110" s="319">
        <v>50</v>
      </c>
      <c r="K110" s="321">
        <v>50</v>
      </c>
      <c r="L110" s="321"/>
      <c r="M110" s="319">
        <f>SUMIFS(Cadres_Comprehensive!P:P,Cadres_Comprehensive!A:A,Cadres_Basic!A110)</f>
        <v>0</v>
      </c>
      <c r="O110" s="320">
        <f t="shared" si="96"/>
        <v>100</v>
      </c>
      <c r="P110" s="319">
        <v>100</v>
      </c>
      <c r="R110" s="319">
        <f>M110</f>
        <v>0</v>
      </c>
      <c r="T110" s="320">
        <f t="shared" si="97"/>
        <v>100</v>
      </c>
    </row>
    <row r="111" spans="1:20" x14ac:dyDescent="0.35">
      <c r="A111" s="321" t="s">
        <v>2717</v>
      </c>
      <c r="B111" s="319" t="str">
        <f>VLOOKUP(A111,TaskValues_ref!E:F,2,FALSE)</f>
        <v>Clinical breast exams</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ref="R111:R118" si="98">M111</f>
        <v>0</v>
      </c>
      <c r="T111" s="320">
        <f t="shared" ref="T111:T118" si="99">SUM(P111:S111)</f>
        <v>100</v>
      </c>
    </row>
    <row r="112" spans="1:20" x14ac:dyDescent="0.35">
      <c r="A112" s="321" t="s">
        <v>2718</v>
      </c>
      <c r="B112" s="319" t="str">
        <f>VLOOKUP(A112,TaskValues_ref!E:F,2,FALSE)</f>
        <v>Palliative care for cancer</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35">
      <c r="A113" s="321" t="s">
        <v>2719</v>
      </c>
      <c r="B113" s="319" t="str">
        <f>VLOOKUP(A113,TaskValues_ref!E:F,2,FALSE)</f>
        <v>Lifestyle counseling</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35">
      <c r="A114" s="321" t="s">
        <v>2720</v>
      </c>
      <c r="B114" s="319" t="str">
        <f>VLOOKUP(A114,TaskValues_ref!E:F,2,FALSE)</f>
        <v>Hypertension screening</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35">
      <c r="A115" s="321" t="s">
        <v>2721</v>
      </c>
      <c r="B115" s="319" t="str">
        <f>VLOOKUP(A115,TaskValues_ref!E:F,2,FALSE)</f>
        <v>Hypertension routine care</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35">
      <c r="A116" s="321" t="s">
        <v>2722</v>
      </c>
      <c r="B116" s="319" t="str">
        <f>VLOOKUP(A116,TaskValues_ref!E:F,2,FALSE)</f>
        <v>Lifestyle counseling</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35">
      <c r="A117" s="321" t="s">
        <v>2723</v>
      </c>
      <c r="B117" s="319" t="str">
        <f>VLOOKUP(A117,TaskValues_ref!E:F,2,FALSE)</f>
        <v>Screening for type 2 diabetes</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35">
      <c r="A118" s="321" t="s">
        <v>2724</v>
      </c>
      <c r="B118" s="319" t="str">
        <f>VLOOKUP(A118,TaskValues_ref!E:F,2,FALSE)</f>
        <v>Diabetes routine care</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35">
      <c r="A119" s="321" t="s">
        <v>2725</v>
      </c>
      <c r="B119" s="319" t="str">
        <f>VLOOKUP(A119,TaskValues_ref!E:F,2,FALSE)</f>
        <v>Smoking cessation</v>
      </c>
      <c r="C119" s="64">
        <v>100</v>
      </c>
      <c r="E119" s="320">
        <f t="shared" ref="E119:E124" si="100">SUM(C119:D119)</f>
        <v>100</v>
      </c>
      <c r="F119" s="319">
        <v>100</v>
      </c>
      <c r="I119" s="320">
        <f t="shared" ref="I119:I124" si="101">SUM(F119:H119)</f>
        <v>100</v>
      </c>
      <c r="J119" s="319">
        <v>50</v>
      </c>
      <c r="K119" s="321">
        <v>50</v>
      </c>
      <c r="L119" s="321"/>
      <c r="M119" s="319">
        <f>SUMIFS(Cadres_Comprehensive!P:P,Cadres_Comprehensive!A:A,Cadres_Basic!A119)</f>
        <v>0</v>
      </c>
      <c r="O119" s="320">
        <f t="shared" ref="O119:O124" si="102">SUM(J119:N119)</f>
        <v>100</v>
      </c>
      <c r="P119" s="319">
        <v>100</v>
      </c>
      <c r="R119" s="319">
        <f t="shared" ref="R119:R124" si="103">M119</f>
        <v>0</v>
      </c>
      <c r="T119" s="320">
        <f t="shared" ref="T119:T124" si="104">SUM(P119:S119)</f>
        <v>100</v>
      </c>
    </row>
    <row r="120" spans="1:20" x14ac:dyDescent="0.35">
      <c r="A120" s="321" t="s">
        <v>2726</v>
      </c>
      <c r="B120" s="319" t="str">
        <f>VLOOKUP(A120,TaskValues_ref!E:F,2,FALSE)</f>
        <v>Prevention of risk factors</v>
      </c>
      <c r="C120" s="64">
        <v>100</v>
      </c>
      <c r="E120" s="320">
        <f t="shared" si="100"/>
        <v>100</v>
      </c>
      <c r="F120" s="319">
        <v>100</v>
      </c>
      <c r="I120" s="320">
        <f t="shared" si="101"/>
        <v>100</v>
      </c>
      <c r="J120" s="319">
        <v>50</v>
      </c>
      <c r="K120" s="321">
        <v>50</v>
      </c>
      <c r="L120" s="321"/>
      <c r="M120" s="319">
        <f>SUMIFS(Cadres_Comprehensive!P:P,Cadres_Comprehensive!A:A,Cadres_Basic!A120)</f>
        <v>0</v>
      </c>
      <c r="O120" s="320">
        <f t="shared" si="102"/>
        <v>100</v>
      </c>
      <c r="P120" s="319">
        <v>100</v>
      </c>
      <c r="R120" s="319">
        <f t="shared" si="103"/>
        <v>0</v>
      </c>
      <c r="T120" s="320">
        <f t="shared" si="104"/>
        <v>100</v>
      </c>
    </row>
    <row r="121" spans="1:20" x14ac:dyDescent="0.35">
      <c r="A121" s="321" t="s">
        <v>2453</v>
      </c>
      <c r="B121" s="319" t="str">
        <f>VLOOKUP(A121,TaskValues_ref!E:F,2,FALSE)</f>
        <v>Generate community awareness</v>
      </c>
      <c r="C121" s="64">
        <v>100</v>
      </c>
      <c r="E121" s="320">
        <f t="shared" si="100"/>
        <v>100</v>
      </c>
      <c r="F121" s="319">
        <v>100</v>
      </c>
      <c r="I121" s="320">
        <f t="shared" si="101"/>
        <v>100</v>
      </c>
      <c r="J121" s="319">
        <v>50</v>
      </c>
      <c r="K121" s="321">
        <v>50</v>
      </c>
      <c r="L121" s="321"/>
      <c r="M121" s="319">
        <f>SUMIFS(Cadres_Comprehensive!P:P,Cadres_Comprehensive!A:A,Cadres_Basic!A121)</f>
        <v>0</v>
      </c>
      <c r="O121" s="320">
        <f t="shared" si="102"/>
        <v>100</v>
      </c>
      <c r="P121" s="319">
        <v>100</v>
      </c>
      <c r="R121" s="319">
        <f t="shared" si="103"/>
        <v>0</v>
      </c>
      <c r="T121" s="320">
        <f t="shared" si="104"/>
        <v>100</v>
      </c>
    </row>
    <row r="122" spans="1:20" x14ac:dyDescent="0.35">
      <c r="A122" s="321" t="s">
        <v>2454</v>
      </c>
      <c r="B122" s="319" t="str">
        <f>VLOOKUP(A122,TaskValues_ref!E:F,2,FALSE)</f>
        <v>Identify &amp; link to care</v>
      </c>
      <c r="C122" s="64">
        <v>100</v>
      </c>
      <c r="E122" s="320">
        <f t="shared" si="100"/>
        <v>100</v>
      </c>
      <c r="F122" s="319">
        <v>100</v>
      </c>
      <c r="I122" s="320">
        <f t="shared" si="101"/>
        <v>100</v>
      </c>
      <c r="J122" s="319">
        <v>50</v>
      </c>
      <c r="K122" s="321">
        <v>50</v>
      </c>
      <c r="L122" s="321"/>
      <c r="M122" s="319">
        <f>SUMIFS(Cadres_Comprehensive!P:P,Cadres_Comprehensive!A:A,Cadres_Basic!A122)</f>
        <v>0</v>
      </c>
      <c r="O122" s="320">
        <f t="shared" si="102"/>
        <v>100</v>
      </c>
      <c r="P122" s="319">
        <v>100</v>
      </c>
      <c r="R122" s="319">
        <f t="shared" si="103"/>
        <v>0</v>
      </c>
      <c r="T122" s="320">
        <f t="shared" si="104"/>
        <v>100</v>
      </c>
    </row>
    <row r="123" spans="1:20" x14ac:dyDescent="0.35">
      <c r="A123" s="321" t="s">
        <v>2729</v>
      </c>
      <c r="B123" s="319" t="str">
        <f>VLOOKUP(A123,TaskValues_ref!E:F,2,FALSE)</f>
        <v>Workplace stress reduction</v>
      </c>
      <c r="C123" s="64">
        <v>100</v>
      </c>
      <c r="E123" s="320">
        <f t="shared" si="100"/>
        <v>100</v>
      </c>
      <c r="F123" s="319">
        <v>100</v>
      </c>
      <c r="I123" s="320">
        <f t="shared" si="101"/>
        <v>100</v>
      </c>
      <c r="J123" s="319">
        <v>50</v>
      </c>
      <c r="K123" s="321">
        <v>50</v>
      </c>
      <c r="L123" s="321"/>
      <c r="M123" s="319">
        <f>SUMIFS(Cadres_Comprehensive!P:P,Cadres_Comprehensive!A:A,Cadres_Basic!A123)</f>
        <v>0</v>
      </c>
      <c r="O123" s="320">
        <f t="shared" si="102"/>
        <v>100</v>
      </c>
      <c r="P123" s="319">
        <v>100</v>
      </c>
      <c r="R123" s="319">
        <f t="shared" si="103"/>
        <v>0</v>
      </c>
      <c r="T123" s="320">
        <f t="shared" si="104"/>
        <v>100</v>
      </c>
    </row>
    <row r="124" spans="1:20" x14ac:dyDescent="0.35">
      <c r="A124" s="321" t="s">
        <v>2730</v>
      </c>
      <c r="B124" s="319" t="str">
        <f>VLOOKUP(A124,TaskValues_ref!E:F,2,FALSE)</f>
        <v>School-based mental health programs</v>
      </c>
      <c r="C124" s="64">
        <v>100</v>
      </c>
      <c r="E124" s="320">
        <f t="shared" si="100"/>
        <v>100</v>
      </c>
      <c r="F124" s="319">
        <v>100</v>
      </c>
      <c r="I124" s="320">
        <f t="shared" si="101"/>
        <v>100</v>
      </c>
      <c r="J124" s="319">
        <v>50</v>
      </c>
      <c r="K124" s="321">
        <v>50</v>
      </c>
      <c r="L124" s="321"/>
      <c r="M124" s="319">
        <f>SUMIFS(Cadres_Comprehensive!P:P,Cadres_Comprehensive!A:A,Cadres_Basic!A124)</f>
        <v>0</v>
      </c>
      <c r="O124" s="320">
        <f t="shared" si="102"/>
        <v>100</v>
      </c>
      <c r="P124" s="319">
        <v>100</v>
      </c>
      <c r="R124" s="319">
        <f t="shared" si="103"/>
        <v>0</v>
      </c>
      <c r="T124" s="320">
        <f t="shared" si="104"/>
        <v>100</v>
      </c>
    </row>
    <row r="125" spans="1:20" x14ac:dyDescent="0.35">
      <c r="A125" s="321" t="s">
        <v>2731</v>
      </c>
      <c r="B125" s="319" t="str">
        <f>VLOOKUP(A125,TaskValues_ref!E:F,2,FALSE)</f>
        <v>Identify &amp; assess drug use</v>
      </c>
      <c r="C125" s="64">
        <v>100</v>
      </c>
      <c r="E125" s="320">
        <f t="shared" ref="E125:E152" si="105">SUM(C125:D125)</f>
        <v>100</v>
      </c>
      <c r="F125" s="321">
        <v>50</v>
      </c>
      <c r="G125" s="319">
        <v>50</v>
      </c>
      <c r="I125" s="320">
        <f t="shared" ref="I125:I152" si="106">SUM(F125:H125)</f>
        <v>100</v>
      </c>
      <c r="J125" s="321">
        <v>25</v>
      </c>
      <c r="K125" s="321">
        <v>25</v>
      </c>
      <c r="L125" s="321">
        <v>50</v>
      </c>
      <c r="M125" s="319">
        <f>SUMIFS(Cadres_Comprehensive!P:P,Cadres_Comprehensive!A:A,Cadres_Basic!A125)</f>
        <v>0</v>
      </c>
      <c r="O125" s="320">
        <f t="shared" ref="O125:O152" si="107">SUM(J125:N125)</f>
        <v>100</v>
      </c>
      <c r="P125" s="321">
        <v>50</v>
      </c>
      <c r="Q125" s="319">
        <v>50</v>
      </c>
      <c r="R125" s="319">
        <f t="shared" si="67"/>
        <v>0</v>
      </c>
      <c r="T125" s="320">
        <f t="shared" si="89"/>
        <v>100</v>
      </c>
    </row>
    <row r="126" spans="1:20" x14ac:dyDescent="0.35">
      <c r="A126" s="321" t="s">
        <v>2732</v>
      </c>
      <c r="B126" s="319" t="str">
        <f>VLOOKUP(A126,TaskValues_ref!E:F,2,FALSE)</f>
        <v>Safer storage of pesticides</v>
      </c>
      <c r="C126" s="64">
        <v>100</v>
      </c>
      <c r="E126" s="320">
        <f t="shared" si="105"/>
        <v>100</v>
      </c>
      <c r="F126" s="321">
        <v>100</v>
      </c>
      <c r="I126" s="320">
        <f t="shared" si="106"/>
        <v>100</v>
      </c>
      <c r="M126" s="319">
        <f>SUMIFS(Cadres_Comprehensive!P:P,Cadres_Comprehensive!A:A,Cadres_Basic!A126)</f>
        <v>100</v>
      </c>
      <c r="O126" s="320">
        <f t="shared" si="107"/>
        <v>100</v>
      </c>
      <c r="R126" s="319">
        <f t="shared" si="67"/>
        <v>100</v>
      </c>
      <c r="T126" s="320">
        <f t="shared" si="89"/>
        <v>100</v>
      </c>
    </row>
    <row r="127" spans="1:20" x14ac:dyDescent="0.35">
      <c r="A127" s="321" t="s">
        <v>2733</v>
      </c>
      <c r="B127" s="319" t="str">
        <f>VLOOKUP(A127,TaskValues_ref!E:F,2,FALSE)</f>
        <v>Emergency poisoning response</v>
      </c>
      <c r="C127" s="64">
        <v>100</v>
      </c>
      <c r="E127" s="320">
        <f t="shared" si="105"/>
        <v>100</v>
      </c>
      <c r="F127" s="321">
        <v>50</v>
      </c>
      <c r="G127" s="319">
        <v>50</v>
      </c>
      <c r="I127" s="320">
        <f t="shared" ref="I127" si="108">SUM(F127:H127)</f>
        <v>100</v>
      </c>
      <c r="J127" s="321"/>
      <c r="K127" s="321"/>
      <c r="L127" s="321"/>
      <c r="M127" s="319">
        <f>SUMIFS(Cadres_Comprehensive!P:P,Cadres_Comprehensive!A:A,Cadres_Basic!A127)</f>
        <v>100</v>
      </c>
      <c r="O127" s="320">
        <f t="shared" ref="O127" si="109">SUM(J127:N127)</f>
        <v>100</v>
      </c>
      <c r="P127" s="321"/>
      <c r="R127" s="319">
        <f t="shared" ref="R127" si="110">M127</f>
        <v>100</v>
      </c>
      <c r="T127" s="320">
        <f t="shared" ref="T127" si="111">SUM(P127:S127)</f>
        <v>100</v>
      </c>
    </row>
    <row r="128" spans="1:20" x14ac:dyDescent="0.35">
      <c r="A128" s="321" t="s">
        <v>2734</v>
      </c>
      <c r="B128" s="319" t="str">
        <f>VLOOKUP(A128,TaskValues_ref!E:F,2,FALSE)</f>
        <v>Awareness &amp; screening for cataracts</v>
      </c>
      <c r="C128" s="64">
        <v>100</v>
      </c>
      <c r="E128" s="320">
        <f t="shared" si="105"/>
        <v>100</v>
      </c>
      <c r="F128" s="321">
        <v>50</v>
      </c>
      <c r="G128" s="319">
        <v>50</v>
      </c>
      <c r="I128" s="320">
        <f t="shared" ref="I128" si="112">SUM(F128:H128)</f>
        <v>100</v>
      </c>
      <c r="J128" s="321">
        <v>25</v>
      </c>
      <c r="K128" s="321">
        <v>25</v>
      </c>
      <c r="L128" s="321">
        <v>50</v>
      </c>
      <c r="M128" s="319">
        <f>SUMIFS(Cadres_Comprehensive!P:P,Cadres_Comprehensive!A:A,Cadres_Basic!A128)</f>
        <v>0</v>
      </c>
      <c r="O128" s="320">
        <f t="shared" ref="O128" si="113">SUM(J128:N128)</f>
        <v>100</v>
      </c>
      <c r="P128" s="321">
        <v>50</v>
      </c>
      <c r="Q128" s="319">
        <v>50</v>
      </c>
      <c r="R128" s="319">
        <f t="shared" ref="R128" si="114">M128</f>
        <v>0</v>
      </c>
      <c r="T128" s="320">
        <f t="shared" ref="T128" si="115">SUM(P128:S128)</f>
        <v>100</v>
      </c>
    </row>
    <row r="129" spans="1:20" x14ac:dyDescent="0.35">
      <c r="A129" s="321" t="s">
        <v>2735</v>
      </c>
      <c r="B129" s="319" t="str">
        <f>VLOOKUP(A129,TaskValues_ref!E:F,2,FALSE)</f>
        <v>Awareness of eye glasses</v>
      </c>
      <c r="C129" s="64">
        <v>100</v>
      </c>
      <c r="E129" s="320">
        <f t="shared" si="105"/>
        <v>100</v>
      </c>
      <c r="F129" s="321">
        <v>100</v>
      </c>
      <c r="I129" s="320">
        <f t="shared" si="106"/>
        <v>100</v>
      </c>
      <c r="J129" s="321">
        <v>50</v>
      </c>
      <c r="K129" s="321">
        <v>50</v>
      </c>
      <c r="M129" s="319">
        <f>SUMIFS(Cadres_Comprehensive!P:P,Cadres_Comprehensive!A:A,Cadres_Basic!A129)</f>
        <v>0</v>
      </c>
      <c r="O129" s="320">
        <f t="shared" si="107"/>
        <v>100</v>
      </c>
      <c r="P129" s="321">
        <v>100</v>
      </c>
      <c r="R129" s="319">
        <f t="shared" si="67"/>
        <v>0</v>
      </c>
      <c r="T129" s="320">
        <f t="shared" si="89"/>
        <v>100</v>
      </c>
    </row>
    <row r="130" spans="1:20" x14ac:dyDescent="0.35">
      <c r="A130" s="321" t="s">
        <v>2736</v>
      </c>
      <c r="B130" s="319" t="str">
        <f>VLOOKUP(A130,TaskValues_ref!E:F,2,FALSE)</f>
        <v>School screenings for vision impairment</v>
      </c>
      <c r="C130" s="64">
        <v>100</v>
      </c>
      <c r="E130" s="320">
        <f t="shared" si="105"/>
        <v>100</v>
      </c>
      <c r="F130" s="319">
        <v>100</v>
      </c>
      <c r="I130" s="320">
        <f t="shared" si="106"/>
        <v>100</v>
      </c>
      <c r="J130" s="319">
        <v>50</v>
      </c>
      <c r="K130" s="321">
        <v>50</v>
      </c>
      <c r="L130" s="321"/>
      <c r="M130" s="319">
        <f>SUMIFS(Cadres_Comprehensive!P:P,Cadres_Comprehensive!A:A,Cadres_Basic!A130)</f>
        <v>0</v>
      </c>
      <c r="O130" s="320">
        <f t="shared" si="107"/>
        <v>100</v>
      </c>
      <c r="P130" s="319">
        <v>100</v>
      </c>
      <c r="R130" s="319">
        <f>M130</f>
        <v>0</v>
      </c>
      <c r="T130" s="320">
        <f t="shared" ref="T130" si="116">SUM(P130:S130)</f>
        <v>100</v>
      </c>
    </row>
    <row r="131" spans="1:20" x14ac:dyDescent="0.35">
      <c r="A131" s="321" t="s">
        <v>2737</v>
      </c>
      <c r="B131" s="319" t="str">
        <f>VLOOKUP(A131,TaskValues_ref!E:F,2,FALSE)</f>
        <v>Opportunistic screenings for vision impairment</v>
      </c>
      <c r="C131" s="64">
        <v>100</v>
      </c>
      <c r="E131" s="320">
        <f t="shared" si="105"/>
        <v>100</v>
      </c>
      <c r="G131" s="319">
        <v>100</v>
      </c>
      <c r="I131" s="320">
        <f t="shared" si="106"/>
        <v>100</v>
      </c>
      <c r="J131" s="321">
        <v>50</v>
      </c>
      <c r="K131" s="321">
        <v>50</v>
      </c>
      <c r="M131" s="319">
        <f>SUMIFS(Cadres_Comprehensive!P:P,Cadres_Comprehensive!A:A,Cadres_Basic!A131)</f>
        <v>0</v>
      </c>
      <c r="O131" s="320">
        <f t="shared" si="107"/>
        <v>100</v>
      </c>
      <c r="P131" s="321">
        <v>100</v>
      </c>
      <c r="R131" s="319">
        <f t="shared" ref="R131:R155" si="117">M131</f>
        <v>0</v>
      </c>
      <c r="T131" s="320">
        <f t="shared" ref="T131:T156" si="118">SUM(P131:S131)</f>
        <v>100</v>
      </c>
    </row>
    <row r="132" spans="1:20" x14ac:dyDescent="0.35">
      <c r="A132" s="321" t="s">
        <v>2738</v>
      </c>
      <c r="B132" s="319" t="str">
        <f>VLOOKUP(A132,TaskValues_ref!E:F,2,FALSE)</f>
        <v>Awareness &amp; screening for glaucoma</v>
      </c>
      <c r="C132" s="64">
        <v>100</v>
      </c>
      <c r="E132" s="320">
        <f t="shared" si="105"/>
        <v>100</v>
      </c>
      <c r="F132" s="321">
        <v>25</v>
      </c>
      <c r="G132" s="321">
        <v>75</v>
      </c>
      <c r="I132" s="320">
        <f t="shared" si="106"/>
        <v>100</v>
      </c>
      <c r="J132" s="321">
        <v>25</v>
      </c>
      <c r="K132" s="321">
        <v>25</v>
      </c>
      <c r="L132" s="321">
        <v>50</v>
      </c>
      <c r="M132" s="319">
        <f>SUMIFS(Cadres_Comprehensive!P:P,Cadres_Comprehensive!A:A,Cadres_Basic!A132)</f>
        <v>0</v>
      </c>
      <c r="O132" s="320">
        <f t="shared" ref="O132:O133" si="119">SUM(J132:N132)</f>
        <v>100</v>
      </c>
      <c r="P132" s="321">
        <v>50</v>
      </c>
      <c r="Q132" s="319">
        <v>50</v>
      </c>
      <c r="R132" s="319">
        <f t="shared" ref="R132:R133" si="120">M132</f>
        <v>0</v>
      </c>
      <c r="T132" s="320">
        <f t="shared" ref="T132:T133" si="121">SUM(P132:S132)</f>
        <v>100</v>
      </c>
    </row>
    <row r="133" spans="1:20" x14ac:dyDescent="0.35">
      <c r="A133" s="321" t="s">
        <v>2603</v>
      </c>
      <c r="B133" s="319" t="str">
        <f>VLOOKUP(A133,TaskValues_ref!E:F,2,FALSE)</f>
        <v>Basic first aid</v>
      </c>
      <c r="C133" s="64">
        <v>100</v>
      </c>
      <c r="E133" s="320">
        <f t="shared" si="105"/>
        <v>100</v>
      </c>
      <c r="F133" s="321">
        <v>25</v>
      </c>
      <c r="G133" s="321">
        <v>75</v>
      </c>
      <c r="I133" s="320">
        <f t="shared" si="106"/>
        <v>100</v>
      </c>
      <c r="J133" s="321">
        <v>25</v>
      </c>
      <c r="K133" s="321">
        <v>25</v>
      </c>
      <c r="L133" s="321">
        <v>50</v>
      </c>
      <c r="M133" s="319">
        <f>SUMIFS(Cadres_Comprehensive!P:P,Cadres_Comprehensive!A:A,Cadres_Basic!A133)</f>
        <v>0</v>
      </c>
      <c r="O133" s="320">
        <f t="shared" si="119"/>
        <v>100</v>
      </c>
      <c r="P133" s="321">
        <v>50</v>
      </c>
      <c r="Q133" s="319">
        <v>50</v>
      </c>
      <c r="R133" s="319">
        <f t="shared" si="120"/>
        <v>0</v>
      </c>
      <c r="T133" s="320">
        <f t="shared" si="121"/>
        <v>100</v>
      </c>
    </row>
    <row r="134" spans="1:20" x14ac:dyDescent="0.35">
      <c r="A134" s="321" t="s">
        <v>2462</v>
      </c>
      <c r="B134" s="319" t="str">
        <f>VLOOKUP(A134,TaskValues_ref!E:F,2,FALSE)</f>
        <v>Surveillance for NTDs</v>
      </c>
      <c r="C134" s="64">
        <v>100</v>
      </c>
      <c r="E134" s="320">
        <f t="shared" si="105"/>
        <v>100</v>
      </c>
      <c r="F134" s="321">
        <v>100</v>
      </c>
      <c r="I134" s="320">
        <f t="shared" si="106"/>
        <v>100</v>
      </c>
      <c r="M134" s="319">
        <f>SUMIFS(Cadres_Comprehensive!P:P,Cadres_Comprehensive!A:A,Cadres_Basic!A134)</f>
        <v>100</v>
      </c>
      <c r="O134" s="320">
        <f t="shared" si="107"/>
        <v>100</v>
      </c>
      <c r="R134" s="319">
        <f t="shared" si="117"/>
        <v>100</v>
      </c>
      <c r="T134" s="320">
        <f t="shared" si="118"/>
        <v>100</v>
      </c>
    </row>
    <row r="135" spans="1:20" x14ac:dyDescent="0.35">
      <c r="A135" s="321" t="s">
        <v>2741</v>
      </c>
      <c r="B135" s="319" t="str">
        <f>VLOOKUP(A135,TaskValues_ref!E:F,2,FALSE)</f>
        <v>LF screening &amp; referral</v>
      </c>
      <c r="C135" s="64">
        <v>100</v>
      </c>
      <c r="E135" s="320">
        <f t="shared" si="105"/>
        <v>100</v>
      </c>
      <c r="F135" s="319">
        <v>100</v>
      </c>
      <c r="I135" s="320">
        <f t="shared" si="106"/>
        <v>100</v>
      </c>
      <c r="J135" s="319">
        <v>50</v>
      </c>
      <c r="K135" s="321">
        <v>50</v>
      </c>
      <c r="L135" s="321"/>
      <c r="M135" s="319">
        <f>SUMIFS(Cadres_Comprehensive!P:P,Cadres_Comprehensive!A:A,Cadres_Basic!A135)</f>
        <v>0</v>
      </c>
      <c r="O135" s="320">
        <f t="shared" si="107"/>
        <v>100</v>
      </c>
      <c r="P135" s="319">
        <v>100</v>
      </c>
      <c r="R135" s="319">
        <f>M135</f>
        <v>0</v>
      </c>
      <c r="T135" s="320">
        <f t="shared" ref="T135" si="122">SUM(P135:S135)</f>
        <v>100</v>
      </c>
    </row>
    <row r="136" spans="1:20" x14ac:dyDescent="0.35">
      <c r="A136" s="321" t="s">
        <v>2742</v>
      </c>
      <c r="B136" s="319" t="str">
        <f>VLOOKUP(A136,TaskValues_ref!E:F,2,FALSE)</f>
        <v>LF MDA</v>
      </c>
      <c r="C136" s="64">
        <v>100</v>
      </c>
      <c r="E136" s="320">
        <f t="shared" si="105"/>
        <v>100</v>
      </c>
      <c r="F136" s="319">
        <v>100</v>
      </c>
      <c r="I136" s="320">
        <f t="shared" si="106"/>
        <v>100</v>
      </c>
      <c r="M136" s="319">
        <f>SUMIFS(Cadres_Comprehensive!P:P,Cadres_Comprehensive!A:A,Cadres_Basic!A136)</f>
        <v>100</v>
      </c>
      <c r="O136" s="320">
        <f t="shared" si="107"/>
        <v>100</v>
      </c>
      <c r="R136" s="319">
        <f t="shared" si="117"/>
        <v>100</v>
      </c>
      <c r="T136" s="320">
        <f t="shared" si="118"/>
        <v>100</v>
      </c>
    </row>
    <row r="137" spans="1:20" x14ac:dyDescent="0.35">
      <c r="A137" s="321" t="s">
        <v>2743</v>
      </c>
      <c r="B137" s="319" t="str">
        <f>VLOOKUP(A137,TaskValues_ref!E:F,2,FALSE)</f>
        <v>LLINs and IRS</v>
      </c>
      <c r="C137" s="64">
        <v>100</v>
      </c>
      <c r="E137" s="320">
        <f t="shared" si="105"/>
        <v>100</v>
      </c>
      <c r="F137" s="319">
        <v>100</v>
      </c>
      <c r="I137" s="320">
        <f t="shared" si="106"/>
        <v>100</v>
      </c>
      <c r="M137" s="319">
        <f>SUMIFS(Cadres_Comprehensive!P:P,Cadres_Comprehensive!A:A,Cadres_Basic!A137)</f>
        <v>100</v>
      </c>
      <c r="O137" s="320">
        <f t="shared" si="107"/>
        <v>100</v>
      </c>
      <c r="R137" s="319">
        <f t="shared" si="117"/>
        <v>100</v>
      </c>
      <c r="T137" s="320">
        <f t="shared" si="118"/>
        <v>100</v>
      </c>
    </row>
    <row r="138" spans="1:20" x14ac:dyDescent="0.35">
      <c r="A138" s="321" t="s">
        <v>2744</v>
      </c>
      <c r="B138" s="319" t="str">
        <f>VLOOKUP(A138,TaskValues_ref!E:F,2,FALSE)</f>
        <v>LF behavior change</v>
      </c>
      <c r="C138" s="64">
        <v>100</v>
      </c>
      <c r="E138" s="320">
        <f t="shared" si="105"/>
        <v>100</v>
      </c>
      <c r="F138" s="319">
        <v>100</v>
      </c>
      <c r="I138" s="320">
        <f t="shared" si="106"/>
        <v>100</v>
      </c>
      <c r="M138" s="319">
        <v>100</v>
      </c>
      <c r="O138" s="320">
        <f t="shared" si="107"/>
        <v>100</v>
      </c>
      <c r="R138" s="319">
        <v>100</v>
      </c>
      <c r="T138" s="320">
        <f t="shared" si="118"/>
        <v>100</v>
      </c>
    </row>
    <row r="139" spans="1:20" x14ac:dyDescent="0.35">
      <c r="A139" s="321" t="s">
        <v>2745</v>
      </c>
      <c r="B139" s="319" t="str">
        <f>VLOOKUP(A139,TaskValues_ref!E:F,2,FALSE)</f>
        <v>Oncho MDA</v>
      </c>
      <c r="C139" s="64">
        <v>100</v>
      </c>
      <c r="E139" s="320">
        <f t="shared" si="105"/>
        <v>100</v>
      </c>
      <c r="F139" s="319">
        <v>100</v>
      </c>
      <c r="I139" s="320">
        <f t="shared" si="106"/>
        <v>100</v>
      </c>
      <c r="M139" s="319">
        <f>SUMIFS(Cadres_Comprehensive!P:P,Cadres_Comprehensive!A:A,Cadres_Basic!A139)</f>
        <v>100</v>
      </c>
      <c r="O139" s="320">
        <f t="shared" si="107"/>
        <v>100</v>
      </c>
      <c r="R139" s="319">
        <f t="shared" si="117"/>
        <v>100</v>
      </c>
      <c r="T139" s="320">
        <f t="shared" si="118"/>
        <v>100</v>
      </c>
    </row>
    <row r="140" spans="1:20" x14ac:dyDescent="0.35">
      <c r="A140" s="321" t="s">
        <v>2746</v>
      </c>
      <c r="B140" s="319" t="str">
        <f>VLOOKUP(A140,TaskValues_ref!E:F,2,FALSE)</f>
        <v>Oncho behavior change</v>
      </c>
      <c r="C140" s="64">
        <v>100</v>
      </c>
      <c r="E140" s="320">
        <f t="shared" si="105"/>
        <v>100</v>
      </c>
      <c r="F140" s="319">
        <v>100</v>
      </c>
      <c r="I140" s="320">
        <f t="shared" si="106"/>
        <v>100</v>
      </c>
      <c r="M140" s="319">
        <v>100</v>
      </c>
      <c r="O140" s="320">
        <f t="shared" si="107"/>
        <v>100</v>
      </c>
      <c r="R140" s="319">
        <f t="shared" si="117"/>
        <v>100</v>
      </c>
      <c r="T140" s="320">
        <f t="shared" si="118"/>
        <v>100</v>
      </c>
    </row>
    <row r="141" spans="1:20" x14ac:dyDescent="0.35">
      <c r="A141" s="321" t="s">
        <v>2747</v>
      </c>
      <c r="B141" s="319" t="str">
        <f>VLOOKUP(A141,TaskValues_ref!E:F,2,FALSE)</f>
        <v>Trachoma behavior change</v>
      </c>
      <c r="C141" s="64">
        <v>100</v>
      </c>
      <c r="E141" s="320">
        <f t="shared" si="105"/>
        <v>100</v>
      </c>
      <c r="F141" s="319">
        <v>100</v>
      </c>
      <c r="I141" s="320">
        <f t="shared" si="106"/>
        <v>100</v>
      </c>
      <c r="M141" s="319">
        <v>100</v>
      </c>
      <c r="O141" s="320">
        <f t="shared" si="107"/>
        <v>100</v>
      </c>
      <c r="R141" s="319">
        <f t="shared" si="117"/>
        <v>100</v>
      </c>
      <c r="T141" s="320">
        <f t="shared" si="118"/>
        <v>100</v>
      </c>
    </row>
    <row r="142" spans="1:20" x14ac:dyDescent="0.35">
      <c r="A142" s="321" t="s">
        <v>2748</v>
      </c>
      <c r="B142" s="319" t="str">
        <f>VLOOKUP(A142,TaskValues_ref!E:F,2,FALSE)</f>
        <v>Promote water and sanitation</v>
      </c>
      <c r="C142" s="64">
        <v>100</v>
      </c>
      <c r="E142" s="320">
        <f t="shared" si="105"/>
        <v>100</v>
      </c>
      <c r="F142" s="319">
        <v>100</v>
      </c>
      <c r="I142" s="320">
        <f t="shared" si="106"/>
        <v>100</v>
      </c>
      <c r="M142" s="319">
        <v>100</v>
      </c>
      <c r="O142" s="320">
        <f t="shared" si="107"/>
        <v>100</v>
      </c>
      <c r="R142" s="319">
        <f t="shared" si="117"/>
        <v>100</v>
      </c>
      <c r="T142" s="320">
        <f t="shared" si="118"/>
        <v>100</v>
      </c>
    </row>
    <row r="143" spans="1:20" x14ac:dyDescent="0.35">
      <c r="A143" s="321" t="s">
        <v>2749</v>
      </c>
      <c r="B143" s="319" t="str">
        <f>VLOOKUP(A143,TaskValues_ref!E:F,2,FALSE)</f>
        <v>Dx &amp; treat trachoma</v>
      </c>
      <c r="C143" s="64">
        <v>100</v>
      </c>
      <c r="E143" s="320">
        <f t="shared" si="105"/>
        <v>100</v>
      </c>
      <c r="F143" s="319">
        <v>100</v>
      </c>
      <c r="I143" s="320">
        <f t="shared" si="106"/>
        <v>100</v>
      </c>
      <c r="J143" s="319">
        <v>50</v>
      </c>
      <c r="K143" s="321">
        <v>50</v>
      </c>
      <c r="L143" s="321"/>
      <c r="M143" s="319">
        <f>SUMIFS(Cadres_Comprehensive!P:P,Cadres_Comprehensive!A:A,Cadres_Basic!A143)</f>
        <v>0</v>
      </c>
      <c r="O143" s="320">
        <f t="shared" si="107"/>
        <v>100</v>
      </c>
      <c r="P143" s="319">
        <v>100</v>
      </c>
      <c r="R143" s="319">
        <f>M143</f>
        <v>0</v>
      </c>
      <c r="T143" s="320">
        <f t="shared" ref="T143" si="123">SUM(P143:S143)</f>
        <v>100</v>
      </c>
    </row>
    <row r="144" spans="1:20" x14ac:dyDescent="0.35">
      <c r="A144" s="321" t="s">
        <v>2750</v>
      </c>
      <c r="B144" s="319" t="str">
        <f>VLOOKUP(A144,TaskValues_ref!E:F,2,FALSE)</f>
        <v>Trochomatous trichiasis surgery</v>
      </c>
      <c r="C144" s="64">
        <v>100</v>
      </c>
      <c r="E144" s="320">
        <f t="shared" si="105"/>
        <v>100</v>
      </c>
      <c r="G144" s="319">
        <v>100</v>
      </c>
      <c r="I144" s="320">
        <f t="shared" si="106"/>
        <v>100</v>
      </c>
      <c r="L144" s="319">
        <v>100</v>
      </c>
      <c r="M144" s="319">
        <f>SUMIFS(Cadres_Comprehensive!P:P,Cadres_Comprehensive!A:A,Cadres_Basic!A144)</f>
        <v>0</v>
      </c>
      <c r="O144" s="320">
        <f t="shared" si="107"/>
        <v>100</v>
      </c>
      <c r="Q144" s="319">
        <v>100</v>
      </c>
      <c r="R144" s="319">
        <f t="shared" si="117"/>
        <v>0</v>
      </c>
      <c r="T144" s="320">
        <f t="shared" si="118"/>
        <v>100</v>
      </c>
    </row>
    <row r="145" spans="1:20" x14ac:dyDescent="0.35">
      <c r="A145" s="321" t="s">
        <v>2751</v>
      </c>
      <c r="B145" s="319" t="str">
        <f>VLOOKUP(A145,TaskValues_ref!E:F,2,FALSE)</f>
        <v>Trachoma MDA</v>
      </c>
      <c r="C145" s="64">
        <v>100</v>
      </c>
      <c r="E145" s="320">
        <f t="shared" si="105"/>
        <v>100</v>
      </c>
      <c r="F145" s="319">
        <v>100</v>
      </c>
      <c r="I145" s="320">
        <f t="shared" si="106"/>
        <v>100</v>
      </c>
      <c r="M145" s="319">
        <f>SUMIFS(Cadres_Comprehensive!P:P,Cadres_Comprehensive!A:A,Cadres_Basic!A145)</f>
        <v>100</v>
      </c>
      <c r="O145" s="320">
        <f t="shared" si="107"/>
        <v>100</v>
      </c>
      <c r="R145" s="319">
        <f t="shared" si="117"/>
        <v>100</v>
      </c>
      <c r="T145" s="320">
        <f t="shared" si="118"/>
        <v>100</v>
      </c>
    </row>
    <row r="146" spans="1:20" x14ac:dyDescent="0.35">
      <c r="A146" s="321" t="s">
        <v>2752</v>
      </c>
      <c r="B146" s="319" t="str">
        <f>VLOOKUP(A146,TaskValues_ref!E:F,2,FALSE)</f>
        <v>Promote face washing</v>
      </c>
      <c r="C146" s="64">
        <v>100</v>
      </c>
      <c r="E146" s="320">
        <f t="shared" si="105"/>
        <v>100</v>
      </c>
      <c r="F146" s="319">
        <v>100</v>
      </c>
      <c r="I146" s="320">
        <f t="shared" si="106"/>
        <v>100</v>
      </c>
      <c r="M146" s="319">
        <v>100</v>
      </c>
      <c r="O146" s="320">
        <f t="shared" si="107"/>
        <v>100</v>
      </c>
      <c r="R146" s="319">
        <f t="shared" si="117"/>
        <v>100</v>
      </c>
      <c r="T146" s="320">
        <f t="shared" si="118"/>
        <v>100</v>
      </c>
    </row>
    <row r="147" spans="1:20" x14ac:dyDescent="0.35">
      <c r="A147" s="321" t="s">
        <v>2753</v>
      </c>
      <c r="B147" s="319" t="str">
        <f>VLOOKUP(A147,TaskValues_ref!E:F,2,FALSE)</f>
        <v>Schisto behavior change</v>
      </c>
      <c r="C147" s="64">
        <v>100</v>
      </c>
      <c r="E147" s="320">
        <f t="shared" si="105"/>
        <v>100</v>
      </c>
      <c r="F147" s="319">
        <v>100</v>
      </c>
      <c r="I147" s="320">
        <f t="shared" si="106"/>
        <v>100</v>
      </c>
      <c r="M147" s="319">
        <v>100</v>
      </c>
      <c r="O147" s="320">
        <f t="shared" si="107"/>
        <v>100</v>
      </c>
      <c r="R147" s="319">
        <f t="shared" si="117"/>
        <v>100</v>
      </c>
      <c r="T147" s="320">
        <f t="shared" si="118"/>
        <v>100</v>
      </c>
    </row>
    <row r="148" spans="1:20" x14ac:dyDescent="0.35">
      <c r="A148" s="321" t="s">
        <v>2754</v>
      </c>
      <c r="B148" s="319" t="str">
        <f>VLOOKUP(A148,TaskValues_ref!E:F,2,FALSE)</f>
        <v>Snail control</v>
      </c>
      <c r="C148" s="64">
        <v>100</v>
      </c>
      <c r="E148" s="320">
        <f t="shared" si="105"/>
        <v>100</v>
      </c>
      <c r="F148" s="319">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35">
      <c r="A149" s="321" t="s">
        <v>2755</v>
      </c>
      <c r="B149" s="319" t="str">
        <f>VLOOKUP(A149,TaskValues_ref!E:F,2,FALSE)</f>
        <v>Schisto MDA</v>
      </c>
      <c r="C149" s="64">
        <v>100</v>
      </c>
      <c r="E149" s="320">
        <f t="shared" si="105"/>
        <v>100</v>
      </c>
      <c r="F149" s="319">
        <v>100</v>
      </c>
      <c r="I149" s="320">
        <f t="shared" si="106"/>
        <v>100</v>
      </c>
      <c r="M149" s="319">
        <f>SUMIFS(Cadres_Comprehensive!P:P,Cadres_Comprehensive!A:A,Cadres_Basic!A149)</f>
        <v>100</v>
      </c>
      <c r="O149" s="320">
        <f t="shared" si="107"/>
        <v>100</v>
      </c>
      <c r="R149" s="319">
        <f t="shared" si="117"/>
        <v>100</v>
      </c>
      <c r="T149" s="320">
        <f t="shared" si="118"/>
        <v>100</v>
      </c>
    </row>
    <row r="150" spans="1:20" x14ac:dyDescent="0.35">
      <c r="A150" s="321" t="s">
        <v>2756</v>
      </c>
      <c r="B150" s="319" t="str">
        <f>VLOOKUP(A150,TaskValues_ref!E:F,2,FALSE)</f>
        <v>STH behavior change</v>
      </c>
      <c r="C150" s="64">
        <v>100</v>
      </c>
      <c r="E150" s="320">
        <f t="shared" si="105"/>
        <v>100</v>
      </c>
      <c r="F150" s="319">
        <v>100</v>
      </c>
      <c r="I150" s="320">
        <f t="shared" si="106"/>
        <v>100</v>
      </c>
      <c r="M150" s="319">
        <v>100</v>
      </c>
      <c r="O150" s="320">
        <f t="shared" si="107"/>
        <v>100</v>
      </c>
      <c r="R150" s="319">
        <f t="shared" si="117"/>
        <v>100</v>
      </c>
      <c r="T150" s="320">
        <f t="shared" si="118"/>
        <v>100</v>
      </c>
    </row>
    <row r="151" spans="1:20" x14ac:dyDescent="0.35">
      <c r="A151" s="321" t="s">
        <v>2757</v>
      </c>
      <c r="B151" s="319" t="str">
        <f>VLOOKUP(A151,TaskValues_ref!E:F,2,FALSE)</f>
        <v>STH MDA</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35">
      <c r="A152" s="321" t="s">
        <v>2758</v>
      </c>
      <c r="B152" s="319" t="str">
        <f>VLOOKUP(A152,TaskValues_ref!E:F,2,FALSE)</f>
        <v>STH dx &amp; treat in pregnancy</v>
      </c>
      <c r="C152" s="64">
        <v>100</v>
      </c>
      <c r="E152" s="320">
        <f t="shared" si="105"/>
        <v>100</v>
      </c>
      <c r="F152" s="319">
        <v>100</v>
      </c>
      <c r="I152" s="320">
        <f t="shared" si="106"/>
        <v>100</v>
      </c>
      <c r="J152" s="319">
        <v>50</v>
      </c>
      <c r="K152" s="321">
        <v>50</v>
      </c>
      <c r="L152" s="321"/>
      <c r="M152" s="319">
        <f>SUMIFS(Cadres_Comprehensive!P:P,Cadres_Comprehensive!A:A,Cadres_Basic!A152)</f>
        <v>0</v>
      </c>
      <c r="O152" s="320">
        <f t="shared" si="107"/>
        <v>100</v>
      </c>
      <c r="P152" s="319">
        <v>100</v>
      </c>
      <c r="R152" s="319">
        <f>M152</f>
        <v>0</v>
      </c>
      <c r="T152" s="320">
        <f t="shared" ref="T152" si="124">SUM(P152:S152)</f>
        <v>100</v>
      </c>
    </row>
    <row r="153" spans="1:20" x14ac:dyDescent="0.35">
      <c r="A153" s="321" t="s">
        <v>2759</v>
      </c>
      <c r="B153" s="319" t="str">
        <f>VLOOKUP(A153,TaskValues_ref!E:F,2,FALSE)</f>
        <v>Scabies behavior change</v>
      </c>
      <c r="C153" s="64">
        <v>100</v>
      </c>
      <c r="E153" s="320">
        <f t="shared" ref="E153:E156" si="125">SUM(C153:D153)</f>
        <v>100</v>
      </c>
      <c r="F153" s="319">
        <v>100</v>
      </c>
      <c r="I153" s="320">
        <f t="shared" ref="I153:I156" si="126">SUM(F153:H153)</f>
        <v>100</v>
      </c>
      <c r="M153" s="319">
        <v>100</v>
      </c>
      <c r="O153" s="320">
        <f t="shared" ref="O153:O156" si="127">SUM(J153:N153)</f>
        <v>100</v>
      </c>
      <c r="R153" s="319">
        <f t="shared" si="117"/>
        <v>100</v>
      </c>
      <c r="T153" s="320">
        <f t="shared" si="118"/>
        <v>100</v>
      </c>
    </row>
    <row r="154" spans="1:20" x14ac:dyDescent="0.35">
      <c r="A154" s="321" t="s">
        <v>2636</v>
      </c>
      <c r="B154" s="319" t="str">
        <f>VLOOKUP(A154,TaskValues_ref!E:F,2,FALSE)</f>
        <v>Model household program</v>
      </c>
      <c r="C154" s="64">
        <v>100</v>
      </c>
      <c r="E154" s="320">
        <f t="shared" si="125"/>
        <v>100</v>
      </c>
      <c r="F154" s="319">
        <v>100</v>
      </c>
      <c r="I154" s="320">
        <f t="shared" si="126"/>
        <v>100</v>
      </c>
      <c r="M154" s="319">
        <f>SUMIFS(Cadres_Comprehensive!P:P,Cadres_Comprehensive!A:A,Cadres_Basic!A154)</f>
        <v>100</v>
      </c>
      <c r="O154" s="320">
        <f t="shared" si="127"/>
        <v>100</v>
      </c>
      <c r="R154" s="319">
        <f t="shared" si="117"/>
        <v>100</v>
      </c>
      <c r="T154" s="320">
        <f t="shared" si="118"/>
        <v>100</v>
      </c>
    </row>
    <row r="155" spans="1:20" x14ac:dyDescent="0.35">
      <c r="A155" s="321" t="s">
        <v>2637</v>
      </c>
      <c r="B155" s="319" t="str">
        <f>VLOOKUP(A155,TaskValues_ref!E:F,2,FALSE)</f>
        <v>Model household program</v>
      </c>
      <c r="C155" s="64">
        <v>100</v>
      </c>
      <c r="E155" s="320">
        <f t="shared" si="125"/>
        <v>100</v>
      </c>
      <c r="F155" s="319">
        <v>100</v>
      </c>
      <c r="I155" s="320">
        <f t="shared" si="126"/>
        <v>100</v>
      </c>
      <c r="J155" s="319">
        <v>50</v>
      </c>
      <c r="K155" s="319">
        <v>50</v>
      </c>
      <c r="M155" s="319">
        <f>SUMIFS(Cadres_Comprehensive!P:P,Cadres_Comprehensive!A:A,Cadres_Basic!A155)</f>
        <v>0</v>
      </c>
      <c r="O155" s="320">
        <f t="shared" si="127"/>
        <v>100</v>
      </c>
      <c r="P155" s="319">
        <v>100</v>
      </c>
      <c r="R155" s="319">
        <f t="shared" si="117"/>
        <v>0</v>
      </c>
      <c r="T155" s="320">
        <f t="shared" si="118"/>
        <v>100</v>
      </c>
    </row>
    <row r="156" spans="1:20" x14ac:dyDescent="0.35">
      <c r="A156" s="321" t="s">
        <v>1958</v>
      </c>
      <c r="B156" s="319" t="str">
        <f>VLOOKUP(A156,TaskValues_ref!E:F,2,FALSE)</f>
        <v>Record keeping</v>
      </c>
      <c r="C156" s="64">
        <v>100</v>
      </c>
      <c r="E156" s="320">
        <f t="shared" si="125"/>
        <v>100</v>
      </c>
      <c r="F156" s="321">
        <f>2/3*100</f>
        <v>66.666666666666657</v>
      </c>
      <c r="G156" s="319">
        <f>1/3*100</f>
        <v>33.333333333333329</v>
      </c>
      <c r="I156" s="320">
        <f t="shared" si="126"/>
        <v>99.999999999999986</v>
      </c>
      <c r="J156" s="319">
        <v>25</v>
      </c>
      <c r="K156" s="319">
        <v>25</v>
      </c>
      <c r="L156" s="319">
        <v>25</v>
      </c>
      <c r="M156" s="319">
        <v>25</v>
      </c>
      <c r="O156" s="320">
        <f t="shared" si="127"/>
        <v>100</v>
      </c>
      <c r="P156" s="319">
        <v>50</v>
      </c>
      <c r="Q156" s="319">
        <v>25</v>
      </c>
      <c r="R156" s="319">
        <v>25</v>
      </c>
      <c r="T156" s="320">
        <f t="shared" si="118"/>
        <v>100</v>
      </c>
    </row>
    <row r="157" spans="1:20" x14ac:dyDescent="0.35">
      <c r="A157" s="319" t="s">
        <v>2804</v>
      </c>
      <c r="B157" s="319" t="s">
        <v>2806</v>
      </c>
      <c r="C157" s="64">
        <v>100</v>
      </c>
      <c r="E157" s="320">
        <f t="shared" ref="E157:E160" si="128">SUM(C157:D157)</f>
        <v>100</v>
      </c>
      <c r="F157" s="321">
        <v>100</v>
      </c>
      <c r="I157" s="320">
        <f t="shared" ref="I157:I161" si="129">SUM(F157:H157)</f>
        <v>100</v>
      </c>
      <c r="M157" s="319">
        <f>SUMIFS(Cadres_Comprehensive!P:P,Cadres_Comprehensive!A:A,Cadres_Basic!A157)</f>
        <v>100</v>
      </c>
      <c r="O157" s="320">
        <f t="shared" ref="O157:O162" si="130">SUM(J157:N157)</f>
        <v>100</v>
      </c>
      <c r="R157" s="319">
        <f t="shared" ref="R157" si="131">M157</f>
        <v>100</v>
      </c>
      <c r="T157" s="320">
        <f t="shared" ref="T157:T162" si="132">SUM(P157:S157)</f>
        <v>100</v>
      </c>
    </row>
    <row r="158" spans="1:20" x14ac:dyDescent="0.35">
      <c r="A158" s="319" t="s">
        <v>2805</v>
      </c>
      <c r="B158" s="319" t="s">
        <v>2807</v>
      </c>
      <c r="C158" s="64">
        <v>100</v>
      </c>
      <c r="E158" s="320">
        <f t="shared" si="128"/>
        <v>100</v>
      </c>
      <c r="F158" s="321">
        <v>100</v>
      </c>
      <c r="I158" s="320">
        <f t="shared" si="129"/>
        <v>100</v>
      </c>
      <c r="J158" s="319">
        <v>50</v>
      </c>
      <c r="K158" s="319">
        <v>50</v>
      </c>
      <c r="M158" s="319">
        <f>SUMIFS(Cadres_Comprehensive!P:P,Cadres_Comprehensive!A:A,Cadres_Basic!A158)</f>
        <v>0</v>
      </c>
      <c r="O158" s="320">
        <f t="shared" si="130"/>
        <v>100</v>
      </c>
      <c r="P158" s="319">
        <v>100</v>
      </c>
      <c r="T158" s="320">
        <f t="shared" si="132"/>
        <v>100</v>
      </c>
    </row>
    <row r="159" spans="1:20" x14ac:dyDescent="0.35">
      <c r="A159" s="64" t="s">
        <v>2822</v>
      </c>
      <c r="B159" s="321" t="s">
        <v>2828</v>
      </c>
      <c r="C159" s="64">
        <v>100</v>
      </c>
      <c r="E159" s="320">
        <f t="shared" si="128"/>
        <v>100</v>
      </c>
      <c r="F159" s="321">
        <v>100</v>
      </c>
      <c r="I159" s="320">
        <f t="shared" si="129"/>
        <v>100</v>
      </c>
      <c r="J159" s="319">
        <v>100</v>
      </c>
      <c r="O159" s="320">
        <f t="shared" si="130"/>
        <v>100</v>
      </c>
      <c r="P159" s="319">
        <v>100</v>
      </c>
      <c r="T159" s="320">
        <f t="shared" si="132"/>
        <v>100</v>
      </c>
    </row>
    <row r="160" spans="1:20" x14ac:dyDescent="0.35">
      <c r="A160" s="64" t="s">
        <v>2823</v>
      </c>
      <c r="B160" s="321" t="s">
        <v>2829</v>
      </c>
      <c r="C160" s="64">
        <v>100</v>
      </c>
      <c r="E160" s="320">
        <f t="shared" si="128"/>
        <v>100</v>
      </c>
      <c r="F160" s="321">
        <v>100</v>
      </c>
      <c r="I160" s="320">
        <f t="shared" si="129"/>
        <v>100</v>
      </c>
      <c r="K160" s="319">
        <v>100</v>
      </c>
      <c r="O160" s="320">
        <f t="shared" si="130"/>
        <v>100</v>
      </c>
      <c r="P160" s="321">
        <v>100</v>
      </c>
      <c r="T160" s="320">
        <f t="shared" si="132"/>
        <v>100</v>
      </c>
    </row>
    <row r="161" spans="1:20" x14ac:dyDescent="0.35">
      <c r="A161" s="64" t="s">
        <v>2824</v>
      </c>
      <c r="B161" s="321" t="s">
        <v>2830</v>
      </c>
      <c r="G161" s="319">
        <v>100</v>
      </c>
      <c r="I161" s="320">
        <f t="shared" si="129"/>
        <v>100</v>
      </c>
      <c r="L161" s="319">
        <v>100</v>
      </c>
      <c r="O161" s="320">
        <f t="shared" si="130"/>
        <v>100</v>
      </c>
      <c r="Q161" s="319">
        <v>100</v>
      </c>
      <c r="T161" s="320">
        <f t="shared" si="132"/>
        <v>100</v>
      </c>
    </row>
    <row r="162" spans="1:20" x14ac:dyDescent="0.35">
      <c r="A162" s="64" t="s">
        <v>2825</v>
      </c>
      <c r="B162" s="321" t="s">
        <v>2831</v>
      </c>
      <c r="M162" s="319">
        <v>100</v>
      </c>
      <c r="O162" s="320">
        <f t="shared" si="130"/>
        <v>100</v>
      </c>
      <c r="R162" s="319">
        <v>100</v>
      </c>
      <c r="T162" s="320">
        <f t="shared" si="132"/>
        <v>100</v>
      </c>
    </row>
    <row r="163" spans="1:20" s="127" customFormat="1" x14ac:dyDescent="0.35">
      <c r="A163" s="377" t="s">
        <v>2826</v>
      </c>
      <c r="B163" s="377" t="s">
        <v>2832</v>
      </c>
      <c r="C163" s="383"/>
      <c r="D163" s="376"/>
      <c r="E163" s="378"/>
      <c r="F163" s="376"/>
      <c r="G163" s="376"/>
      <c r="H163" s="376"/>
      <c r="I163" s="378"/>
      <c r="J163" s="376"/>
      <c r="K163" s="376"/>
      <c r="L163" s="376"/>
      <c r="M163" s="376"/>
      <c r="N163" s="376"/>
      <c r="O163" s="378"/>
      <c r="P163" s="376"/>
      <c r="Q163" s="376"/>
      <c r="R163" s="376"/>
      <c r="S163" s="376"/>
      <c r="T163" s="378"/>
    </row>
    <row r="164" spans="1:20" s="127" customFormat="1" x14ac:dyDescent="0.35">
      <c r="A164" s="377" t="s">
        <v>2827</v>
      </c>
      <c r="B164" s="377" t="s">
        <v>2833</v>
      </c>
      <c r="C164" s="383"/>
      <c r="D164" s="376"/>
      <c r="E164" s="378"/>
      <c r="F164" s="376"/>
      <c r="G164" s="376"/>
      <c r="H164" s="376"/>
      <c r="I164" s="378"/>
      <c r="J164" s="376"/>
      <c r="K164" s="376"/>
      <c r="L164" s="376"/>
      <c r="M164" s="376"/>
      <c r="N164" s="376"/>
      <c r="O164" s="378"/>
      <c r="P164" s="376"/>
      <c r="Q164" s="376"/>
      <c r="R164" s="376"/>
      <c r="S164" s="376"/>
      <c r="T164" s="378"/>
    </row>
  </sheetData>
  <conditionalFormatting sqref="T2 E2 I2 O2 O5 I5 E5:E16 T5 E18:E19 O21 I21 E21:E22 T21 O36:O41 I36:I41 E36:E41 T36:T41 T43 E43 I43 O43 E45 E49:E50 E53:E57 E60:E61 E66:E69 T73 E73 I73 O73 O78 I78 E77:E78 T78 T80 E80 I80 O80 O91 I91 E89:E93 T91 E97:E98 O100:O103 I100:I103 E100:E103 T100:T103 T105 E105 I105 O105 E111:E118 T125:T126 E125:E129 I125:I126 O125:O126 O131 I131:I134 E131:E134 T131 T136:T142 E136:E142 I136:I142 O136:O142 O144:O151 I144:I151 E144:E151 T144:T151 O129 I129 T129 T134 O134 T93 I93 O93 T7:T13 I7:I13 O7:O13 T153:T156 E153:E156 I153:I156 O153:O156">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19 E119 I119 O119">
    <cfRule type="cellIs" dxfId="56" priority="56" operator="notEqual">
      <formula>100</formula>
    </cfRule>
  </conditionalFormatting>
  <conditionalFormatting sqref="T120 E120 I120 O120">
    <cfRule type="cellIs" dxfId="55" priority="55" operator="notEqual">
      <formula>100</formula>
    </cfRule>
  </conditionalFormatting>
  <conditionalFormatting sqref="T121 E121 I121 O121">
    <cfRule type="cellIs" dxfId="54" priority="54" operator="notEqual">
      <formula>100</formula>
    </cfRule>
  </conditionalFormatting>
  <conditionalFormatting sqref="T122 E122 I122 O122">
    <cfRule type="cellIs" dxfId="53" priority="53" operator="notEqual">
      <formula>100</formula>
    </cfRule>
  </conditionalFormatting>
  <conditionalFormatting sqref="T123 E123 I123 O123">
    <cfRule type="cellIs" dxfId="52" priority="52" operator="notEqual">
      <formula>100</formula>
    </cfRule>
  </conditionalFormatting>
  <conditionalFormatting sqref="T124 E124 I124 O124">
    <cfRule type="cellIs" dxfId="51" priority="51" operator="notEqual">
      <formula>100</formula>
    </cfRule>
  </conditionalFormatting>
  <conditionalFormatting sqref="T130 E130 I130 O130">
    <cfRule type="cellIs" dxfId="50" priority="50" operator="notEqual">
      <formula>100</formula>
    </cfRule>
  </conditionalFormatting>
  <conditionalFormatting sqref="T135 E135 I135 O135">
    <cfRule type="cellIs" dxfId="49" priority="49" operator="notEqual">
      <formula>100</formula>
    </cfRule>
  </conditionalFormatting>
  <conditionalFormatting sqref="T143 E143 I143 O143">
    <cfRule type="cellIs" dxfId="48" priority="48" operator="notEqual">
      <formula>100</formula>
    </cfRule>
  </conditionalFormatting>
  <conditionalFormatting sqref="T152 E152 I152 O152">
    <cfRule type="cellIs" dxfId="47" priority="47" operator="notEqual">
      <formula>100</formula>
    </cfRule>
  </conditionalFormatting>
  <conditionalFormatting sqref="T128 I128 O128">
    <cfRule type="cellIs" dxfId="46" priority="45" operator="notEqual">
      <formula>100</formula>
    </cfRule>
  </conditionalFormatting>
  <conditionalFormatting sqref="T127 I127 O127">
    <cfRule type="cellIs" dxfId="45" priority="44" operator="notEqual">
      <formula>100</formula>
    </cfRule>
  </conditionalFormatting>
  <conditionalFormatting sqref="O132 T132">
    <cfRule type="cellIs" dxfId="44" priority="43" operator="notEqual">
      <formula>100</formula>
    </cfRule>
  </conditionalFormatting>
  <conditionalFormatting sqref="O133 T133">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T112 I112 O112">
    <cfRule type="cellIs" dxfId="22" priority="20" operator="notEqual">
      <formula>100</formula>
    </cfRule>
  </conditionalFormatting>
  <conditionalFormatting sqref="T113 I113 O113">
    <cfRule type="cellIs" dxfId="21" priority="19" operator="notEqual">
      <formula>100</formula>
    </cfRule>
  </conditionalFormatting>
  <conditionalFormatting sqref="T114 I114 O114">
    <cfRule type="cellIs" dxfId="20" priority="18" operator="notEqual">
      <formula>100</formula>
    </cfRule>
  </conditionalFormatting>
  <conditionalFormatting sqref="T115 I115 O115">
    <cfRule type="cellIs" dxfId="19" priority="17" operator="notEqual">
      <formula>100</formula>
    </cfRule>
  </conditionalFormatting>
  <conditionalFormatting sqref="T116 I116 O116">
    <cfRule type="cellIs" dxfId="18" priority="16" operator="notEqual">
      <formula>100</formula>
    </cfRule>
  </conditionalFormatting>
  <conditionalFormatting sqref="T117 I117 O117">
    <cfRule type="cellIs" dxfId="17" priority="15" operator="notEqual">
      <formula>100</formula>
    </cfRule>
  </conditionalFormatting>
  <conditionalFormatting sqref="T118 I118 O11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57 E157 I157 O157">
    <cfRule type="cellIs" dxfId="4" priority="2" operator="notEqual">
      <formula>100</formula>
    </cfRule>
  </conditionalFormatting>
  <conditionalFormatting sqref="E158:E164 I158:I164 O158:O164 T158:T164">
    <cfRule type="cellIs" dxfId="3" priority="1" operator="notEqual">
      <formula>100</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0"/>
  <sheetViews>
    <sheetView zoomScale="80" zoomScaleNormal="80" workbookViewId="0">
      <pane ySplit="1" topLeftCell="A115" activePane="bottomLeft" state="frozen"/>
      <selection pane="bottomLeft" activeCell="C138" sqref="C138"/>
    </sheetView>
  </sheetViews>
  <sheetFormatPr defaultRowHeight="14.5" x14ac:dyDescent="0.35"/>
  <cols>
    <col min="1" max="1" width="16" bestFit="1" customWidth="1"/>
    <col min="2" max="2" width="42" style="319" bestFit="1" customWidth="1"/>
    <col min="3" max="3" width="3.81640625" style="64" customWidth="1"/>
    <col min="4" max="4" width="3.81640625" style="319" customWidth="1"/>
    <col min="5" max="5" width="3.81640625" style="320" customWidth="1"/>
    <col min="6" max="7" width="3.81640625" style="319" customWidth="1"/>
    <col min="8" max="8" width="3.81640625" style="320" customWidth="1"/>
    <col min="9" max="11" width="3.81640625" style="319" customWidth="1"/>
    <col min="12" max="12" width="3.81640625" style="320" customWidth="1"/>
    <col min="13" max="14" width="3.81640625" style="319" customWidth="1"/>
    <col min="15" max="15" width="3.81640625" style="320" customWidth="1"/>
  </cols>
  <sheetData>
    <row r="1" spans="1:15" ht="81" x14ac:dyDescent="0.35">
      <c r="A1" s="327" t="s">
        <v>135</v>
      </c>
      <c r="B1" s="328" t="s">
        <v>136</v>
      </c>
      <c r="C1" s="363" t="s">
        <v>2638</v>
      </c>
      <c r="D1" s="364" t="s">
        <v>2640</v>
      </c>
      <c r="E1" s="365" t="s">
        <v>2639</v>
      </c>
      <c r="F1" s="364" t="s">
        <v>2762</v>
      </c>
      <c r="G1" s="364" t="s">
        <v>2765</v>
      </c>
      <c r="H1" s="365" t="s">
        <v>2766</v>
      </c>
      <c r="I1" s="364" t="s">
        <v>2768</v>
      </c>
      <c r="J1" s="364" t="s">
        <v>2763</v>
      </c>
      <c r="K1" s="364" t="s">
        <v>2771</v>
      </c>
      <c r="L1" s="365" t="s">
        <v>2772</v>
      </c>
      <c r="M1" s="364" t="s">
        <v>2774</v>
      </c>
      <c r="N1" s="364" t="s">
        <v>2777</v>
      </c>
      <c r="O1" s="365" t="s">
        <v>2778</v>
      </c>
    </row>
    <row r="2" spans="1:15" x14ac:dyDescent="0.35">
      <c r="A2" s="64" t="s">
        <v>2171</v>
      </c>
      <c r="B2" s="319" t="str">
        <f>VLOOKUP(A2,TV_Merged!E:F,2,FALSE)</f>
        <v>ANC visits</v>
      </c>
      <c r="C2" s="319">
        <v>100</v>
      </c>
      <c r="E2" s="320">
        <f t="shared" ref="E2:E19" si="0">SUM(C2:C2)</f>
        <v>100</v>
      </c>
      <c r="F2" s="319">
        <v>100</v>
      </c>
      <c r="H2" s="320">
        <f t="shared" ref="H2:H19" si="1">SUM(F2:F2)</f>
        <v>100</v>
      </c>
      <c r="I2" s="319">
        <v>50</v>
      </c>
      <c r="J2" s="321">
        <v>50</v>
      </c>
      <c r="L2" s="320">
        <f t="shared" ref="L2:L33" si="2">SUM(I2:K2)</f>
        <v>100</v>
      </c>
      <c r="M2" s="319">
        <v>100</v>
      </c>
      <c r="O2" s="320">
        <f t="shared" ref="O2:O33" si="3">SUM(M2:N2)</f>
        <v>100</v>
      </c>
    </row>
    <row r="3" spans="1:15" x14ac:dyDescent="0.35">
      <c r="A3" s="64" t="s">
        <v>2197</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35">
      <c r="A4" s="64" t="s">
        <v>2213</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35">
      <c r="A5" s="64" t="s">
        <v>2779</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35">
      <c r="A6" s="64" t="s">
        <v>2780</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35">
      <c r="A7" s="64" t="s">
        <v>2641</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35">
      <c r="A8" s="64" t="s">
        <v>2643</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35">
      <c r="A9" s="64" t="s">
        <v>2644</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35">
      <c r="A10" s="64" t="s">
        <v>2231</v>
      </c>
      <c r="B10" s="319" t="str">
        <f>VLOOKUP(A10,TV_Merged!E:F,2,FALSE)</f>
        <v>Pneumonia/fever</v>
      </c>
      <c r="C10" s="319">
        <v>100</v>
      </c>
      <c r="E10" s="320">
        <f t="shared" si="0"/>
        <v>100</v>
      </c>
      <c r="F10" s="319">
        <v>100</v>
      </c>
      <c r="H10" s="320">
        <f t="shared" si="1"/>
        <v>100</v>
      </c>
      <c r="I10" s="319">
        <v>50</v>
      </c>
      <c r="J10" s="321">
        <v>50</v>
      </c>
      <c r="L10" s="320">
        <f t="shared" si="2"/>
        <v>100</v>
      </c>
      <c r="M10" s="319">
        <v>100</v>
      </c>
      <c r="O10" s="320">
        <f t="shared" si="3"/>
        <v>100</v>
      </c>
    </row>
    <row r="11" spans="1:15" x14ac:dyDescent="0.35">
      <c r="A11" s="64" t="s">
        <v>2233</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35">
      <c r="A12" s="64" t="s">
        <v>2234</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35">
      <c r="A13" s="64" t="s">
        <v>2648</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35">
      <c r="A14" s="64" t="s">
        <v>2649</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35">
      <c r="A15" s="64" t="s">
        <v>2652</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35">
      <c r="A16" s="64" t="s">
        <v>2653</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35">
      <c r="A17" s="64" t="s">
        <v>2261</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35">
      <c r="A18" s="64" t="s">
        <v>2267</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35">
      <c r="A19" s="64" t="s">
        <v>2268</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35">
      <c r="A20" s="64" t="s">
        <v>2269</v>
      </c>
      <c r="B20" s="319" t="str">
        <f>VLOOKUP(A20,TV_Merged!E:F,2,FALSE)</f>
        <v>RI 2nd year</v>
      </c>
      <c r="C20" s="319">
        <v>100</v>
      </c>
      <c r="E20" s="320">
        <f t="shared" ref="E20:E79" si="4">SUM(C20:D20)</f>
        <v>100</v>
      </c>
      <c r="F20" s="319">
        <v>100</v>
      </c>
      <c r="H20" s="320">
        <f t="shared" ref="H20:H33" si="5">SUM(F20:G20)</f>
        <v>100</v>
      </c>
      <c r="I20" s="319">
        <v>50</v>
      </c>
      <c r="J20" s="321">
        <v>50</v>
      </c>
      <c r="L20" s="320">
        <f t="shared" si="2"/>
        <v>100</v>
      </c>
      <c r="M20" s="319">
        <v>100</v>
      </c>
      <c r="O20" s="320">
        <f t="shared" si="3"/>
        <v>100</v>
      </c>
    </row>
    <row r="21" spans="1:15" x14ac:dyDescent="0.35">
      <c r="A21" s="64" t="s">
        <v>2270</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35">
      <c r="A22" s="64" t="s">
        <v>2262</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35">
      <c r="A23" s="64" t="s">
        <v>2263</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35">
      <c r="A24" s="64" t="s">
        <v>2264</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35">
      <c r="A25" s="64" t="s">
        <v>2265</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35">
      <c r="A26" s="64" t="s">
        <v>2266</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35">
      <c r="A27" s="64" t="s">
        <v>2302</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35">
      <c r="A28" s="64" t="s">
        <v>2303</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35">
      <c r="A29" s="64" t="s">
        <v>2304</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35">
      <c r="A30" s="64" t="s">
        <v>2305</v>
      </c>
      <c r="B30" s="319" t="str">
        <f>VLOOKUP(A30,TV_Merged!E:F,2,FALSE)</f>
        <v>FP consult discontinue</v>
      </c>
      <c r="C30" s="319">
        <v>100</v>
      </c>
      <c r="E30" s="320">
        <f t="shared" si="4"/>
        <v>100</v>
      </c>
      <c r="F30" s="319">
        <v>100</v>
      </c>
      <c r="H30" s="320">
        <f t="shared" si="5"/>
        <v>100</v>
      </c>
      <c r="I30" s="319">
        <v>50</v>
      </c>
      <c r="J30" s="321">
        <v>50</v>
      </c>
      <c r="L30" s="320">
        <f t="shared" si="2"/>
        <v>100</v>
      </c>
      <c r="M30" s="319">
        <v>100</v>
      </c>
      <c r="O30" s="320">
        <f t="shared" si="3"/>
        <v>100</v>
      </c>
    </row>
    <row r="31" spans="1:15" x14ac:dyDescent="0.35">
      <c r="A31" s="64" t="s">
        <v>2654</v>
      </c>
      <c r="B31" s="319" t="str">
        <f>VLOOKUP(A31,TV_Merged!E:F,2,FALSE)</f>
        <v>Provision of contraceptives</v>
      </c>
      <c r="C31" s="319">
        <v>100</v>
      </c>
      <c r="E31" s="320">
        <f t="shared" si="4"/>
        <v>100</v>
      </c>
      <c r="F31" s="319">
        <v>100</v>
      </c>
      <c r="H31" s="320">
        <f t="shared" si="5"/>
        <v>100</v>
      </c>
      <c r="I31" s="319">
        <v>50</v>
      </c>
      <c r="J31" s="321">
        <v>50</v>
      </c>
      <c r="L31" s="320">
        <f t="shared" si="2"/>
        <v>100</v>
      </c>
      <c r="M31" s="319">
        <v>100</v>
      </c>
      <c r="O31" s="320">
        <f t="shared" si="3"/>
        <v>100</v>
      </c>
    </row>
    <row r="32" spans="1:15" x14ac:dyDescent="0.35">
      <c r="A32" s="64" t="s">
        <v>2657</v>
      </c>
      <c r="B32" s="319" t="str">
        <f>VLOOKUP(A32,TV_Merged!E:F,2,FALSE)</f>
        <v>Psycho-social counseling</v>
      </c>
      <c r="C32" s="319">
        <v>100</v>
      </c>
      <c r="E32" s="320">
        <f t="shared" si="4"/>
        <v>100</v>
      </c>
      <c r="F32" s="319">
        <v>100</v>
      </c>
      <c r="H32" s="320">
        <f t="shared" si="5"/>
        <v>100</v>
      </c>
      <c r="I32" s="319">
        <v>50</v>
      </c>
      <c r="J32" s="321">
        <v>50</v>
      </c>
      <c r="L32" s="320">
        <f t="shared" si="2"/>
        <v>100</v>
      </c>
      <c r="M32" s="319">
        <v>100</v>
      </c>
      <c r="O32" s="320">
        <f t="shared" si="3"/>
        <v>100</v>
      </c>
    </row>
    <row r="33" spans="1:15" x14ac:dyDescent="0.35">
      <c r="A33" s="64" t="s">
        <v>2659</v>
      </c>
      <c r="B33" s="319" t="str">
        <f>VLOOKUP(A33,TV_Merged!E:F,2,FALSE)</f>
        <v>Post-abortion follow-up</v>
      </c>
      <c r="C33" s="319">
        <v>100</v>
      </c>
      <c r="E33" s="320">
        <f t="shared" si="4"/>
        <v>100</v>
      </c>
      <c r="F33" s="319">
        <v>100</v>
      </c>
      <c r="H33" s="320">
        <f t="shared" si="5"/>
        <v>100</v>
      </c>
      <c r="I33" s="319">
        <v>50</v>
      </c>
      <c r="J33" s="321">
        <v>50</v>
      </c>
      <c r="L33" s="320">
        <f t="shared" si="2"/>
        <v>100</v>
      </c>
      <c r="M33" s="319">
        <v>100</v>
      </c>
      <c r="O33" s="320">
        <f t="shared" si="3"/>
        <v>100</v>
      </c>
    </row>
    <row r="34" spans="1:15" x14ac:dyDescent="0.35">
      <c r="A34" s="64" t="s">
        <v>2660</v>
      </c>
      <c r="B34" s="319" t="str">
        <f>VLOOKUP(A34,TV_Merged!E:F,2,FALSE)</f>
        <v>Education on menstration</v>
      </c>
      <c r="C34" s="319">
        <v>100</v>
      </c>
      <c r="E34" s="320">
        <f t="shared" si="4"/>
        <v>100</v>
      </c>
      <c r="F34" s="319">
        <v>100</v>
      </c>
      <c r="H34" s="320">
        <f t="shared" ref="H34:H65" si="6">SUM(F34:G34)</f>
        <v>100</v>
      </c>
      <c r="I34" s="319">
        <v>50</v>
      </c>
      <c r="J34" s="321">
        <v>50</v>
      </c>
      <c r="L34" s="320">
        <f t="shared" ref="L34:L65" si="7">SUM(I34:K34)</f>
        <v>100</v>
      </c>
      <c r="M34" s="319">
        <v>100</v>
      </c>
      <c r="O34" s="320">
        <f t="shared" ref="O34:O65" si="8">SUM(M34:N34)</f>
        <v>100</v>
      </c>
    </row>
    <row r="35" spans="1:15" x14ac:dyDescent="0.35">
      <c r="A35" s="64" t="s">
        <v>2662</v>
      </c>
      <c r="B35" s="319" t="str">
        <f>VLOOKUP(A35,TV_Merged!E:F,2,FALSE)</f>
        <v>Promote self-breast exam</v>
      </c>
      <c r="C35" s="319">
        <v>100</v>
      </c>
      <c r="E35" s="320">
        <f t="shared" si="4"/>
        <v>100</v>
      </c>
      <c r="F35" s="319">
        <v>100</v>
      </c>
      <c r="H35" s="320">
        <f t="shared" si="6"/>
        <v>100</v>
      </c>
      <c r="I35" s="319">
        <v>50</v>
      </c>
      <c r="J35" s="321">
        <v>50</v>
      </c>
      <c r="L35" s="320">
        <f t="shared" si="7"/>
        <v>100</v>
      </c>
      <c r="M35" s="319">
        <v>100</v>
      </c>
      <c r="O35" s="320">
        <f t="shared" si="8"/>
        <v>100</v>
      </c>
    </row>
    <row r="36" spans="1:15" x14ac:dyDescent="0.35">
      <c r="A36" s="64" t="s">
        <v>2663</v>
      </c>
      <c r="B36" s="319" t="str">
        <f>VLOOKUP(A36,TV_Merged!E:F,2,FALSE)</f>
        <v>HPV vacination</v>
      </c>
      <c r="C36" s="319">
        <v>100</v>
      </c>
      <c r="E36" s="320">
        <f t="shared" si="4"/>
        <v>100</v>
      </c>
      <c r="F36" s="319">
        <v>100</v>
      </c>
      <c r="H36" s="320">
        <f t="shared" si="6"/>
        <v>100</v>
      </c>
      <c r="I36" s="319">
        <v>50</v>
      </c>
      <c r="J36" s="321">
        <v>50</v>
      </c>
      <c r="L36" s="320">
        <f t="shared" si="7"/>
        <v>100</v>
      </c>
      <c r="M36" s="319">
        <v>100</v>
      </c>
      <c r="O36" s="320">
        <f t="shared" si="8"/>
        <v>100</v>
      </c>
    </row>
    <row r="37" spans="1:15" x14ac:dyDescent="0.35">
      <c r="A37" s="64" t="s">
        <v>2664</v>
      </c>
      <c r="B37" s="319" t="str">
        <f>VLOOKUP(A37,TV_Merged!E:F,2,FALSE)</f>
        <v>Education on health &amp; wellbeing</v>
      </c>
      <c r="C37" s="319">
        <v>100</v>
      </c>
      <c r="E37" s="320">
        <f t="shared" si="4"/>
        <v>100</v>
      </c>
      <c r="F37" s="319">
        <v>100</v>
      </c>
      <c r="H37" s="320">
        <f t="shared" si="6"/>
        <v>100</v>
      </c>
      <c r="I37" s="319">
        <v>50</v>
      </c>
      <c r="J37" s="321">
        <v>50</v>
      </c>
      <c r="L37" s="320">
        <f t="shared" si="7"/>
        <v>100</v>
      </c>
      <c r="M37" s="319">
        <v>100</v>
      </c>
      <c r="O37" s="320">
        <f t="shared" si="8"/>
        <v>100</v>
      </c>
    </row>
    <row r="38" spans="1:15" x14ac:dyDescent="0.35">
      <c r="A38" s="64" t="s">
        <v>2665</v>
      </c>
      <c r="B38" s="319" t="str">
        <f>VLOOKUP(A38,TV_Merged!E:F,2,FALSE)</f>
        <v>Adolescent SRH</v>
      </c>
      <c r="C38" s="319">
        <v>100</v>
      </c>
      <c r="E38" s="320">
        <f t="shared" si="4"/>
        <v>100</v>
      </c>
      <c r="F38" s="319">
        <v>100</v>
      </c>
      <c r="H38" s="320">
        <f t="shared" si="6"/>
        <v>100</v>
      </c>
      <c r="I38" s="319">
        <v>50</v>
      </c>
      <c r="J38" s="321">
        <v>50</v>
      </c>
      <c r="L38" s="320">
        <f t="shared" si="7"/>
        <v>100</v>
      </c>
      <c r="M38" s="319">
        <v>100</v>
      </c>
      <c r="O38" s="320">
        <f t="shared" si="8"/>
        <v>100</v>
      </c>
    </row>
    <row r="39" spans="1:15" x14ac:dyDescent="0.35">
      <c r="A39" s="64" t="s">
        <v>2666</v>
      </c>
      <c r="B39" s="319" t="str">
        <f>VLOOKUP(A39,TV_Merged!E:F,2,FALSE)</f>
        <v>Provision of adolescent-friendly contraceptives</v>
      </c>
      <c r="C39" s="319">
        <v>100</v>
      </c>
      <c r="E39" s="320">
        <f t="shared" si="4"/>
        <v>100</v>
      </c>
      <c r="F39" s="319">
        <v>100</v>
      </c>
      <c r="H39" s="320">
        <f t="shared" si="6"/>
        <v>100</v>
      </c>
      <c r="I39" s="319">
        <v>50</v>
      </c>
      <c r="J39" s="321">
        <v>50</v>
      </c>
      <c r="L39" s="320">
        <f t="shared" si="7"/>
        <v>100</v>
      </c>
      <c r="M39" s="319">
        <v>100</v>
      </c>
      <c r="O39" s="320">
        <f t="shared" si="8"/>
        <v>100</v>
      </c>
    </row>
    <row r="40" spans="1:15" x14ac:dyDescent="0.35">
      <c r="A40" s="64" t="s">
        <v>2667</v>
      </c>
      <c r="B40" s="319" t="str">
        <f>VLOOKUP(A40,TV_Merged!E:F,2,FALSE)</f>
        <v>Education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35">
      <c r="A41" s="64" t="s">
        <v>2668</v>
      </c>
      <c r="B41" s="319" t="str">
        <f>VLOOKUP(A41,TV_Merged!E:F,2,FALSE)</f>
        <v>Community dialogue about GBV</v>
      </c>
      <c r="C41" s="319">
        <v>100</v>
      </c>
      <c r="E41" s="320">
        <f t="shared" si="4"/>
        <v>100</v>
      </c>
      <c r="F41" s="319">
        <v>100</v>
      </c>
      <c r="H41" s="320">
        <f t="shared" si="6"/>
        <v>100</v>
      </c>
      <c r="I41" s="319">
        <v>50</v>
      </c>
      <c r="J41" s="321">
        <v>50</v>
      </c>
      <c r="L41" s="320">
        <f t="shared" si="7"/>
        <v>100</v>
      </c>
      <c r="M41" s="319">
        <v>100</v>
      </c>
      <c r="O41" s="320">
        <f t="shared" si="8"/>
        <v>100</v>
      </c>
    </row>
    <row r="42" spans="1:15" x14ac:dyDescent="0.35">
      <c r="A42" s="64" t="s">
        <v>2673</v>
      </c>
      <c r="B42" s="319" t="str">
        <f>VLOOKUP(A42,TV_Merged!E:F,2,FALSE)</f>
        <v>Psycho-social support for GBV</v>
      </c>
      <c r="C42" s="319">
        <v>100</v>
      </c>
      <c r="E42" s="320">
        <f t="shared" si="4"/>
        <v>100</v>
      </c>
      <c r="F42" s="319">
        <v>100</v>
      </c>
      <c r="H42" s="320">
        <f t="shared" si="6"/>
        <v>100</v>
      </c>
      <c r="I42" s="319">
        <v>50</v>
      </c>
      <c r="J42" s="321">
        <v>50</v>
      </c>
      <c r="L42" s="320">
        <f t="shared" si="7"/>
        <v>100</v>
      </c>
      <c r="M42" s="319">
        <v>100</v>
      </c>
      <c r="O42" s="320">
        <f t="shared" si="8"/>
        <v>100</v>
      </c>
    </row>
    <row r="43" spans="1:15" x14ac:dyDescent="0.35">
      <c r="A43" s="64" t="s">
        <v>2674</v>
      </c>
      <c r="B43" s="319" t="str">
        <f>VLOOKUP(A43,TV_Merged!E:F,2,FALSE)</f>
        <v>Adovacy against HTP</v>
      </c>
      <c r="C43" s="319">
        <v>100</v>
      </c>
      <c r="E43" s="320">
        <f t="shared" si="4"/>
        <v>100</v>
      </c>
      <c r="F43" s="319">
        <v>100</v>
      </c>
      <c r="H43" s="320">
        <f t="shared" si="6"/>
        <v>100</v>
      </c>
      <c r="I43" s="319">
        <v>50</v>
      </c>
      <c r="J43" s="321">
        <v>50</v>
      </c>
      <c r="L43" s="320">
        <f t="shared" si="7"/>
        <v>100</v>
      </c>
      <c r="M43" s="319">
        <v>100</v>
      </c>
      <c r="O43" s="320">
        <f t="shared" si="8"/>
        <v>100</v>
      </c>
    </row>
    <row r="44" spans="1:15" x14ac:dyDescent="0.35">
      <c r="A44" s="64" t="s">
        <v>2677</v>
      </c>
      <c r="B44" s="319" t="str">
        <f>VLOOKUP(A44,TV_Merged!E:F,2,FALSE)</f>
        <v>SRH counseling for men</v>
      </c>
      <c r="C44" s="319">
        <v>100</v>
      </c>
      <c r="E44" s="320">
        <f t="shared" si="4"/>
        <v>100</v>
      </c>
      <c r="F44" s="319">
        <v>100</v>
      </c>
      <c r="H44" s="320">
        <f t="shared" si="6"/>
        <v>100</v>
      </c>
      <c r="I44" s="319">
        <v>50</v>
      </c>
      <c r="J44" s="321">
        <v>50</v>
      </c>
      <c r="L44" s="320">
        <f t="shared" si="7"/>
        <v>100</v>
      </c>
      <c r="M44" s="319">
        <v>100</v>
      </c>
      <c r="O44" s="320">
        <f t="shared" si="8"/>
        <v>100</v>
      </c>
    </row>
    <row r="45" spans="1:15" x14ac:dyDescent="0.35">
      <c r="A45" s="64" t="s">
        <v>2678</v>
      </c>
      <c r="B45" s="319" t="str">
        <f>VLOOKUP(A45,TV_Merged!E:F,2,FALSE)</f>
        <v>Promote breast feeding</v>
      </c>
      <c r="C45" s="319">
        <v>100</v>
      </c>
      <c r="E45" s="320">
        <f t="shared" si="4"/>
        <v>100</v>
      </c>
      <c r="F45" s="319">
        <v>100</v>
      </c>
      <c r="H45" s="320">
        <f t="shared" si="6"/>
        <v>100</v>
      </c>
      <c r="I45" s="319">
        <v>50</v>
      </c>
      <c r="J45" s="321">
        <v>50</v>
      </c>
      <c r="L45" s="320">
        <f t="shared" si="7"/>
        <v>100</v>
      </c>
      <c r="M45" s="319">
        <v>100</v>
      </c>
      <c r="O45" s="320">
        <f t="shared" si="8"/>
        <v>100</v>
      </c>
    </row>
    <row r="46" spans="1:15" x14ac:dyDescent="0.35">
      <c r="A46" s="64" t="s">
        <v>2679</v>
      </c>
      <c r="B46" s="319" t="str">
        <f>VLOOKUP(A46,TV_Merged!E:F,2,FALSE)</f>
        <v>Nutritional screening during pregnancy</v>
      </c>
      <c r="C46" s="319">
        <v>100</v>
      </c>
      <c r="E46" s="320">
        <f t="shared" si="4"/>
        <v>100</v>
      </c>
      <c r="F46" s="319">
        <v>100</v>
      </c>
      <c r="H46" s="320">
        <f t="shared" si="6"/>
        <v>100</v>
      </c>
      <c r="I46" s="319">
        <v>50</v>
      </c>
      <c r="J46" s="321">
        <v>50</v>
      </c>
      <c r="L46" s="320">
        <f t="shared" si="7"/>
        <v>100</v>
      </c>
      <c r="M46" s="319">
        <v>100</v>
      </c>
      <c r="O46" s="320">
        <f t="shared" si="8"/>
        <v>100</v>
      </c>
    </row>
    <row r="47" spans="1:15" x14ac:dyDescent="0.35">
      <c r="A47" s="64" t="s">
        <v>2680</v>
      </c>
      <c r="B47" s="319" t="str">
        <f>VLOOKUP(A47,TV_Merged!E:F,2,FALSE)</f>
        <v>Monthly monitoring</v>
      </c>
      <c r="C47" s="319">
        <v>100</v>
      </c>
      <c r="E47" s="320">
        <f t="shared" si="4"/>
        <v>100</v>
      </c>
      <c r="F47" s="319">
        <v>100</v>
      </c>
      <c r="H47" s="320">
        <f t="shared" si="6"/>
        <v>100</v>
      </c>
      <c r="I47" s="319">
        <v>50</v>
      </c>
      <c r="J47" s="321">
        <v>50</v>
      </c>
      <c r="L47" s="320">
        <f t="shared" si="7"/>
        <v>100</v>
      </c>
      <c r="M47" s="319">
        <v>100</v>
      </c>
      <c r="O47" s="320">
        <f t="shared" si="8"/>
        <v>100</v>
      </c>
    </row>
    <row r="48" spans="1:15" x14ac:dyDescent="0.35">
      <c r="A48" s="64" t="s">
        <v>2681</v>
      </c>
      <c r="B48" s="319" t="str">
        <f>VLOOKUP(A48,TV_Merged!E:F,2,FALSE)</f>
        <v>MUAC and oedema screening</v>
      </c>
      <c r="C48" s="319">
        <v>100</v>
      </c>
      <c r="E48" s="320">
        <f t="shared" si="4"/>
        <v>100</v>
      </c>
      <c r="F48" s="319">
        <v>100</v>
      </c>
      <c r="H48" s="320">
        <f t="shared" si="6"/>
        <v>100</v>
      </c>
      <c r="I48" s="319">
        <v>50</v>
      </c>
      <c r="J48" s="321">
        <v>50</v>
      </c>
      <c r="L48" s="320">
        <f t="shared" si="7"/>
        <v>100</v>
      </c>
      <c r="M48" s="319">
        <v>100</v>
      </c>
      <c r="O48" s="320">
        <f t="shared" si="8"/>
        <v>100</v>
      </c>
    </row>
    <row r="49" spans="1:15" x14ac:dyDescent="0.35">
      <c r="A49" s="64" t="s">
        <v>2683</v>
      </c>
      <c r="B49" s="319" t="str">
        <f>VLOOKUP(A49,TV_Merged!E:F,2,FALSE)</f>
        <v>Promote nutrition for MNC</v>
      </c>
      <c r="C49" s="319">
        <v>100</v>
      </c>
      <c r="E49" s="320">
        <f t="shared" si="4"/>
        <v>100</v>
      </c>
      <c r="F49" s="319">
        <v>100</v>
      </c>
      <c r="H49" s="320">
        <f t="shared" si="6"/>
        <v>100</v>
      </c>
      <c r="I49" s="319">
        <v>50</v>
      </c>
      <c r="J49" s="321">
        <v>50</v>
      </c>
      <c r="L49" s="320">
        <f t="shared" si="7"/>
        <v>100</v>
      </c>
      <c r="M49" s="319">
        <v>100</v>
      </c>
      <c r="O49" s="320">
        <f t="shared" si="8"/>
        <v>100</v>
      </c>
    </row>
    <row r="50" spans="1:15" x14ac:dyDescent="0.35">
      <c r="A50" s="64" t="s">
        <v>2684</v>
      </c>
      <c r="B50" s="319" t="str">
        <f>VLOOKUP(A50,TV_Merged!E:F,2,FALSE)</f>
        <v>Education re nutrition</v>
      </c>
      <c r="C50" s="319">
        <v>100</v>
      </c>
      <c r="E50" s="320">
        <f t="shared" si="4"/>
        <v>100</v>
      </c>
      <c r="F50" s="319">
        <v>100</v>
      </c>
      <c r="H50" s="320">
        <f t="shared" si="6"/>
        <v>100</v>
      </c>
      <c r="I50" s="319">
        <v>50</v>
      </c>
      <c r="J50" s="321">
        <v>50</v>
      </c>
      <c r="L50" s="320">
        <f t="shared" si="7"/>
        <v>100</v>
      </c>
      <c r="M50" s="319">
        <v>100</v>
      </c>
      <c r="O50" s="320">
        <f t="shared" si="8"/>
        <v>100</v>
      </c>
    </row>
    <row r="51" spans="1:15" x14ac:dyDescent="0.35">
      <c r="A51" s="64" t="s">
        <v>2687</v>
      </c>
      <c r="B51" s="319" t="str">
        <f>VLOOKUP(A51,TV_Merged!E:F,2,FALSE)</f>
        <v>Promote iodized salt &amp; fortified food</v>
      </c>
      <c r="C51" s="319">
        <v>100</v>
      </c>
      <c r="E51" s="320">
        <f t="shared" si="4"/>
        <v>100</v>
      </c>
      <c r="F51" s="319">
        <v>100</v>
      </c>
      <c r="H51" s="320">
        <f t="shared" si="6"/>
        <v>100</v>
      </c>
      <c r="I51" s="319">
        <v>50</v>
      </c>
      <c r="J51" s="321">
        <v>50</v>
      </c>
      <c r="L51" s="320">
        <f t="shared" si="7"/>
        <v>100</v>
      </c>
      <c r="M51" s="319">
        <v>100</v>
      </c>
      <c r="O51" s="320">
        <f t="shared" si="8"/>
        <v>100</v>
      </c>
    </row>
    <row r="52" spans="1:15" x14ac:dyDescent="0.35">
      <c r="A52" s="64" t="s">
        <v>2688</v>
      </c>
      <c r="B52" s="319" t="str">
        <f>VLOOKUP(A52,TV_Merged!E:F,2,FALSE)</f>
        <v>Nutrition outreach</v>
      </c>
      <c r="C52" s="319">
        <v>100</v>
      </c>
      <c r="E52" s="320">
        <f t="shared" si="4"/>
        <v>100</v>
      </c>
      <c r="F52" s="319">
        <v>100</v>
      </c>
      <c r="H52" s="320">
        <f t="shared" si="6"/>
        <v>100</v>
      </c>
      <c r="I52" s="319">
        <v>50</v>
      </c>
      <c r="J52" s="321">
        <v>50</v>
      </c>
      <c r="L52" s="320">
        <f t="shared" si="7"/>
        <v>100</v>
      </c>
      <c r="M52" s="319">
        <v>100</v>
      </c>
      <c r="O52" s="320">
        <f t="shared" si="8"/>
        <v>100</v>
      </c>
    </row>
    <row r="53" spans="1:15" x14ac:dyDescent="0.35">
      <c r="A53" s="64" t="s">
        <v>2689</v>
      </c>
      <c r="B53" s="319" t="str">
        <f>VLOOKUP(A53,TV_Merged!E:F,2,FALSE)</f>
        <v>Promote gender equity &amp; empowerment</v>
      </c>
      <c r="C53" s="319">
        <v>100</v>
      </c>
      <c r="E53" s="320">
        <f t="shared" si="4"/>
        <v>100</v>
      </c>
      <c r="F53" s="319">
        <v>100</v>
      </c>
      <c r="H53" s="320">
        <f t="shared" si="6"/>
        <v>100</v>
      </c>
      <c r="I53" s="319">
        <v>50</v>
      </c>
      <c r="J53" s="321">
        <v>50</v>
      </c>
      <c r="L53" s="320">
        <f t="shared" si="7"/>
        <v>100</v>
      </c>
      <c r="M53" s="319">
        <v>100</v>
      </c>
      <c r="O53" s="320">
        <f t="shared" si="8"/>
        <v>100</v>
      </c>
    </row>
    <row r="54" spans="1:15" x14ac:dyDescent="0.35">
      <c r="A54" s="64" t="s">
        <v>2690</v>
      </c>
      <c r="B54" s="319" t="str">
        <f>VLOOKUP(A54,TV_Merged!E:F,2,FALSE)</f>
        <v>Nutritional disaster response</v>
      </c>
      <c r="C54" s="319">
        <v>100</v>
      </c>
      <c r="E54" s="320">
        <f t="shared" si="4"/>
        <v>100</v>
      </c>
      <c r="F54" s="319">
        <v>100</v>
      </c>
      <c r="H54" s="320">
        <f t="shared" si="6"/>
        <v>100</v>
      </c>
      <c r="I54" s="319">
        <v>50</v>
      </c>
      <c r="J54" s="321">
        <v>50</v>
      </c>
      <c r="L54" s="320">
        <f t="shared" si="7"/>
        <v>100</v>
      </c>
      <c r="M54" s="319">
        <v>100</v>
      </c>
      <c r="O54" s="320">
        <f t="shared" si="8"/>
        <v>100</v>
      </c>
    </row>
    <row r="55" spans="1:15" x14ac:dyDescent="0.35">
      <c r="A55" s="64" t="s">
        <v>2691</v>
      </c>
      <c r="B55" s="319" t="str">
        <f>VLOOKUP(A55,TV_Merged!E:F,2,FALSE)</f>
        <v>Multisectoral nutrition intervention</v>
      </c>
      <c r="C55" s="319">
        <v>100</v>
      </c>
      <c r="E55" s="320">
        <f t="shared" si="4"/>
        <v>100</v>
      </c>
      <c r="F55" s="319">
        <v>100</v>
      </c>
      <c r="H55" s="320">
        <f t="shared" si="6"/>
        <v>100</v>
      </c>
      <c r="I55" s="319">
        <v>50</v>
      </c>
      <c r="J55" s="321">
        <v>50</v>
      </c>
      <c r="L55" s="320">
        <f t="shared" si="7"/>
        <v>100</v>
      </c>
      <c r="M55" s="319">
        <v>100</v>
      </c>
      <c r="O55" s="320">
        <f t="shared" si="8"/>
        <v>100</v>
      </c>
    </row>
    <row r="56" spans="1:15" x14ac:dyDescent="0.35">
      <c r="A56" s="64" t="s">
        <v>2692</v>
      </c>
      <c r="B56" s="319" t="str">
        <f>VLOOKUP(A56,TV_Merged!E:F,2,FALSE)</f>
        <v>Breast feeding technique</v>
      </c>
      <c r="C56" s="319">
        <v>100</v>
      </c>
      <c r="E56" s="320">
        <f t="shared" si="4"/>
        <v>100</v>
      </c>
      <c r="F56" s="319">
        <v>100</v>
      </c>
      <c r="H56" s="320">
        <f t="shared" si="6"/>
        <v>100</v>
      </c>
      <c r="I56" s="319">
        <v>50</v>
      </c>
      <c r="J56" s="321">
        <v>50</v>
      </c>
      <c r="L56" s="320">
        <f t="shared" si="7"/>
        <v>100</v>
      </c>
      <c r="M56" s="319">
        <v>100</v>
      </c>
      <c r="O56" s="320">
        <f t="shared" si="8"/>
        <v>100</v>
      </c>
    </row>
    <row r="57" spans="1:15" x14ac:dyDescent="0.35">
      <c r="A57" s="64" t="s">
        <v>2693</v>
      </c>
      <c r="B57" s="319" t="str">
        <f>VLOOKUP(A57,TV_Merged!E:F,2,FALSE)</f>
        <v>Acute malnutrition</v>
      </c>
      <c r="C57" s="319">
        <v>100</v>
      </c>
      <c r="E57" s="320">
        <f t="shared" si="4"/>
        <v>100</v>
      </c>
      <c r="F57" s="319">
        <v>100</v>
      </c>
      <c r="H57" s="320">
        <f t="shared" si="6"/>
        <v>100</v>
      </c>
      <c r="I57" s="319">
        <v>50</v>
      </c>
      <c r="J57" s="321">
        <v>50</v>
      </c>
      <c r="L57" s="320">
        <f t="shared" si="7"/>
        <v>100</v>
      </c>
      <c r="M57" s="319">
        <v>100</v>
      </c>
      <c r="O57" s="320">
        <f t="shared" si="8"/>
        <v>100</v>
      </c>
    </row>
    <row r="58" spans="1:15" x14ac:dyDescent="0.35">
      <c r="A58" s="64" t="s">
        <v>2694</v>
      </c>
      <c r="B58" s="319" t="str">
        <f>VLOOKUP(A58,TV_Merged!E:F,2,FALSE)</f>
        <v>Counsel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35">
      <c r="A59" s="64" t="s">
        <v>2695</v>
      </c>
      <c r="B59" s="319" t="str">
        <f>VLOOKUP(A59,TV_Merged!E:F,2,FALSE)</f>
        <v>Timely complementary feeding</v>
      </c>
      <c r="C59" s="319">
        <v>100</v>
      </c>
      <c r="E59" s="320">
        <f t="shared" si="4"/>
        <v>100</v>
      </c>
      <c r="F59" s="319">
        <v>100</v>
      </c>
      <c r="H59" s="320">
        <f t="shared" si="6"/>
        <v>100</v>
      </c>
      <c r="I59" s="319">
        <v>50</v>
      </c>
      <c r="J59" s="321">
        <v>50</v>
      </c>
      <c r="L59" s="320">
        <f t="shared" si="7"/>
        <v>100</v>
      </c>
      <c r="M59" s="319">
        <v>100</v>
      </c>
      <c r="O59" s="320">
        <f t="shared" si="8"/>
        <v>100</v>
      </c>
    </row>
    <row r="60" spans="1:15" x14ac:dyDescent="0.35">
      <c r="A60" s="64" t="s">
        <v>2696</v>
      </c>
      <c r="B60" s="319" t="str">
        <f>VLOOKUP(A60,TV_Merged!E:F,2,FALSE)</f>
        <v>Promote BF until 24 months</v>
      </c>
      <c r="C60" s="319">
        <v>100</v>
      </c>
      <c r="E60" s="320">
        <f t="shared" si="4"/>
        <v>100</v>
      </c>
      <c r="F60" s="319">
        <v>100</v>
      </c>
      <c r="H60" s="320">
        <f t="shared" si="6"/>
        <v>100</v>
      </c>
      <c r="I60" s="319">
        <v>50</v>
      </c>
      <c r="J60" s="321">
        <v>50</v>
      </c>
      <c r="L60" s="320">
        <f t="shared" si="7"/>
        <v>100</v>
      </c>
      <c r="M60" s="319">
        <v>100</v>
      </c>
      <c r="O60" s="320">
        <f t="shared" si="8"/>
        <v>100</v>
      </c>
    </row>
    <row r="61" spans="1:15" x14ac:dyDescent="0.35">
      <c r="A61" s="64" t="s">
        <v>2697</v>
      </c>
      <c r="B61" s="319" t="str">
        <f>VLOOKUP(A61,TV_Merged!E:F,2,FALSE)</f>
        <v>Promote BF during child illness</v>
      </c>
      <c r="C61" s="319">
        <v>100</v>
      </c>
      <c r="E61" s="320">
        <f t="shared" si="4"/>
        <v>100</v>
      </c>
      <c r="F61" s="319">
        <v>100</v>
      </c>
      <c r="H61" s="320">
        <f t="shared" si="6"/>
        <v>100</v>
      </c>
      <c r="I61" s="319">
        <v>50</v>
      </c>
      <c r="J61" s="321">
        <v>50</v>
      </c>
      <c r="L61" s="320">
        <f t="shared" si="7"/>
        <v>100</v>
      </c>
      <c r="M61" s="319">
        <v>100</v>
      </c>
      <c r="O61" s="320">
        <f t="shared" si="8"/>
        <v>100</v>
      </c>
    </row>
    <row r="62" spans="1:15" x14ac:dyDescent="0.35">
      <c r="A62" s="64" t="s">
        <v>2698</v>
      </c>
      <c r="B62" s="319" t="str">
        <f>VLOOKUP(A62,TV_Merged!E:F,2,FALSE)</f>
        <v>Educate on complementary foods</v>
      </c>
      <c r="C62" s="319">
        <v>100</v>
      </c>
      <c r="E62" s="320">
        <f t="shared" si="4"/>
        <v>100</v>
      </c>
      <c r="F62" s="319">
        <v>100</v>
      </c>
      <c r="H62" s="320">
        <f t="shared" si="6"/>
        <v>100</v>
      </c>
      <c r="I62" s="319">
        <v>50</v>
      </c>
      <c r="J62" s="321">
        <v>50</v>
      </c>
      <c r="L62" s="320">
        <f t="shared" si="7"/>
        <v>100</v>
      </c>
      <c r="M62" s="319">
        <v>100</v>
      </c>
      <c r="O62" s="320">
        <f t="shared" si="8"/>
        <v>100</v>
      </c>
    </row>
    <row r="63" spans="1:15" x14ac:dyDescent="0.35">
      <c r="A63" s="64" t="s">
        <v>2699</v>
      </c>
      <c r="B63" s="319" t="str">
        <f>VLOOKUP(A63,TV_Merged!E:F,2,FALSE)</f>
        <v>Nutrition education for children</v>
      </c>
      <c r="C63" s="319">
        <v>100</v>
      </c>
      <c r="E63" s="320">
        <f t="shared" si="4"/>
        <v>100</v>
      </c>
      <c r="F63" s="319">
        <v>100</v>
      </c>
      <c r="H63" s="320">
        <f t="shared" si="6"/>
        <v>100</v>
      </c>
      <c r="I63" s="319">
        <v>50</v>
      </c>
      <c r="J63" s="321">
        <v>50</v>
      </c>
      <c r="L63" s="320">
        <f t="shared" si="7"/>
        <v>100</v>
      </c>
      <c r="M63" s="319">
        <v>100</v>
      </c>
      <c r="O63" s="320">
        <f t="shared" si="8"/>
        <v>100</v>
      </c>
    </row>
    <row r="64" spans="1:15" x14ac:dyDescent="0.35">
      <c r="A64" s="64" t="s">
        <v>2701</v>
      </c>
      <c r="B64" s="319" t="str">
        <f>VLOOKUP(A64,TV_Merged!E:F,2,FALSE)</f>
        <v>Risk reduction</v>
      </c>
      <c r="C64" s="319">
        <v>100</v>
      </c>
      <c r="E64" s="320">
        <f t="shared" si="4"/>
        <v>100</v>
      </c>
      <c r="F64" s="319">
        <v>100</v>
      </c>
      <c r="H64" s="320">
        <f t="shared" si="6"/>
        <v>100</v>
      </c>
      <c r="I64" s="319">
        <v>50</v>
      </c>
      <c r="J64" s="321">
        <v>50</v>
      </c>
      <c r="L64" s="320">
        <f t="shared" si="7"/>
        <v>100</v>
      </c>
      <c r="M64" s="319">
        <v>100</v>
      </c>
      <c r="O64" s="320">
        <f t="shared" si="8"/>
        <v>100</v>
      </c>
    </row>
    <row r="65" spans="1:15" x14ac:dyDescent="0.35">
      <c r="A65" s="64" t="s">
        <v>2705</v>
      </c>
      <c r="B65" s="319" t="str">
        <f>VLOOKUP(A65,TV_Merged!E:F,2,FALSE)</f>
        <v>HIV linkages</v>
      </c>
      <c r="C65" s="319">
        <v>100</v>
      </c>
      <c r="E65" s="320">
        <f t="shared" si="4"/>
        <v>100</v>
      </c>
      <c r="F65" s="319">
        <v>100</v>
      </c>
      <c r="H65" s="320">
        <f t="shared" si="6"/>
        <v>100</v>
      </c>
      <c r="I65" s="319">
        <v>50</v>
      </c>
      <c r="J65" s="321">
        <v>50</v>
      </c>
      <c r="L65" s="320">
        <f t="shared" si="7"/>
        <v>100</v>
      </c>
      <c r="M65" s="319">
        <v>100</v>
      </c>
      <c r="O65" s="320">
        <f t="shared" si="8"/>
        <v>100</v>
      </c>
    </row>
    <row r="66" spans="1:15" x14ac:dyDescent="0.35">
      <c r="A66" s="64" t="s">
        <v>2708</v>
      </c>
      <c r="B66" s="319" t="str">
        <f>VLOOKUP(A66,TV_Merged!E:F,2,FALSE)</f>
        <v>Vector control</v>
      </c>
      <c r="C66" s="319">
        <v>100</v>
      </c>
      <c r="E66" s="320">
        <f t="shared" si="4"/>
        <v>100</v>
      </c>
      <c r="F66" s="319">
        <v>100</v>
      </c>
      <c r="H66" s="320">
        <f t="shared" ref="H66:H97" si="9">SUM(F66:G66)</f>
        <v>100</v>
      </c>
      <c r="I66" s="319">
        <v>50</v>
      </c>
      <c r="J66" s="321">
        <v>50</v>
      </c>
      <c r="L66" s="320">
        <f t="shared" ref="L66:L97" si="10">SUM(I66:K66)</f>
        <v>100</v>
      </c>
      <c r="M66" s="319">
        <v>100</v>
      </c>
      <c r="O66" s="320">
        <f t="shared" ref="O66:O97" si="11">SUM(M66:N66)</f>
        <v>100</v>
      </c>
    </row>
    <row r="67" spans="1:15" x14ac:dyDescent="0.35">
      <c r="A67" s="64" t="s">
        <v>2709</v>
      </c>
      <c r="B67" s="319" t="str">
        <f>VLOOKUP(A67,TV_Merged!E:F,2,FALSE)</f>
        <v>Malaria surveillance</v>
      </c>
      <c r="C67" s="319">
        <v>100</v>
      </c>
      <c r="E67" s="320">
        <f t="shared" si="4"/>
        <v>100</v>
      </c>
      <c r="F67" s="319">
        <v>100</v>
      </c>
      <c r="H67" s="320">
        <f t="shared" si="9"/>
        <v>100</v>
      </c>
      <c r="I67" s="319">
        <v>50</v>
      </c>
      <c r="J67" s="321">
        <v>50</v>
      </c>
      <c r="L67" s="320">
        <f t="shared" si="10"/>
        <v>100</v>
      </c>
      <c r="M67" s="319">
        <v>100</v>
      </c>
      <c r="O67" s="320">
        <f t="shared" si="11"/>
        <v>100</v>
      </c>
    </row>
    <row r="68" spans="1:15" x14ac:dyDescent="0.35">
      <c r="A68" s="64" t="s">
        <v>2710</v>
      </c>
      <c r="B68" s="319" t="str">
        <f>VLOOKUP(A68,TV_Merged!E:F,2,FALSE)</f>
        <v>Risk reduction</v>
      </c>
      <c r="C68" s="319">
        <v>100</v>
      </c>
      <c r="E68" s="320">
        <f t="shared" si="4"/>
        <v>100</v>
      </c>
      <c r="F68" s="319">
        <v>100</v>
      </c>
      <c r="H68" s="320">
        <f t="shared" si="9"/>
        <v>100</v>
      </c>
      <c r="I68" s="319">
        <v>50</v>
      </c>
      <c r="J68" s="321">
        <v>50</v>
      </c>
      <c r="L68" s="320">
        <f t="shared" si="10"/>
        <v>100</v>
      </c>
      <c r="M68" s="319">
        <v>100</v>
      </c>
      <c r="O68" s="320">
        <f t="shared" si="11"/>
        <v>100</v>
      </c>
    </row>
    <row r="69" spans="1:15" x14ac:dyDescent="0.35">
      <c r="A69" s="64" t="s">
        <v>2711</v>
      </c>
      <c r="B69" s="319" t="str">
        <f>VLOOKUP(A69,TV_Merged!E:F,2,FALSE)</f>
        <v>Outbreak detection &amp; response</v>
      </c>
      <c r="C69" s="319">
        <v>100</v>
      </c>
      <c r="E69" s="320">
        <f t="shared" si="4"/>
        <v>100</v>
      </c>
      <c r="F69" s="319">
        <v>100</v>
      </c>
      <c r="H69" s="320">
        <f t="shared" si="9"/>
        <v>100</v>
      </c>
      <c r="I69" s="319">
        <v>50</v>
      </c>
      <c r="J69" s="321">
        <v>50</v>
      </c>
      <c r="L69" s="320">
        <f t="shared" si="10"/>
        <v>100</v>
      </c>
      <c r="M69" s="319">
        <v>100</v>
      </c>
      <c r="O69" s="320">
        <f t="shared" si="11"/>
        <v>100</v>
      </c>
    </row>
    <row r="70" spans="1:15" x14ac:dyDescent="0.35">
      <c r="A70" s="64" t="s">
        <v>2383</v>
      </c>
      <c r="B70" s="319" t="str">
        <f>VLOOKUP(A70,TV_Merged!E:F,2,FALSE)</f>
        <v>Testing</v>
      </c>
      <c r="C70" s="319">
        <v>100</v>
      </c>
      <c r="E70" s="320">
        <f t="shared" si="4"/>
        <v>100</v>
      </c>
      <c r="F70" s="319">
        <v>100</v>
      </c>
      <c r="H70" s="320">
        <f t="shared" si="9"/>
        <v>100</v>
      </c>
      <c r="I70" s="319">
        <v>50</v>
      </c>
      <c r="J70" s="321">
        <v>50</v>
      </c>
      <c r="L70" s="320">
        <f t="shared" si="10"/>
        <v>100</v>
      </c>
      <c r="M70" s="319">
        <v>100</v>
      </c>
      <c r="O70" s="320">
        <f t="shared" si="11"/>
        <v>100</v>
      </c>
    </row>
    <row r="71" spans="1:15" x14ac:dyDescent="0.35">
      <c r="A71" s="64" t="s">
        <v>2384</v>
      </c>
      <c r="B71" s="319" t="str">
        <f>VLOOKUP(A71,TV_Merged!E:F,2,FALSE)</f>
        <v>Follow-up and linkage for positives</v>
      </c>
      <c r="C71" s="319">
        <v>100</v>
      </c>
      <c r="E71" s="320">
        <f t="shared" si="4"/>
        <v>100</v>
      </c>
      <c r="F71" s="319">
        <v>100</v>
      </c>
      <c r="H71" s="320">
        <f t="shared" si="9"/>
        <v>100</v>
      </c>
      <c r="I71" s="319">
        <v>50</v>
      </c>
      <c r="J71" s="321">
        <v>50</v>
      </c>
      <c r="L71" s="320">
        <f t="shared" si="10"/>
        <v>100</v>
      </c>
      <c r="M71" s="319">
        <v>100</v>
      </c>
      <c r="O71" s="320">
        <f t="shared" si="11"/>
        <v>100</v>
      </c>
    </row>
    <row r="72" spans="1:15" x14ac:dyDescent="0.35">
      <c r="A72" s="64" t="s">
        <v>2713</v>
      </c>
      <c r="B72" s="319" t="str">
        <f>VLOOKUP(A72,TV_Merged!E:F,2,FALSE)</f>
        <v>HIV prevention for TB patients</v>
      </c>
      <c r="C72" s="319">
        <v>100</v>
      </c>
      <c r="E72" s="320">
        <f t="shared" si="4"/>
        <v>100</v>
      </c>
      <c r="F72" s="319">
        <v>100</v>
      </c>
      <c r="H72" s="320">
        <f t="shared" si="9"/>
        <v>100</v>
      </c>
      <c r="I72" s="319">
        <v>50</v>
      </c>
      <c r="J72" s="321">
        <v>50</v>
      </c>
      <c r="L72" s="320">
        <f t="shared" si="10"/>
        <v>100</v>
      </c>
      <c r="M72" s="319">
        <v>100</v>
      </c>
      <c r="O72" s="320">
        <f t="shared" si="11"/>
        <v>100</v>
      </c>
    </row>
    <row r="73" spans="1:15" x14ac:dyDescent="0.35">
      <c r="A73" s="64" t="s">
        <v>2393</v>
      </c>
      <c r="B73" s="319" t="str">
        <f>VLOOKUP(A73,TV_Merged!E:F,2,FALSE)</f>
        <v>Promote protection from tobacco smoke</v>
      </c>
      <c r="C73" s="319">
        <v>100</v>
      </c>
      <c r="E73" s="320">
        <f t="shared" si="4"/>
        <v>100</v>
      </c>
      <c r="F73" s="319">
        <v>100</v>
      </c>
      <c r="H73" s="320">
        <f t="shared" si="9"/>
        <v>100</v>
      </c>
      <c r="I73" s="319">
        <v>50</v>
      </c>
      <c r="J73" s="321">
        <v>50</v>
      </c>
      <c r="L73" s="320">
        <f t="shared" si="10"/>
        <v>100</v>
      </c>
      <c r="M73" s="319">
        <v>100</v>
      </c>
      <c r="O73" s="320">
        <f t="shared" si="11"/>
        <v>100</v>
      </c>
    </row>
    <row r="74" spans="1:15" x14ac:dyDescent="0.35">
      <c r="A74" s="64" t="s">
        <v>2394</v>
      </c>
      <c r="B74" s="319" t="str">
        <f>VLOOKUP(A74,TV_Merged!E:F,2,FALSE)</f>
        <v>Campaigns re: alcohol use</v>
      </c>
      <c r="C74" s="319">
        <v>100</v>
      </c>
      <c r="E74" s="320">
        <f t="shared" si="4"/>
        <v>100</v>
      </c>
      <c r="F74" s="319">
        <v>100</v>
      </c>
      <c r="H74" s="320">
        <f t="shared" si="9"/>
        <v>100</v>
      </c>
      <c r="I74" s="319">
        <v>50</v>
      </c>
      <c r="J74" s="321">
        <v>50</v>
      </c>
      <c r="L74" s="320">
        <f t="shared" si="10"/>
        <v>100</v>
      </c>
      <c r="M74" s="319">
        <v>100</v>
      </c>
      <c r="O74" s="320">
        <f t="shared" si="11"/>
        <v>100</v>
      </c>
    </row>
    <row r="75" spans="1:15" x14ac:dyDescent="0.35">
      <c r="A75" s="64" t="s">
        <v>2395</v>
      </c>
      <c r="B75" s="319" t="str">
        <f>VLOOKUP(A75,TV_Merged!E:F,2,FALSE)</f>
        <v>Community-level physical activity</v>
      </c>
      <c r="C75" s="319">
        <v>100</v>
      </c>
      <c r="E75" s="320">
        <f t="shared" si="4"/>
        <v>100</v>
      </c>
      <c r="F75" s="319">
        <v>100</v>
      </c>
      <c r="H75" s="320">
        <f t="shared" si="9"/>
        <v>100</v>
      </c>
      <c r="I75" s="319">
        <v>50</v>
      </c>
      <c r="J75" s="321">
        <v>50</v>
      </c>
      <c r="L75" s="320">
        <f t="shared" si="10"/>
        <v>100</v>
      </c>
      <c r="M75" s="319">
        <v>100</v>
      </c>
      <c r="O75" s="320">
        <f t="shared" si="11"/>
        <v>100</v>
      </c>
    </row>
    <row r="76" spans="1:15" x14ac:dyDescent="0.35">
      <c r="A76" s="64" t="s">
        <v>2714</v>
      </c>
      <c r="B76" s="319" t="str">
        <f>VLOOKUP(A76,TV_Merged!E:F,2,FALSE)</f>
        <v>Awareness on risk factors</v>
      </c>
      <c r="C76" s="319">
        <v>100</v>
      </c>
      <c r="E76" s="320">
        <f t="shared" si="4"/>
        <v>100</v>
      </c>
      <c r="F76" s="319">
        <v>100</v>
      </c>
      <c r="H76" s="320">
        <f t="shared" si="9"/>
        <v>100</v>
      </c>
      <c r="I76" s="319">
        <v>50</v>
      </c>
      <c r="J76" s="321">
        <v>50</v>
      </c>
      <c r="L76" s="320">
        <f t="shared" si="10"/>
        <v>100</v>
      </c>
      <c r="M76" s="319">
        <v>100</v>
      </c>
      <c r="O76" s="320">
        <f t="shared" si="11"/>
        <v>100</v>
      </c>
    </row>
    <row r="77" spans="1:15" x14ac:dyDescent="0.35">
      <c r="A77" s="64" t="s">
        <v>2716</v>
      </c>
      <c r="B77" s="319" t="str">
        <f>VLOOKUP(A77,TV_Merged!E:F,2,FALSE)</f>
        <v>Breast cancer education</v>
      </c>
      <c r="C77" s="319">
        <v>100</v>
      </c>
      <c r="E77" s="320">
        <f t="shared" si="4"/>
        <v>100</v>
      </c>
      <c r="F77" s="319">
        <v>100</v>
      </c>
      <c r="H77" s="320">
        <f t="shared" si="9"/>
        <v>100</v>
      </c>
      <c r="I77" s="319">
        <v>50</v>
      </c>
      <c r="J77" s="321">
        <v>50</v>
      </c>
      <c r="L77" s="320">
        <f t="shared" si="10"/>
        <v>100</v>
      </c>
      <c r="M77" s="319">
        <v>100</v>
      </c>
      <c r="O77" s="320">
        <f t="shared" si="11"/>
        <v>100</v>
      </c>
    </row>
    <row r="78" spans="1:15" x14ac:dyDescent="0.35">
      <c r="A78" s="64" t="s">
        <v>2718</v>
      </c>
      <c r="B78" s="319" t="str">
        <f>VLOOKUP(A78,TV_Merged!E:F,2,FALSE)</f>
        <v>Palliative care for cancer</v>
      </c>
      <c r="C78" s="319">
        <v>100</v>
      </c>
      <c r="E78" s="320">
        <f t="shared" si="4"/>
        <v>100</v>
      </c>
      <c r="F78" s="319">
        <v>100</v>
      </c>
      <c r="H78" s="320">
        <f t="shared" si="9"/>
        <v>100</v>
      </c>
      <c r="I78" s="319">
        <v>50</v>
      </c>
      <c r="J78" s="321">
        <v>50</v>
      </c>
      <c r="L78" s="320">
        <f t="shared" si="10"/>
        <v>100</v>
      </c>
      <c r="M78" s="319">
        <v>100</v>
      </c>
      <c r="O78" s="320">
        <f t="shared" si="11"/>
        <v>100</v>
      </c>
    </row>
    <row r="79" spans="1:15" x14ac:dyDescent="0.35">
      <c r="A79" s="64" t="s">
        <v>2719</v>
      </c>
      <c r="B79" s="319" t="str">
        <f>VLOOKUP(A79,TV_Merged!E:F,2,FALSE)</f>
        <v>Lifestyle counseling</v>
      </c>
      <c r="C79" s="319">
        <v>100</v>
      </c>
      <c r="E79" s="320">
        <f t="shared" si="4"/>
        <v>100</v>
      </c>
      <c r="F79" s="319">
        <v>100</v>
      </c>
      <c r="H79" s="320">
        <f t="shared" si="9"/>
        <v>100</v>
      </c>
      <c r="I79" s="319">
        <v>50</v>
      </c>
      <c r="J79" s="321">
        <v>50</v>
      </c>
      <c r="L79" s="320">
        <f t="shared" si="10"/>
        <v>100</v>
      </c>
      <c r="M79" s="319">
        <v>100</v>
      </c>
      <c r="O79" s="320">
        <f t="shared" si="11"/>
        <v>100</v>
      </c>
    </row>
    <row r="80" spans="1:15" x14ac:dyDescent="0.35">
      <c r="A80" s="64" t="s">
        <v>2722</v>
      </c>
      <c r="B80" s="319" t="str">
        <f>VLOOKUP(A80,TV_Merged!E:F,2,FALSE)</f>
        <v>Lifestyle counseling</v>
      </c>
      <c r="C80" s="319">
        <v>100</v>
      </c>
      <c r="E80" s="320">
        <f t="shared" ref="E80:E107" si="12">SUM(C80:D80)</f>
        <v>100</v>
      </c>
      <c r="F80" s="319">
        <v>100</v>
      </c>
      <c r="H80" s="320">
        <f t="shared" si="9"/>
        <v>100</v>
      </c>
      <c r="I80" s="319">
        <v>50</v>
      </c>
      <c r="J80" s="321">
        <v>50</v>
      </c>
      <c r="L80" s="320">
        <f t="shared" si="10"/>
        <v>100</v>
      </c>
      <c r="M80" s="319">
        <v>100</v>
      </c>
      <c r="O80" s="320">
        <f t="shared" si="11"/>
        <v>100</v>
      </c>
    </row>
    <row r="81" spans="1:15" x14ac:dyDescent="0.35">
      <c r="A81" s="64" t="s">
        <v>2725</v>
      </c>
      <c r="B81" s="319" t="str">
        <f>VLOOKUP(A81,TV_Merged!E:F,2,FALSE)</f>
        <v>Smoking cessation</v>
      </c>
      <c r="C81" s="319">
        <v>100</v>
      </c>
      <c r="E81" s="320">
        <f t="shared" si="12"/>
        <v>100</v>
      </c>
      <c r="F81" s="319">
        <v>100</v>
      </c>
      <c r="H81" s="320">
        <f t="shared" si="9"/>
        <v>100</v>
      </c>
      <c r="I81" s="319">
        <v>50</v>
      </c>
      <c r="J81" s="321">
        <v>50</v>
      </c>
      <c r="L81" s="320">
        <f t="shared" si="10"/>
        <v>100</v>
      </c>
      <c r="M81" s="319">
        <v>100</v>
      </c>
      <c r="O81" s="320">
        <f t="shared" si="11"/>
        <v>100</v>
      </c>
    </row>
    <row r="82" spans="1:15" x14ac:dyDescent="0.35">
      <c r="A82" s="64" t="s">
        <v>2726</v>
      </c>
      <c r="B82" s="319" t="str">
        <f>VLOOKUP(A82,TV_Merged!E:F,2,FALSE)</f>
        <v>Prevention of risk factors</v>
      </c>
      <c r="C82" s="319">
        <v>100</v>
      </c>
      <c r="E82" s="320">
        <f t="shared" si="12"/>
        <v>100</v>
      </c>
      <c r="F82" s="319">
        <v>100</v>
      </c>
      <c r="H82" s="320">
        <f t="shared" si="9"/>
        <v>100</v>
      </c>
      <c r="I82" s="319">
        <v>50</v>
      </c>
      <c r="J82" s="321">
        <v>50</v>
      </c>
      <c r="L82" s="320">
        <f t="shared" si="10"/>
        <v>100</v>
      </c>
      <c r="M82" s="319">
        <v>100</v>
      </c>
      <c r="O82" s="320">
        <f t="shared" si="11"/>
        <v>100</v>
      </c>
    </row>
    <row r="83" spans="1:15" x14ac:dyDescent="0.35">
      <c r="A83" s="64" t="s">
        <v>2453</v>
      </c>
      <c r="B83" s="319" t="str">
        <f>VLOOKUP(A83,TV_Merged!E:F,2,FALSE)</f>
        <v>Generate community awareness</v>
      </c>
      <c r="C83" s="319">
        <v>100</v>
      </c>
      <c r="E83" s="320">
        <f t="shared" si="12"/>
        <v>100</v>
      </c>
      <c r="F83" s="319">
        <v>100</v>
      </c>
      <c r="H83" s="320">
        <f t="shared" si="9"/>
        <v>100</v>
      </c>
      <c r="I83" s="319">
        <v>50</v>
      </c>
      <c r="J83" s="321">
        <v>50</v>
      </c>
      <c r="L83" s="320">
        <f t="shared" si="10"/>
        <v>100</v>
      </c>
      <c r="M83" s="319">
        <v>100</v>
      </c>
      <c r="O83" s="320">
        <f t="shared" si="11"/>
        <v>100</v>
      </c>
    </row>
    <row r="84" spans="1:15" x14ac:dyDescent="0.35">
      <c r="A84" s="64" t="s">
        <v>2454</v>
      </c>
      <c r="B84" s="319" t="str">
        <f>VLOOKUP(A84,TV_Merged!E:F,2,FALSE)</f>
        <v>Identify &amp; link to care</v>
      </c>
      <c r="C84" s="319">
        <v>100</v>
      </c>
      <c r="E84" s="320">
        <f t="shared" si="12"/>
        <v>100</v>
      </c>
      <c r="F84" s="319">
        <v>100</v>
      </c>
      <c r="H84" s="320">
        <f t="shared" si="9"/>
        <v>100</v>
      </c>
      <c r="I84" s="319">
        <v>50</v>
      </c>
      <c r="J84" s="321">
        <v>50</v>
      </c>
      <c r="L84" s="320">
        <f t="shared" si="10"/>
        <v>100</v>
      </c>
      <c r="M84" s="319">
        <v>100</v>
      </c>
      <c r="O84" s="320">
        <f t="shared" si="11"/>
        <v>100</v>
      </c>
    </row>
    <row r="85" spans="1:15" x14ac:dyDescent="0.35">
      <c r="A85" s="64" t="s">
        <v>2729</v>
      </c>
      <c r="B85" s="319" t="str">
        <f>VLOOKUP(A85,TV_Merged!E:F,2,FALSE)</f>
        <v>Workplace stress reduction</v>
      </c>
      <c r="C85" s="319">
        <v>100</v>
      </c>
      <c r="E85" s="320">
        <f t="shared" si="12"/>
        <v>100</v>
      </c>
      <c r="F85" s="319">
        <v>100</v>
      </c>
      <c r="H85" s="320">
        <f t="shared" si="9"/>
        <v>100</v>
      </c>
      <c r="I85" s="319">
        <v>50</v>
      </c>
      <c r="J85" s="321">
        <v>50</v>
      </c>
      <c r="L85" s="320">
        <f t="shared" si="10"/>
        <v>100</v>
      </c>
      <c r="M85" s="319">
        <v>100</v>
      </c>
      <c r="O85" s="320">
        <f t="shared" si="11"/>
        <v>100</v>
      </c>
    </row>
    <row r="86" spans="1:15" x14ac:dyDescent="0.35">
      <c r="A86" s="64" t="s">
        <v>2730</v>
      </c>
      <c r="B86" s="319" t="str">
        <f>VLOOKUP(A86,TV_Merged!E:F,2,FALSE)</f>
        <v>School-based mental health programs</v>
      </c>
      <c r="C86" s="319">
        <v>100</v>
      </c>
      <c r="E86" s="320">
        <f t="shared" si="12"/>
        <v>100</v>
      </c>
      <c r="F86" s="319">
        <v>100</v>
      </c>
      <c r="H86" s="320">
        <f t="shared" si="9"/>
        <v>100</v>
      </c>
      <c r="I86" s="319">
        <v>50</v>
      </c>
      <c r="J86" s="321">
        <v>50</v>
      </c>
      <c r="L86" s="320">
        <f t="shared" si="10"/>
        <v>100</v>
      </c>
      <c r="M86" s="319">
        <v>100</v>
      </c>
      <c r="O86" s="320">
        <f t="shared" si="11"/>
        <v>100</v>
      </c>
    </row>
    <row r="87" spans="1:15" x14ac:dyDescent="0.35">
      <c r="A87" s="64" t="s">
        <v>2731</v>
      </c>
      <c r="B87" s="319" t="str">
        <f>VLOOKUP(A87,TV_Merged!E:F,2,FALSE)</f>
        <v>Identify &amp; assess drug use</v>
      </c>
      <c r="C87" s="319">
        <v>100</v>
      </c>
      <c r="E87" s="320">
        <f t="shared" si="12"/>
        <v>100</v>
      </c>
      <c r="F87" s="319">
        <v>100</v>
      </c>
      <c r="H87" s="320">
        <f t="shared" si="9"/>
        <v>100</v>
      </c>
      <c r="I87" s="319">
        <v>50</v>
      </c>
      <c r="J87" s="321">
        <v>50</v>
      </c>
      <c r="L87" s="320">
        <f t="shared" si="10"/>
        <v>100</v>
      </c>
      <c r="M87" s="319">
        <v>100</v>
      </c>
      <c r="O87" s="320">
        <f t="shared" si="11"/>
        <v>100</v>
      </c>
    </row>
    <row r="88" spans="1:15" x14ac:dyDescent="0.35">
      <c r="A88" s="64" t="s">
        <v>2732</v>
      </c>
      <c r="B88" s="319" t="str">
        <f>VLOOKUP(A88,TV_Merged!E:F,2,FALSE)</f>
        <v>Safer storage of pesticides</v>
      </c>
      <c r="C88" s="319">
        <v>100</v>
      </c>
      <c r="E88" s="320">
        <f t="shared" si="12"/>
        <v>100</v>
      </c>
      <c r="F88" s="319">
        <v>100</v>
      </c>
      <c r="H88" s="320">
        <f t="shared" si="9"/>
        <v>100</v>
      </c>
      <c r="I88" s="319">
        <v>50</v>
      </c>
      <c r="J88" s="321">
        <v>50</v>
      </c>
      <c r="L88" s="320">
        <f t="shared" si="10"/>
        <v>100</v>
      </c>
      <c r="M88" s="319">
        <v>100</v>
      </c>
      <c r="O88" s="320">
        <f t="shared" si="11"/>
        <v>100</v>
      </c>
    </row>
    <row r="89" spans="1:15" x14ac:dyDescent="0.35">
      <c r="A89" s="64" t="s">
        <v>2733</v>
      </c>
      <c r="B89" s="319" t="str">
        <f>VLOOKUP(A89,TV_Merged!E:F,2,FALSE)</f>
        <v>Emergency poisoning response</v>
      </c>
      <c r="C89" s="319">
        <v>100</v>
      </c>
      <c r="E89" s="320">
        <f t="shared" si="12"/>
        <v>100</v>
      </c>
      <c r="F89" s="319">
        <v>100</v>
      </c>
      <c r="H89" s="320">
        <f t="shared" si="9"/>
        <v>100</v>
      </c>
      <c r="I89" s="319">
        <v>50</v>
      </c>
      <c r="J89" s="321">
        <v>50</v>
      </c>
      <c r="L89" s="320">
        <f t="shared" si="10"/>
        <v>100</v>
      </c>
      <c r="M89" s="319">
        <v>100</v>
      </c>
      <c r="O89" s="320">
        <f t="shared" si="11"/>
        <v>100</v>
      </c>
    </row>
    <row r="90" spans="1:15" x14ac:dyDescent="0.35">
      <c r="A90" s="64" t="s">
        <v>2734</v>
      </c>
      <c r="B90" s="319" t="str">
        <f>VLOOKUP(A90,TV_Merged!E:F,2,FALSE)</f>
        <v>Awareness &amp; screening for cataracts</v>
      </c>
      <c r="C90" s="319">
        <v>100</v>
      </c>
      <c r="E90" s="320">
        <f t="shared" si="12"/>
        <v>100</v>
      </c>
      <c r="F90" s="319">
        <v>100</v>
      </c>
      <c r="H90" s="320">
        <f t="shared" si="9"/>
        <v>100</v>
      </c>
      <c r="I90" s="319">
        <v>50</v>
      </c>
      <c r="J90" s="321">
        <v>50</v>
      </c>
      <c r="L90" s="320">
        <f t="shared" si="10"/>
        <v>100</v>
      </c>
      <c r="M90" s="319">
        <v>100</v>
      </c>
      <c r="O90" s="320">
        <f t="shared" si="11"/>
        <v>100</v>
      </c>
    </row>
    <row r="91" spans="1:15" x14ac:dyDescent="0.35">
      <c r="A91" s="64" t="s">
        <v>2735</v>
      </c>
      <c r="B91" s="319" t="str">
        <f>VLOOKUP(A91,TV_Merged!E:F,2,FALSE)</f>
        <v>Awareness of eye glasses</v>
      </c>
      <c r="C91" s="319">
        <v>100</v>
      </c>
      <c r="E91" s="320">
        <f t="shared" si="12"/>
        <v>100</v>
      </c>
      <c r="F91" s="319">
        <v>100</v>
      </c>
      <c r="H91" s="320">
        <f t="shared" si="9"/>
        <v>100</v>
      </c>
      <c r="I91" s="319">
        <v>50</v>
      </c>
      <c r="J91" s="321">
        <v>50</v>
      </c>
      <c r="L91" s="320">
        <f t="shared" si="10"/>
        <v>100</v>
      </c>
      <c r="M91" s="319">
        <v>100</v>
      </c>
      <c r="O91" s="320">
        <f t="shared" si="11"/>
        <v>100</v>
      </c>
    </row>
    <row r="92" spans="1:15" x14ac:dyDescent="0.35">
      <c r="A92" s="64" t="s">
        <v>2738</v>
      </c>
      <c r="B92" s="319" t="str">
        <f>VLOOKUP(A92,TV_Merged!E:F,2,FALSE)</f>
        <v>Awareness &amp; screening for glaucoma</v>
      </c>
      <c r="C92" s="319">
        <v>100</v>
      </c>
      <c r="E92" s="320">
        <f t="shared" si="12"/>
        <v>100</v>
      </c>
      <c r="F92" s="319">
        <v>100</v>
      </c>
      <c r="H92" s="320">
        <f t="shared" si="9"/>
        <v>100</v>
      </c>
      <c r="I92" s="319">
        <v>50</v>
      </c>
      <c r="J92" s="321">
        <v>50</v>
      </c>
      <c r="L92" s="320">
        <f t="shared" si="10"/>
        <v>100</v>
      </c>
      <c r="M92" s="319">
        <v>100</v>
      </c>
      <c r="O92" s="320">
        <f t="shared" si="11"/>
        <v>100</v>
      </c>
    </row>
    <row r="93" spans="1:15" x14ac:dyDescent="0.35">
      <c r="A93" s="64" t="s">
        <v>2462</v>
      </c>
      <c r="B93" s="319" t="str">
        <f>VLOOKUP(A93,TV_Merged!E:F,2,FALSE)</f>
        <v>Surveillance for NTDs</v>
      </c>
      <c r="C93" s="319">
        <v>100</v>
      </c>
      <c r="E93" s="320">
        <f t="shared" si="12"/>
        <v>100</v>
      </c>
      <c r="F93" s="319">
        <v>100</v>
      </c>
      <c r="H93" s="320">
        <f t="shared" si="9"/>
        <v>100</v>
      </c>
      <c r="I93" s="319">
        <v>50</v>
      </c>
      <c r="J93" s="321">
        <v>50</v>
      </c>
      <c r="L93" s="320">
        <f t="shared" si="10"/>
        <v>100</v>
      </c>
      <c r="M93" s="319">
        <v>100</v>
      </c>
      <c r="O93" s="320">
        <f t="shared" si="11"/>
        <v>100</v>
      </c>
    </row>
    <row r="94" spans="1:15" x14ac:dyDescent="0.35">
      <c r="A94" s="64" t="s">
        <v>2741</v>
      </c>
      <c r="B94" s="319" t="str">
        <f>VLOOKUP(A94,TV_Merged!E:F,2,FALSE)</f>
        <v>LF screening &amp; referral</v>
      </c>
      <c r="C94" s="319">
        <v>100</v>
      </c>
      <c r="E94" s="320">
        <f t="shared" si="12"/>
        <v>100</v>
      </c>
      <c r="F94" s="319">
        <v>100</v>
      </c>
      <c r="H94" s="320">
        <f t="shared" si="9"/>
        <v>100</v>
      </c>
      <c r="I94" s="319">
        <v>50</v>
      </c>
      <c r="J94" s="321">
        <v>50</v>
      </c>
      <c r="L94" s="320">
        <f t="shared" si="10"/>
        <v>100</v>
      </c>
      <c r="M94" s="319">
        <v>100</v>
      </c>
      <c r="O94" s="320">
        <f t="shared" si="11"/>
        <v>100</v>
      </c>
    </row>
    <row r="95" spans="1:15" x14ac:dyDescent="0.35">
      <c r="A95" s="64" t="s">
        <v>2743</v>
      </c>
      <c r="B95" s="319" t="str">
        <f>VLOOKUP(A95,TV_Merged!E:F,2,FALSE)</f>
        <v>LLINs and IRS</v>
      </c>
      <c r="C95" s="319">
        <v>100</v>
      </c>
      <c r="E95" s="320">
        <f t="shared" si="12"/>
        <v>100</v>
      </c>
      <c r="F95" s="319">
        <v>100</v>
      </c>
      <c r="H95" s="320">
        <f t="shared" si="9"/>
        <v>100</v>
      </c>
      <c r="I95" s="319">
        <v>50</v>
      </c>
      <c r="J95" s="321">
        <v>50</v>
      </c>
      <c r="L95" s="320">
        <f t="shared" si="10"/>
        <v>100</v>
      </c>
      <c r="M95" s="319">
        <v>100</v>
      </c>
      <c r="O95" s="320">
        <f t="shared" si="11"/>
        <v>100</v>
      </c>
    </row>
    <row r="96" spans="1:15" x14ac:dyDescent="0.35">
      <c r="A96" s="64" t="s">
        <v>2744</v>
      </c>
      <c r="B96" s="319" t="str">
        <f>VLOOKUP(A96,TV_Merged!E:F,2,FALSE)</f>
        <v>LF behavior change</v>
      </c>
      <c r="C96" s="319">
        <v>100</v>
      </c>
      <c r="E96" s="320">
        <f t="shared" si="12"/>
        <v>100</v>
      </c>
      <c r="F96" s="319">
        <v>100</v>
      </c>
      <c r="H96" s="320">
        <f t="shared" si="9"/>
        <v>100</v>
      </c>
      <c r="I96" s="319">
        <v>50</v>
      </c>
      <c r="J96" s="321">
        <v>50</v>
      </c>
      <c r="L96" s="320">
        <f t="shared" si="10"/>
        <v>100</v>
      </c>
      <c r="M96" s="319">
        <v>100</v>
      </c>
      <c r="O96" s="320">
        <f t="shared" si="11"/>
        <v>100</v>
      </c>
    </row>
    <row r="97" spans="1:15" x14ac:dyDescent="0.35">
      <c r="A97" s="64" t="s">
        <v>2746</v>
      </c>
      <c r="B97" s="319" t="str">
        <f>VLOOKUP(A97,TV_Merged!E:F,2,FALSE)</f>
        <v>Oncho behavior change</v>
      </c>
      <c r="C97" s="319">
        <v>100</v>
      </c>
      <c r="E97" s="320">
        <f t="shared" si="12"/>
        <v>100</v>
      </c>
      <c r="F97" s="319">
        <v>100</v>
      </c>
      <c r="H97" s="320">
        <f t="shared" si="9"/>
        <v>100</v>
      </c>
      <c r="I97" s="319">
        <v>50</v>
      </c>
      <c r="J97" s="321">
        <v>50</v>
      </c>
      <c r="L97" s="320">
        <f t="shared" si="10"/>
        <v>100</v>
      </c>
      <c r="M97" s="319">
        <v>100</v>
      </c>
      <c r="O97" s="320">
        <f t="shared" si="11"/>
        <v>100</v>
      </c>
    </row>
    <row r="98" spans="1:15" x14ac:dyDescent="0.35">
      <c r="A98" s="64" t="s">
        <v>2747</v>
      </c>
      <c r="B98" s="319" t="str">
        <f>VLOOKUP(A98,TV_Merged!E:F,2,FALSE)</f>
        <v>Trachoma behavior change</v>
      </c>
      <c r="C98" s="319">
        <v>100</v>
      </c>
      <c r="E98" s="320">
        <f t="shared" si="12"/>
        <v>100</v>
      </c>
      <c r="F98" s="319">
        <v>100</v>
      </c>
      <c r="H98" s="320">
        <f t="shared" ref="H98:H107" si="13">SUM(F98:G98)</f>
        <v>100</v>
      </c>
      <c r="I98" s="319">
        <v>50</v>
      </c>
      <c r="J98" s="321">
        <v>50</v>
      </c>
      <c r="L98" s="320">
        <f t="shared" ref="L98:L107" si="14">SUM(I98:K98)</f>
        <v>100</v>
      </c>
      <c r="M98" s="319">
        <v>100</v>
      </c>
      <c r="O98" s="320">
        <f t="shared" ref="O98:O107" si="15">SUM(M98:N98)</f>
        <v>100</v>
      </c>
    </row>
    <row r="99" spans="1:15" x14ac:dyDescent="0.35">
      <c r="A99" s="64" t="s">
        <v>2748</v>
      </c>
      <c r="B99" s="319" t="str">
        <f>VLOOKUP(A99,TV_Merged!E:F,2,FALSE)</f>
        <v>Promote water and sanitation</v>
      </c>
      <c r="C99" s="319">
        <v>100</v>
      </c>
      <c r="E99" s="320">
        <f t="shared" si="12"/>
        <v>100</v>
      </c>
      <c r="F99" s="319">
        <v>100</v>
      </c>
      <c r="H99" s="320">
        <f t="shared" si="13"/>
        <v>100</v>
      </c>
      <c r="I99" s="319">
        <v>50</v>
      </c>
      <c r="J99" s="321">
        <v>50</v>
      </c>
      <c r="L99" s="320">
        <f t="shared" si="14"/>
        <v>100</v>
      </c>
      <c r="M99" s="319">
        <v>100</v>
      </c>
      <c r="O99" s="320">
        <f t="shared" si="15"/>
        <v>100</v>
      </c>
    </row>
    <row r="100" spans="1:15" x14ac:dyDescent="0.35">
      <c r="A100" s="64" t="s">
        <v>2752</v>
      </c>
      <c r="B100" s="319" t="str">
        <f>VLOOKUP(A100,TV_Merged!E:F,2,FALSE)</f>
        <v>Promote face washing</v>
      </c>
      <c r="C100" s="319">
        <v>100</v>
      </c>
      <c r="E100" s="320">
        <f t="shared" si="12"/>
        <v>100</v>
      </c>
      <c r="F100" s="319">
        <v>100</v>
      </c>
      <c r="H100" s="320">
        <f t="shared" si="13"/>
        <v>100</v>
      </c>
      <c r="I100" s="319">
        <v>50</v>
      </c>
      <c r="J100" s="321">
        <v>50</v>
      </c>
      <c r="L100" s="320">
        <f t="shared" si="14"/>
        <v>100</v>
      </c>
      <c r="M100" s="319">
        <v>100</v>
      </c>
      <c r="O100" s="320">
        <f t="shared" si="15"/>
        <v>100</v>
      </c>
    </row>
    <row r="101" spans="1:15" x14ac:dyDescent="0.35">
      <c r="A101" s="64" t="s">
        <v>2753</v>
      </c>
      <c r="B101" s="319" t="str">
        <f>VLOOKUP(A101,TV_Merged!E:F,2,FALSE)</f>
        <v>Schisto behavior change</v>
      </c>
      <c r="C101" s="319">
        <v>100</v>
      </c>
      <c r="E101" s="320">
        <f t="shared" si="12"/>
        <v>100</v>
      </c>
      <c r="F101" s="319">
        <v>100</v>
      </c>
      <c r="H101" s="320">
        <f t="shared" si="13"/>
        <v>100</v>
      </c>
      <c r="I101" s="319">
        <v>50</v>
      </c>
      <c r="J101" s="321">
        <v>50</v>
      </c>
      <c r="L101" s="320">
        <f t="shared" si="14"/>
        <v>100</v>
      </c>
      <c r="M101" s="319">
        <v>100</v>
      </c>
      <c r="O101" s="320">
        <f t="shared" si="15"/>
        <v>100</v>
      </c>
    </row>
    <row r="102" spans="1:15" x14ac:dyDescent="0.35">
      <c r="A102" s="64" t="s">
        <v>2755</v>
      </c>
      <c r="B102" s="319" t="str">
        <f>VLOOKUP(A102,TV_Merged!E:F,2,FALSE)</f>
        <v>Schisto MDA</v>
      </c>
      <c r="C102" s="319">
        <v>100</v>
      </c>
      <c r="E102" s="320">
        <f t="shared" si="12"/>
        <v>100</v>
      </c>
      <c r="F102" s="319">
        <v>100</v>
      </c>
      <c r="H102" s="320">
        <f t="shared" si="13"/>
        <v>100</v>
      </c>
      <c r="I102" s="319">
        <v>50</v>
      </c>
      <c r="J102" s="321">
        <v>50</v>
      </c>
      <c r="L102" s="320">
        <f t="shared" si="14"/>
        <v>100</v>
      </c>
      <c r="M102" s="319">
        <v>100</v>
      </c>
      <c r="O102" s="320">
        <f t="shared" si="15"/>
        <v>100</v>
      </c>
    </row>
    <row r="103" spans="1:15" x14ac:dyDescent="0.35">
      <c r="A103" s="64" t="s">
        <v>2756</v>
      </c>
      <c r="B103" s="319" t="str">
        <f>VLOOKUP(A103,TV_Merged!E:F,2,FALSE)</f>
        <v>STH behavior change</v>
      </c>
      <c r="C103" s="319">
        <v>100</v>
      </c>
      <c r="E103" s="320">
        <f t="shared" si="12"/>
        <v>100</v>
      </c>
      <c r="F103" s="319">
        <v>100</v>
      </c>
      <c r="H103" s="320">
        <f t="shared" si="13"/>
        <v>100</v>
      </c>
      <c r="I103" s="319">
        <v>50</v>
      </c>
      <c r="J103" s="321">
        <v>50</v>
      </c>
      <c r="L103" s="320">
        <f t="shared" si="14"/>
        <v>100</v>
      </c>
      <c r="M103" s="319">
        <v>100</v>
      </c>
      <c r="O103" s="320">
        <f t="shared" si="15"/>
        <v>100</v>
      </c>
    </row>
    <row r="104" spans="1:15" x14ac:dyDescent="0.35">
      <c r="A104" s="64" t="s">
        <v>2759</v>
      </c>
      <c r="B104" s="319" t="str">
        <f>VLOOKUP(A104,TV_Merged!E:F,2,FALSE)</f>
        <v>Scabies behavior change</v>
      </c>
      <c r="C104" s="319">
        <v>100</v>
      </c>
      <c r="E104" s="320">
        <f t="shared" si="12"/>
        <v>100</v>
      </c>
      <c r="F104" s="319">
        <v>100</v>
      </c>
      <c r="H104" s="320">
        <f t="shared" si="13"/>
        <v>100</v>
      </c>
      <c r="I104" s="319">
        <v>50</v>
      </c>
      <c r="J104" s="321">
        <v>50</v>
      </c>
      <c r="L104" s="320">
        <f t="shared" si="14"/>
        <v>100</v>
      </c>
      <c r="M104" s="319">
        <v>100</v>
      </c>
      <c r="O104" s="320">
        <f t="shared" si="15"/>
        <v>100</v>
      </c>
    </row>
    <row r="105" spans="1:15" x14ac:dyDescent="0.35">
      <c r="A105" s="64" t="s">
        <v>2636</v>
      </c>
      <c r="B105" s="319" t="str">
        <f>VLOOKUP(A105,TV_Merged!E:F,2,FALSE)</f>
        <v>Model household program</v>
      </c>
      <c r="C105" s="319">
        <v>100</v>
      </c>
      <c r="E105" s="320">
        <f t="shared" si="12"/>
        <v>100</v>
      </c>
      <c r="F105" s="319">
        <v>100</v>
      </c>
      <c r="H105" s="320">
        <f t="shared" si="13"/>
        <v>100</v>
      </c>
      <c r="I105" s="319">
        <v>50</v>
      </c>
      <c r="J105" s="321">
        <v>50</v>
      </c>
      <c r="L105" s="320">
        <f t="shared" si="14"/>
        <v>100</v>
      </c>
      <c r="M105" s="319">
        <v>100</v>
      </c>
      <c r="O105" s="320">
        <f t="shared" si="15"/>
        <v>100</v>
      </c>
    </row>
    <row r="106" spans="1:15" x14ac:dyDescent="0.35">
      <c r="A106" s="64" t="s">
        <v>2637</v>
      </c>
      <c r="B106" s="319" t="str">
        <f>VLOOKUP(A106,TV_Merged!E:F,2,FALSE)</f>
        <v>Model household program</v>
      </c>
      <c r="C106" s="319">
        <v>100</v>
      </c>
      <c r="E106" s="320">
        <f t="shared" si="12"/>
        <v>100</v>
      </c>
      <c r="F106" s="319">
        <v>100</v>
      </c>
      <c r="H106" s="320">
        <f t="shared" si="13"/>
        <v>100</v>
      </c>
      <c r="I106" s="319">
        <v>50</v>
      </c>
      <c r="J106" s="321">
        <v>50</v>
      </c>
      <c r="L106" s="320">
        <f t="shared" si="14"/>
        <v>100</v>
      </c>
      <c r="M106" s="319">
        <v>100</v>
      </c>
      <c r="O106" s="320">
        <f t="shared" si="15"/>
        <v>100</v>
      </c>
    </row>
    <row r="107" spans="1:15" x14ac:dyDescent="0.35">
      <c r="A107" s="64" t="s">
        <v>1958</v>
      </c>
      <c r="B107" s="319" t="str">
        <f>VLOOKUP(A107,TV_Merged!E:F,2,FALSE)</f>
        <v>Record keeping</v>
      </c>
      <c r="C107" s="319">
        <v>100</v>
      </c>
      <c r="E107" s="320">
        <f t="shared" si="12"/>
        <v>100</v>
      </c>
      <c r="F107" s="319">
        <v>100</v>
      </c>
      <c r="H107" s="320">
        <f t="shared" si="13"/>
        <v>100</v>
      </c>
      <c r="I107" s="319">
        <v>50</v>
      </c>
      <c r="J107" s="321">
        <v>50</v>
      </c>
      <c r="L107" s="320">
        <f t="shared" si="14"/>
        <v>100</v>
      </c>
      <c r="M107" s="319">
        <v>100</v>
      </c>
      <c r="O107" s="320">
        <f t="shared" si="15"/>
        <v>100</v>
      </c>
    </row>
    <row r="108" spans="1:15" s="127" customFormat="1" x14ac:dyDescent="0.35">
      <c r="A108" s="375" t="s">
        <v>2781</v>
      </c>
      <c r="B108" s="376" t="str">
        <f>VLOOKUP(A108,TV_Merged!E:F,2,FALSE)</f>
        <v>Test additional</v>
      </c>
      <c r="C108" s="376"/>
      <c r="D108" s="376"/>
      <c r="E108" s="378"/>
      <c r="F108" s="376"/>
      <c r="G108" s="376"/>
      <c r="H108" s="378"/>
      <c r="I108" s="376"/>
      <c r="J108" s="377"/>
      <c r="K108" s="376"/>
      <c r="L108" s="378"/>
      <c r="M108" s="376"/>
      <c r="N108" s="376"/>
      <c r="O108" s="378"/>
    </row>
    <row r="109" spans="1:15" s="127" customFormat="1" x14ac:dyDescent="0.35">
      <c r="A109" s="127" t="s">
        <v>2185</v>
      </c>
      <c r="B109" s="376" t="str">
        <f>VLOOKUP(A109,TV_Merged!E:F,2,FALSE)</f>
        <v>Normal labor management</v>
      </c>
      <c r="C109" s="376"/>
      <c r="D109" s="376"/>
      <c r="E109" s="378"/>
      <c r="F109" s="376"/>
      <c r="G109" s="376"/>
      <c r="H109" s="378"/>
      <c r="I109" s="376"/>
      <c r="J109" s="377"/>
      <c r="K109" s="376"/>
      <c r="L109" s="378"/>
      <c r="M109" s="376"/>
      <c r="N109" s="376"/>
      <c r="O109" s="378"/>
    </row>
    <row r="110" spans="1:15" s="127" customFormat="1" x14ac:dyDescent="0.35">
      <c r="A110" s="127" t="s">
        <v>2187</v>
      </c>
      <c r="B110" s="376" t="str">
        <f>VLOOKUP(A110,TV_Merged!E:F,2,FALSE)</f>
        <v>Emergency OB</v>
      </c>
      <c r="C110" s="376"/>
      <c r="D110" s="376"/>
      <c r="E110" s="378"/>
      <c r="F110" s="376"/>
      <c r="G110" s="376"/>
      <c r="H110" s="378"/>
      <c r="I110" s="376"/>
      <c r="J110" s="377"/>
      <c r="K110" s="376"/>
      <c r="L110" s="378"/>
      <c r="M110" s="376"/>
      <c r="N110" s="376"/>
      <c r="O110" s="378"/>
    </row>
    <row r="111" spans="1:15" s="127" customFormat="1" x14ac:dyDescent="0.35">
      <c r="A111" s="127" t="s">
        <v>2186</v>
      </c>
      <c r="B111" s="376" t="str">
        <f>VLOOKUP(A111,TV_Merged!E:F,2,FALSE)</f>
        <v>Active management 3rd stage</v>
      </c>
      <c r="C111" s="376"/>
      <c r="D111" s="376"/>
      <c r="E111" s="378"/>
      <c r="F111" s="376"/>
      <c r="G111" s="376"/>
      <c r="H111" s="378"/>
      <c r="I111" s="376"/>
      <c r="J111" s="377"/>
      <c r="K111" s="376"/>
      <c r="L111" s="378"/>
      <c r="M111" s="376"/>
      <c r="N111" s="376"/>
      <c r="O111" s="378"/>
    </row>
    <row r="112" spans="1:15" s="127" customFormat="1" x14ac:dyDescent="0.35">
      <c r="A112" s="127" t="s">
        <v>2198</v>
      </c>
      <c r="B112" s="376" t="str">
        <f>VLOOKUP(A112,TV_Merged!E:F,2,FALSE)</f>
        <v>Maternal sepsis</v>
      </c>
      <c r="C112" s="376"/>
      <c r="D112" s="376"/>
      <c r="E112" s="378"/>
      <c r="F112" s="376"/>
      <c r="G112" s="376"/>
      <c r="H112" s="378"/>
      <c r="I112" s="376"/>
      <c r="J112" s="377"/>
      <c r="K112" s="376"/>
      <c r="L112" s="378"/>
      <c r="M112" s="376"/>
      <c r="N112" s="376"/>
      <c r="O112" s="378"/>
    </row>
    <row r="113" spans="1:15" s="127" customFormat="1" x14ac:dyDescent="0.35">
      <c r="A113" s="383" t="s">
        <v>2204</v>
      </c>
      <c r="B113" s="376" t="str">
        <f>VLOOKUP(A113,TV_Merged!E:F,2,FALSE)</f>
        <v>ANC rapid testing</v>
      </c>
      <c r="C113" s="376"/>
      <c r="D113" s="376"/>
      <c r="E113" s="378"/>
      <c r="F113" s="376"/>
      <c r="G113" s="376"/>
      <c r="H113" s="378"/>
      <c r="I113" s="376"/>
      <c r="J113" s="377"/>
      <c r="K113" s="376"/>
      <c r="L113" s="378"/>
      <c r="M113" s="376"/>
      <c r="N113" s="376"/>
      <c r="O113" s="378"/>
    </row>
    <row r="114" spans="1:15" s="127" customFormat="1" x14ac:dyDescent="0.35">
      <c r="A114" s="383" t="s">
        <v>2682</v>
      </c>
      <c r="B114" s="376" t="str">
        <f>VLOOKUP(A114,TV_Merged!E:F,2,FALSE)</f>
        <v>Treat malnourished mothers</v>
      </c>
      <c r="C114" s="376"/>
      <c r="D114" s="376"/>
      <c r="E114" s="378"/>
      <c r="F114" s="376"/>
      <c r="G114" s="376"/>
      <c r="H114" s="378"/>
      <c r="I114" s="376"/>
      <c r="J114" s="377"/>
      <c r="K114" s="376"/>
      <c r="L114" s="378"/>
      <c r="M114" s="376"/>
      <c r="N114" s="376"/>
      <c r="O114" s="378"/>
    </row>
    <row r="115" spans="1:15" s="127" customFormat="1" x14ac:dyDescent="0.35">
      <c r="A115" s="383" t="s">
        <v>2232</v>
      </c>
      <c r="B115" s="376" t="str">
        <f>VLOOKUP(A115,TV_Merged!E:F,2,FALSE)</f>
        <v>Well child check &amp; growth monitoring</v>
      </c>
      <c r="C115" s="376"/>
      <c r="D115" s="376"/>
      <c r="E115" s="378"/>
      <c r="F115" s="376"/>
      <c r="G115" s="376"/>
      <c r="H115" s="378"/>
      <c r="I115" s="376"/>
      <c r="J115" s="377"/>
      <c r="K115" s="376"/>
      <c r="L115" s="378"/>
      <c r="M115" s="376"/>
      <c r="N115" s="376"/>
      <c r="O115" s="378"/>
    </row>
    <row r="116" spans="1:15" s="127" customFormat="1" x14ac:dyDescent="0.35">
      <c r="A116" s="383" t="s">
        <v>2646</v>
      </c>
      <c r="B116" s="376" t="str">
        <f>VLOOKUP(A116,TV_Merged!E:F,2,FALSE)</f>
        <v>Treat severe malnutrition</v>
      </c>
      <c r="C116" s="376"/>
      <c r="D116" s="376"/>
      <c r="E116" s="378"/>
      <c r="F116" s="376"/>
      <c r="G116" s="376"/>
      <c r="H116" s="378"/>
      <c r="I116" s="376"/>
      <c r="J116" s="377"/>
      <c r="K116" s="376"/>
      <c r="L116" s="378"/>
      <c r="M116" s="376"/>
      <c r="N116" s="376"/>
      <c r="O116" s="378"/>
    </row>
    <row r="117" spans="1:15" s="127" customFormat="1" x14ac:dyDescent="0.35">
      <c r="A117" s="383" t="s">
        <v>2647</v>
      </c>
      <c r="B117" s="376" t="str">
        <f>VLOOKUP(A117,TV_Merged!E:F,2,FALSE)</f>
        <v>Treat moderate malnutrition</v>
      </c>
      <c r="C117" s="376"/>
      <c r="D117" s="376"/>
      <c r="E117" s="378"/>
      <c r="F117" s="376"/>
      <c r="G117" s="376"/>
      <c r="H117" s="378"/>
      <c r="I117" s="376"/>
      <c r="J117" s="377"/>
      <c r="K117" s="376"/>
      <c r="L117" s="378"/>
      <c r="M117" s="376"/>
      <c r="N117" s="376"/>
      <c r="O117" s="378"/>
    </row>
    <row r="118" spans="1:15" s="127" customFormat="1" x14ac:dyDescent="0.35">
      <c r="A118" s="383" t="s">
        <v>2364</v>
      </c>
      <c r="B118" s="376" t="str">
        <f>VLOOKUP(A118,TV_Merged!E:F,2,FALSE)</f>
        <v>Uncomplicated malaria in adults</v>
      </c>
      <c r="C118" s="376"/>
      <c r="D118" s="376"/>
      <c r="E118" s="378"/>
      <c r="F118" s="376"/>
      <c r="G118" s="376"/>
      <c r="H118" s="378"/>
      <c r="I118" s="376"/>
      <c r="J118" s="377"/>
      <c r="K118" s="376"/>
      <c r="L118" s="378"/>
      <c r="M118" s="376"/>
      <c r="N118" s="376"/>
      <c r="O118" s="378"/>
    </row>
    <row r="119" spans="1:15" s="127" customFormat="1" x14ac:dyDescent="0.35">
      <c r="A119" s="383" t="s">
        <v>2365</v>
      </c>
      <c r="B119" s="376" t="str">
        <f>VLOOKUP(A119,TV_Merged!E:F,2,FALSE)</f>
        <v>Uncomplicated malaria in children</v>
      </c>
      <c r="C119" s="376"/>
      <c r="D119" s="376"/>
      <c r="E119" s="378"/>
      <c r="F119" s="376"/>
      <c r="G119" s="376"/>
      <c r="H119" s="378"/>
      <c r="I119" s="376"/>
      <c r="J119" s="377"/>
      <c r="K119" s="376"/>
      <c r="L119" s="378"/>
      <c r="M119" s="376"/>
      <c r="N119" s="376"/>
      <c r="O119" s="378"/>
    </row>
    <row r="120" spans="1:15" s="127" customFormat="1" x14ac:dyDescent="0.35">
      <c r="A120" s="383" t="s">
        <v>2368</v>
      </c>
      <c r="B120" s="376" t="str">
        <f>VLOOKUP(A120,TV_Merged!E:F,2,FALSE)</f>
        <v>Testing non-malaria cases</v>
      </c>
      <c r="C120" s="376"/>
      <c r="D120" s="376"/>
      <c r="E120" s="378"/>
      <c r="F120" s="376"/>
      <c r="G120" s="376"/>
      <c r="H120" s="378"/>
      <c r="I120" s="376"/>
      <c r="J120" s="377"/>
      <c r="K120" s="376"/>
      <c r="L120" s="378"/>
      <c r="M120" s="376"/>
      <c r="N120" s="376"/>
      <c r="O120" s="378"/>
    </row>
    <row r="121" spans="1:15" s="127" customFormat="1" x14ac:dyDescent="0.35">
      <c r="A121" s="383" t="s">
        <v>2366</v>
      </c>
      <c r="B121" s="376" t="str">
        <f>VLOOKUP(A121,TV_Merged!E:F,2,FALSE)</f>
        <v>Severe malaria in adults</v>
      </c>
      <c r="C121" s="376"/>
      <c r="D121" s="376"/>
      <c r="E121" s="378"/>
      <c r="F121" s="376"/>
      <c r="G121" s="376"/>
      <c r="H121" s="378"/>
      <c r="I121" s="376"/>
      <c r="J121" s="377"/>
      <c r="K121" s="376"/>
      <c r="L121" s="378"/>
      <c r="M121" s="376"/>
      <c r="N121" s="376"/>
      <c r="O121" s="378"/>
    </row>
    <row r="122" spans="1:15" s="127" customFormat="1" x14ac:dyDescent="0.35">
      <c r="A122" s="383" t="s">
        <v>2367</v>
      </c>
      <c r="B122" s="376" t="str">
        <f>VLOOKUP(A122,TV_Merged!E:F,2,FALSE)</f>
        <v>Severe malaria in children</v>
      </c>
      <c r="C122" s="376"/>
      <c r="D122" s="376"/>
      <c r="E122" s="378"/>
      <c r="F122" s="376"/>
      <c r="G122" s="376"/>
      <c r="H122" s="378"/>
      <c r="I122" s="376"/>
      <c r="J122" s="377"/>
      <c r="K122" s="376"/>
      <c r="L122" s="378"/>
      <c r="M122" s="376"/>
      <c r="N122" s="376"/>
      <c r="O122" s="378"/>
    </row>
    <row r="123" spans="1:15" x14ac:dyDescent="0.35">
      <c r="A123" s="319" t="s">
        <v>2804</v>
      </c>
      <c r="B123" s="319" t="s">
        <v>2806</v>
      </c>
      <c r="C123" s="319">
        <v>100</v>
      </c>
      <c r="E123" s="320">
        <f t="shared" ref="E123:E126" si="16">SUM(C123:D123)</f>
        <v>100</v>
      </c>
      <c r="F123" s="319">
        <v>100</v>
      </c>
      <c r="H123" s="320">
        <f t="shared" ref="H123:H126" si="17">SUM(F123:G123)</f>
        <v>100</v>
      </c>
      <c r="I123" s="319">
        <v>50</v>
      </c>
      <c r="J123" s="321">
        <v>50</v>
      </c>
      <c r="L123" s="320">
        <f t="shared" ref="L123:L126" si="18">SUM(I123:K123)</f>
        <v>100</v>
      </c>
      <c r="M123" s="319">
        <v>100</v>
      </c>
      <c r="O123" s="320">
        <f t="shared" ref="O123:O126" si="19">SUM(M123:N123)</f>
        <v>100</v>
      </c>
    </row>
    <row r="124" spans="1:15" x14ac:dyDescent="0.35">
      <c r="A124" s="319" t="s">
        <v>2805</v>
      </c>
      <c r="B124" s="319" t="s">
        <v>2807</v>
      </c>
      <c r="C124" s="319">
        <v>100</v>
      </c>
      <c r="E124" s="320">
        <f t="shared" si="16"/>
        <v>100</v>
      </c>
      <c r="F124" s="319">
        <v>100</v>
      </c>
      <c r="H124" s="320">
        <f t="shared" si="17"/>
        <v>100</v>
      </c>
      <c r="I124" s="319">
        <v>50</v>
      </c>
      <c r="J124" s="321">
        <v>50</v>
      </c>
      <c r="L124" s="320">
        <f t="shared" si="18"/>
        <v>100</v>
      </c>
      <c r="M124" s="319">
        <v>100</v>
      </c>
      <c r="O124" s="320">
        <f t="shared" si="19"/>
        <v>100</v>
      </c>
    </row>
    <row r="125" spans="1:15" x14ac:dyDescent="0.35">
      <c r="A125" s="64" t="s">
        <v>2822</v>
      </c>
      <c r="B125" s="321" t="s">
        <v>2828</v>
      </c>
      <c r="C125" s="64">
        <v>100</v>
      </c>
      <c r="E125" s="320">
        <f t="shared" si="16"/>
        <v>100</v>
      </c>
      <c r="F125" s="319">
        <v>100</v>
      </c>
      <c r="H125" s="320">
        <f t="shared" si="17"/>
        <v>100</v>
      </c>
      <c r="I125" s="319">
        <v>100</v>
      </c>
      <c r="L125" s="320">
        <f t="shared" si="18"/>
        <v>100</v>
      </c>
      <c r="M125" s="319">
        <v>100</v>
      </c>
      <c r="O125" s="320">
        <f t="shared" si="19"/>
        <v>100</v>
      </c>
    </row>
    <row r="126" spans="1:15" x14ac:dyDescent="0.35">
      <c r="A126" s="64" t="s">
        <v>2823</v>
      </c>
      <c r="B126" s="321" t="s">
        <v>2829</v>
      </c>
      <c r="C126" s="64">
        <v>100</v>
      </c>
      <c r="E126" s="320">
        <f t="shared" si="16"/>
        <v>100</v>
      </c>
      <c r="F126" s="321">
        <v>100</v>
      </c>
      <c r="H126" s="320">
        <f t="shared" si="17"/>
        <v>100</v>
      </c>
      <c r="J126" s="319">
        <v>100</v>
      </c>
      <c r="L126" s="320">
        <f t="shared" si="18"/>
        <v>100</v>
      </c>
      <c r="M126" s="321">
        <v>100</v>
      </c>
      <c r="O126" s="320">
        <f t="shared" si="19"/>
        <v>100</v>
      </c>
    </row>
    <row r="127" spans="1:15" s="127" customFormat="1" x14ac:dyDescent="0.35">
      <c r="A127" s="383" t="s">
        <v>2824</v>
      </c>
      <c r="B127" s="377" t="s">
        <v>2830</v>
      </c>
      <c r="C127" s="383"/>
      <c r="D127" s="376"/>
      <c r="E127" s="378"/>
      <c r="F127" s="376"/>
      <c r="G127" s="376"/>
      <c r="H127" s="378"/>
      <c r="I127" s="376"/>
      <c r="J127" s="376"/>
      <c r="K127" s="376"/>
      <c r="L127" s="378"/>
      <c r="M127" s="376"/>
      <c r="N127" s="376"/>
      <c r="O127" s="378"/>
    </row>
    <row r="128" spans="1:15" s="127" customFormat="1" x14ac:dyDescent="0.35">
      <c r="A128" s="383" t="s">
        <v>2825</v>
      </c>
      <c r="B128" s="377" t="s">
        <v>2831</v>
      </c>
      <c r="C128" s="383"/>
      <c r="D128" s="376"/>
      <c r="E128" s="378"/>
      <c r="F128" s="376"/>
      <c r="G128" s="376"/>
      <c r="H128" s="378"/>
      <c r="I128" s="376"/>
      <c r="J128" s="376"/>
      <c r="K128" s="376"/>
      <c r="L128" s="378"/>
      <c r="M128" s="376"/>
      <c r="N128" s="376"/>
      <c r="O128" s="378"/>
    </row>
    <row r="129" spans="1:15" s="127" customFormat="1" x14ac:dyDescent="0.35">
      <c r="A129" s="377" t="s">
        <v>2826</v>
      </c>
      <c r="B129" s="377" t="s">
        <v>2832</v>
      </c>
      <c r="C129" s="383"/>
      <c r="D129" s="376"/>
      <c r="E129" s="378"/>
      <c r="F129" s="376"/>
      <c r="G129" s="376"/>
      <c r="H129" s="378"/>
      <c r="I129" s="376"/>
      <c r="J129" s="376"/>
      <c r="K129" s="376"/>
      <c r="L129" s="378"/>
      <c r="M129" s="376"/>
      <c r="N129" s="376"/>
      <c r="O129" s="378"/>
    </row>
    <row r="130" spans="1:15" s="127" customFormat="1" x14ac:dyDescent="0.35">
      <c r="A130" s="377" t="s">
        <v>2827</v>
      </c>
      <c r="B130" s="377" t="s">
        <v>2833</v>
      </c>
      <c r="C130" s="383"/>
      <c r="D130" s="376"/>
      <c r="E130" s="378"/>
      <c r="F130" s="376"/>
      <c r="G130" s="376"/>
      <c r="H130" s="378"/>
      <c r="I130" s="376"/>
      <c r="J130" s="376"/>
      <c r="K130" s="376"/>
      <c r="L130" s="378"/>
      <c r="M130" s="376"/>
      <c r="N130" s="376"/>
      <c r="O130" s="378"/>
    </row>
  </sheetData>
  <conditionalFormatting sqref="O2:O122 E2:E122 H2:H122 L2:L122">
    <cfRule type="cellIs" dxfId="2" priority="3" operator="notEqual">
      <formula>100</formula>
    </cfRule>
  </conditionalFormatting>
  <conditionalFormatting sqref="O123 E123 H123 L123">
    <cfRule type="cellIs" dxfId="1" priority="2" operator="notEqual">
      <formula>100</formula>
    </cfRule>
  </conditionalFormatting>
  <conditionalFormatting sqref="E124:E126 H124:H126 L124:L126 O124:O126">
    <cfRule type="cellIs" dxfId="0"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C15" sqref="C15"/>
    </sheetView>
  </sheetViews>
  <sheetFormatPr defaultRowHeight="14.5" x14ac:dyDescent="0.35"/>
  <cols>
    <col min="2" max="2" width="30.81640625" bestFit="1" customWidth="1"/>
  </cols>
  <sheetData>
    <row r="1" spans="2:5" ht="15" thickBot="1" x14ac:dyDescent="0.4"/>
    <row r="2" spans="2:5" ht="15" thickBot="1" x14ac:dyDescent="0.4">
      <c r="B2" t="s">
        <v>2165</v>
      </c>
      <c r="C2" s="111">
        <v>2025</v>
      </c>
      <c r="D2" s="112">
        <v>2030</v>
      </c>
      <c r="E2" s="113">
        <v>2035</v>
      </c>
    </row>
    <row r="3" spans="2:5" x14ac:dyDescent="0.35">
      <c r="B3" s="92" t="s">
        <v>2159</v>
      </c>
      <c r="C3" s="92">
        <v>1</v>
      </c>
      <c r="D3" s="97">
        <v>1</v>
      </c>
      <c r="E3" s="318">
        <v>1</v>
      </c>
    </row>
    <row r="4" spans="2:5" x14ac:dyDescent="0.35">
      <c r="B4" s="64" t="s">
        <v>2160</v>
      </c>
      <c r="C4" s="64">
        <v>1</v>
      </c>
      <c r="D4" s="319">
        <v>1</v>
      </c>
      <c r="E4" s="320">
        <v>1</v>
      </c>
    </row>
    <row r="5" spans="2:5" x14ac:dyDescent="0.35">
      <c r="B5" s="322" t="s">
        <v>2161</v>
      </c>
      <c r="C5" s="322">
        <v>2</v>
      </c>
      <c r="D5" s="323">
        <v>1</v>
      </c>
      <c r="E5" s="324"/>
    </row>
    <row r="6" spans="2:5" x14ac:dyDescent="0.35">
      <c r="B6" s="322" t="s">
        <v>2162</v>
      </c>
      <c r="C6" s="322"/>
      <c r="D6" s="323">
        <v>1</v>
      </c>
      <c r="E6" s="324">
        <v>2</v>
      </c>
    </row>
    <row r="7" spans="2:5" x14ac:dyDescent="0.35">
      <c r="B7" s="64" t="s">
        <v>2163</v>
      </c>
      <c r="C7" s="64"/>
      <c r="D7" s="321">
        <v>1</v>
      </c>
      <c r="E7" s="320">
        <v>1</v>
      </c>
    </row>
    <row r="8" spans="2:5" ht="15" thickBot="1" x14ac:dyDescent="0.4">
      <c r="B8" s="93" t="s">
        <v>2164</v>
      </c>
      <c r="C8" s="93"/>
      <c r="D8" s="95">
        <v>1</v>
      </c>
      <c r="E8" s="96">
        <v>1</v>
      </c>
    </row>
    <row r="9" spans="2:5" ht="15" thickBot="1" x14ac:dyDescent="0.4"/>
    <row r="10" spans="2:5" ht="15" thickBot="1" x14ac:dyDescent="0.4">
      <c r="B10" t="s">
        <v>2166</v>
      </c>
      <c r="C10" s="111">
        <v>2025</v>
      </c>
      <c r="D10" s="112">
        <v>2030</v>
      </c>
      <c r="E10" s="113">
        <v>2035</v>
      </c>
    </row>
    <row r="11" spans="2:5" x14ac:dyDescent="0.35">
      <c r="B11" s="92" t="s">
        <v>2159</v>
      </c>
      <c r="C11" s="92"/>
      <c r="D11" s="97"/>
      <c r="E11" s="318"/>
    </row>
    <row r="12" spans="2:5" x14ac:dyDescent="0.35">
      <c r="B12" s="64" t="s">
        <v>2160</v>
      </c>
      <c r="C12" s="64"/>
      <c r="D12" s="319"/>
      <c r="E12" s="320"/>
    </row>
    <row r="13" spans="2:5" x14ac:dyDescent="0.35">
      <c r="B13" s="322" t="s">
        <v>2161</v>
      </c>
      <c r="C13" s="322">
        <v>2</v>
      </c>
      <c r="D13" s="323">
        <v>1</v>
      </c>
      <c r="E13" s="324"/>
    </row>
    <row r="14" spans="2:5" x14ac:dyDescent="0.35">
      <c r="B14" s="322" t="s">
        <v>2162</v>
      </c>
      <c r="C14" s="322"/>
      <c r="D14" s="323">
        <v>1</v>
      </c>
      <c r="E14" s="324">
        <v>2</v>
      </c>
    </row>
    <row r="15" spans="2:5" x14ac:dyDescent="0.35">
      <c r="B15" s="64" t="s">
        <v>2167</v>
      </c>
      <c r="C15" s="64">
        <v>1</v>
      </c>
      <c r="D15" s="321">
        <v>1</v>
      </c>
      <c r="E15" s="320">
        <v>1</v>
      </c>
    </row>
    <row r="16" spans="2:5" ht="15" thickBot="1" x14ac:dyDescent="0.4">
      <c r="B16" s="93" t="s">
        <v>2164</v>
      </c>
      <c r="C16" s="93"/>
      <c r="D16" s="95">
        <v>1</v>
      </c>
      <c r="E16" s="96">
        <v>1</v>
      </c>
    </row>
    <row r="17" spans="2:5" ht="15" thickBot="1" x14ac:dyDescent="0.4"/>
    <row r="18" spans="2:5" ht="15" thickBot="1" x14ac:dyDescent="0.4">
      <c r="B18" t="s">
        <v>2168</v>
      </c>
      <c r="C18" s="111">
        <v>2025</v>
      </c>
      <c r="D18" s="112">
        <v>2030</v>
      </c>
      <c r="E18" s="113">
        <v>2035</v>
      </c>
    </row>
    <row r="19" spans="2:5" x14ac:dyDescent="0.35">
      <c r="B19" s="92" t="s">
        <v>2159</v>
      </c>
      <c r="C19" s="92"/>
      <c r="D19" s="97"/>
      <c r="E19" s="318"/>
    </row>
    <row r="20" spans="2:5" x14ac:dyDescent="0.35">
      <c r="B20" s="64" t="s">
        <v>2160</v>
      </c>
      <c r="C20" s="64"/>
      <c r="D20" s="319"/>
      <c r="E20" s="320"/>
    </row>
    <row r="21" spans="2:5" x14ac:dyDescent="0.35">
      <c r="B21" s="322" t="s">
        <v>2161</v>
      </c>
      <c r="C21" s="322">
        <v>2</v>
      </c>
      <c r="D21" s="323">
        <v>1</v>
      </c>
      <c r="E21" s="324"/>
    </row>
    <row r="22" spans="2:5" x14ac:dyDescent="0.35">
      <c r="B22" s="322" t="s">
        <v>2162</v>
      </c>
      <c r="C22" s="322"/>
      <c r="D22" s="323">
        <v>1</v>
      </c>
      <c r="E22" s="324">
        <v>2</v>
      </c>
    </row>
    <row r="23" spans="2:5" x14ac:dyDescent="0.35">
      <c r="B23" s="64" t="s">
        <v>2163</v>
      </c>
      <c r="C23" s="64"/>
      <c r="D23" s="321"/>
      <c r="E23" s="320"/>
    </row>
    <row r="24" spans="2:5" ht="15" thickBot="1" x14ac:dyDescent="0.4">
      <c r="B24" s="93" t="s">
        <v>2164</v>
      </c>
      <c r="C24" s="93"/>
      <c r="D24" s="95"/>
      <c r="E24" s="9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Z225"/>
  <sheetViews>
    <sheetView tabSelected="1" topLeftCell="D1" zoomScale="60" zoomScaleNormal="60" workbookViewId="0">
      <pane ySplit="1" topLeftCell="A204" activePane="bottomLeft" state="frozen"/>
      <selection pane="bottomLeft" activeCell="O231" sqref="O231"/>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4" style="64" customWidth="1"/>
    <col min="12" max="12" width="4" style="319" customWidth="1"/>
    <col min="13" max="13" width="4" style="320" customWidth="1"/>
    <col min="14" max="14" width="15.1796875" customWidth="1"/>
    <col min="15" max="15" width="17.36328125" style="195" customWidth="1"/>
    <col min="16" max="17" width="15.1796875" customWidth="1"/>
    <col min="18" max="18" width="17" customWidth="1"/>
    <col min="19" max="19" width="18.36328125" style="89" customWidth="1"/>
    <col min="20" max="20" width="19.1796875" customWidth="1"/>
    <col min="21" max="21" width="18.7265625" customWidth="1"/>
    <col min="22" max="22" width="15.1796875" style="6" customWidth="1"/>
    <col min="23" max="25" width="15.1796875" customWidth="1"/>
    <col min="26" max="26" width="27.54296875" bestFit="1" customWidth="1"/>
  </cols>
  <sheetData>
    <row r="1" spans="1:26" s="177" customFormat="1" ht="87.5" customHeight="1" x14ac:dyDescent="0.35">
      <c r="A1" s="403" t="s">
        <v>2172</v>
      </c>
      <c r="B1" s="403"/>
      <c r="C1" s="403"/>
      <c r="D1" s="403"/>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2206</v>
      </c>
      <c r="Z1" s="325" t="s">
        <v>2189</v>
      </c>
    </row>
    <row r="2" spans="1:26" x14ac:dyDescent="0.35">
      <c r="A2" s="355" t="s">
        <v>2169</v>
      </c>
      <c r="B2" s="355" t="s">
        <v>2170</v>
      </c>
      <c r="C2" s="356" t="s">
        <v>153</v>
      </c>
      <c r="D2" s="353">
        <v>1</v>
      </c>
      <c r="E2" s="64" t="s">
        <v>2171</v>
      </c>
      <c r="F2" s="319" t="s">
        <v>2173</v>
      </c>
      <c r="G2" s="321" t="s">
        <v>154</v>
      </c>
      <c r="H2" s="319" t="s">
        <v>2798</v>
      </c>
      <c r="I2" s="319" t="s">
        <v>65</v>
      </c>
      <c r="J2" s="320" t="s">
        <v>156</v>
      </c>
      <c r="K2" s="64" t="s">
        <v>980</v>
      </c>
      <c r="L2" s="321" t="s">
        <v>980</v>
      </c>
      <c r="M2" s="320" t="s">
        <v>980</v>
      </c>
      <c r="N2" s="321" t="s">
        <v>82</v>
      </c>
      <c r="O2" s="195">
        <v>1</v>
      </c>
      <c r="P2" s="321" t="s">
        <v>212</v>
      </c>
      <c r="Q2" s="321"/>
      <c r="R2" s="321"/>
      <c r="S2" s="89">
        <v>1</v>
      </c>
      <c r="T2">
        <v>4</v>
      </c>
      <c r="V2" s="6">
        <v>10</v>
      </c>
    </row>
    <row r="3" spans="1:26" x14ac:dyDescent="0.35">
      <c r="A3" s="355" t="s">
        <v>2169</v>
      </c>
      <c r="B3" s="355" t="s">
        <v>2170</v>
      </c>
      <c r="C3" s="356" t="s">
        <v>153</v>
      </c>
      <c r="D3" s="353">
        <v>2</v>
      </c>
      <c r="E3" s="64" t="s">
        <v>2204</v>
      </c>
      <c r="F3" s="319" t="s">
        <v>2179</v>
      </c>
      <c r="G3" s="319" t="s">
        <v>154</v>
      </c>
      <c r="H3" s="319" t="s">
        <v>2798</v>
      </c>
      <c r="I3" s="319" t="s">
        <v>65</v>
      </c>
      <c r="J3" s="320" t="s">
        <v>156</v>
      </c>
      <c r="K3" s="64" t="s">
        <v>980</v>
      </c>
      <c r="L3" s="319" t="s">
        <v>980</v>
      </c>
      <c r="M3" s="320" t="s">
        <v>194</v>
      </c>
      <c r="N3" s="321" t="s">
        <v>82</v>
      </c>
      <c r="O3" s="195">
        <v>1</v>
      </c>
      <c r="P3" s="321" t="s">
        <v>212</v>
      </c>
      <c r="Q3" s="321"/>
      <c r="R3" s="321"/>
      <c r="S3" s="89">
        <v>1</v>
      </c>
      <c r="T3">
        <v>1</v>
      </c>
      <c r="V3" s="359">
        <v>15</v>
      </c>
      <c r="Y3" t="s">
        <v>980</v>
      </c>
    </row>
    <row r="4" spans="1:26" x14ac:dyDescent="0.35">
      <c r="A4" s="355" t="s">
        <v>2169</v>
      </c>
      <c r="B4" s="355" t="s">
        <v>2170</v>
      </c>
      <c r="C4" s="356" t="s">
        <v>2180</v>
      </c>
      <c r="D4" s="353">
        <v>3</v>
      </c>
      <c r="E4" s="64" t="s">
        <v>2185</v>
      </c>
      <c r="F4" s="321" t="s">
        <v>2182</v>
      </c>
      <c r="G4" s="321" t="s">
        <v>154</v>
      </c>
      <c r="H4" s="319" t="s">
        <v>2800</v>
      </c>
      <c r="I4" s="321" t="s">
        <v>65</v>
      </c>
      <c r="J4" s="320" t="s">
        <v>156</v>
      </c>
      <c r="K4" s="64" t="s">
        <v>980</v>
      </c>
      <c r="L4" s="321" t="s">
        <v>194</v>
      </c>
      <c r="M4" s="320" t="s">
        <v>194</v>
      </c>
      <c r="N4" s="321" t="s">
        <v>82</v>
      </c>
      <c r="O4" s="195">
        <v>1</v>
      </c>
      <c r="P4" s="321" t="s">
        <v>212</v>
      </c>
      <c r="Q4" s="321"/>
      <c r="R4" s="321"/>
      <c r="S4" s="89">
        <v>1</v>
      </c>
      <c r="T4">
        <v>1</v>
      </c>
      <c r="V4" s="6">
        <v>15</v>
      </c>
    </row>
    <row r="5" spans="1:26" x14ac:dyDescent="0.35">
      <c r="A5" s="355" t="s">
        <v>2169</v>
      </c>
      <c r="B5" s="355" t="s">
        <v>2170</v>
      </c>
      <c r="C5" s="356" t="s">
        <v>2180</v>
      </c>
      <c r="D5" s="353">
        <v>4</v>
      </c>
      <c r="E5" s="64" t="s">
        <v>2186</v>
      </c>
      <c r="F5" s="321" t="s">
        <v>2181</v>
      </c>
      <c r="G5" s="321" t="s">
        <v>154</v>
      </c>
      <c r="H5" s="319" t="s">
        <v>2800</v>
      </c>
      <c r="I5" s="321" t="s">
        <v>65</v>
      </c>
      <c r="J5" s="320" t="s">
        <v>156</v>
      </c>
      <c r="K5" s="64" t="s">
        <v>980</v>
      </c>
      <c r="L5" s="321" t="s">
        <v>194</v>
      </c>
      <c r="M5" s="320" t="s">
        <v>194</v>
      </c>
      <c r="N5" s="321" t="s">
        <v>82</v>
      </c>
      <c r="O5" s="195">
        <v>1</v>
      </c>
      <c r="P5" s="321" t="s">
        <v>212</v>
      </c>
      <c r="Q5" s="321"/>
      <c r="R5" s="321"/>
      <c r="S5" s="89">
        <v>1</v>
      </c>
      <c r="T5">
        <v>1</v>
      </c>
      <c r="V5" s="6">
        <v>60</v>
      </c>
      <c r="Y5" t="s">
        <v>980</v>
      </c>
      <c r="Z5" t="s">
        <v>2190</v>
      </c>
    </row>
    <row r="6" spans="1:26" x14ac:dyDescent="0.35">
      <c r="A6" s="355" t="s">
        <v>2169</v>
      </c>
      <c r="B6" s="355" t="s">
        <v>2170</v>
      </c>
      <c r="C6" s="356" t="s">
        <v>2180</v>
      </c>
      <c r="D6" s="353">
        <v>5</v>
      </c>
      <c r="E6" s="64" t="s">
        <v>2187</v>
      </c>
      <c r="F6" s="321" t="s">
        <v>2183</v>
      </c>
      <c r="G6" s="321" t="s">
        <v>154</v>
      </c>
      <c r="H6" s="319" t="s">
        <v>2800</v>
      </c>
      <c r="I6" s="321" t="s">
        <v>65</v>
      </c>
      <c r="J6" s="320" t="s">
        <v>156</v>
      </c>
      <c r="K6" s="64" t="s">
        <v>980</v>
      </c>
      <c r="L6" s="321" t="s">
        <v>194</v>
      </c>
      <c r="M6" s="320" t="s">
        <v>194</v>
      </c>
      <c r="N6" s="321" t="s">
        <v>82</v>
      </c>
      <c r="O6" s="145">
        <f>Prevalences!AL191</f>
        <v>0.15</v>
      </c>
      <c r="P6" s="321" t="s">
        <v>2201</v>
      </c>
      <c r="Q6" s="321"/>
      <c r="R6" s="321"/>
      <c r="S6" s="89">
        <v>1</v>
      </c>
      <c r="T6">
        <v>1</v>
      </c>
      <c r="V6" s="6">
        <v>30</v>
      </c>
      <c r="Y6" t="s">
        <v>980</v>
      </c>
      <c r="Z6" s="360" t="s">
        <v>2504</v>
      </c>
    </row>
    <row r="7" spans="1:26" x14ac:dyDescent="0.35">
      <c r="A7" s="355" t="s">
        <v>2169</v>
      </c>
      <c r="B7" s="355" t="s">
        <v>2170</v>
      </c>
      <c r="C7" s="356" t="s">
        <v>2180</v>
      </c>
      <c r="D7" s="353">
        <v>6</v>
      </c>
      <c r="E7" s="64" t="s">
        <v>2188</v>
      </c>
      <c r="F7" s="321" t="s">
        <v>2184</v>
      </c>
      <c r="G7" s="321" t="s">
        <v>154</v>
      </c>
      <c r="H7" s="321" t="s">
        <v>2798</v>
      </c>
      <c r="I7" s="321" t="s">
        <v>65</v>
      </c>
      <c r="J7" s="320" t="s">
        <v>156</v>
      </c>
      <c r="K7" s="64" t="s">
        <v>980</v>
      </c>
      <c r="L7" s="321" t="s">
        <v>194</v>
      </c>
      <c r="M7" s="320" t="s">
        <v>194</v>
      </c>
      <c r="N7" s="321" t="s">
        <v>82</v>
      </c>
      <c r="O7" s="336"/>
      <c r="P7" s="321" t="s">
        <v>2201</v>
      </c>
      <c r="Q7" s="321"/>
      <c r="R7" s="321"/>
      <c r="S7" s="89">
        <v>1</v>
      </c>
      <c r="T7">
        <v>1</v>
      </c>
      <c r="V7" s="6">
        <v>0</v>
      </c>
      <c r="Z7" t="s">
        <v>2202</v>
      </c>
    </row>
    <row r="8" spans="1:26" x14ac:dyDescent="0.35">
      <c r="A8" s="355" t="s">
        <v>2169</v>
      </c>
      <c r="B8" s="355" t="s">
        <v>2170</v>
      </c>
      <c r="C8" s="356" t="s">
        <v>2191</v>
      </c>
      <c r="D8" s="353">
        <v>7</v>
      </c>
      <c r="E8" s="64" t="s">
        <v>2197</v>
      </c>
      <c r="F8" s="321" t="s">
        <v>2192</v>
      </c>
      <c r="G8" s="321" t="s">
        <v>154</v>
      </c>
      <c r="H8" s="321" t="s">
        <v>2798</v>
      </c>
      <c r="I8" s="321" t="s">
        <v>65</v>
      </c>
      <c r="J8" s="320" t="s">
        <v>156</v>
      </c>
      <c r="K8" s="64" t="s">
        <v>980</v>
      </c>
      <c r="L8" s="321" t="s">
        <v>980</v>
      </c>
      <c r="M8" s="320" t="s">
        <v>980</v>
      </c>
      <c r="N8" s="321" t="s">
        <v>82</v>
      </c>
      <c r="O8" s="195">
        <v>1</v>
      </c>
      <c r="P8" s="321" t="s">
        <v>212</v>
      </c>
      <c r="Q8" s="321"/>
      <c r="R8" s="321"/>
      <c r="S8" s="89">
        <v>1</v>
      </c>
      <c r="T8">
        <v>2</v>
      </c>
      <c r="V8" s="6">
        <v>60</v>
      </c>
    </row>
    <row r="9" spans="1:26" x14ac:dyDescent="0.35">
      <c r="A9" s="355" t="s">
        <v>2169</v>
      </c>
      <c r="B9" s="355" t="s">
        <v>2170</v>
      </c>
      <c r="C9" s="356" t="s">
        <v>2191</v>
      </c>
      <c r="D9" s="353">
        <v>8</v>
      </c>
      <c r="E9" s="64" t="s">
        <v>2198</v>
      </c>
      <c r="F9" s="321" t="s">
        <v>2193</v>
      </c>
      <c r="G9" s="321" t="s">
        <v>154</v>
      </c>
      <c r="H9" s="321" t="s">
        <v>2800</v>
      </c>
      <c r="I9" s="321" t="s">
        <v>65</v>
      </c>
      <c r="J9" s="320" t="s">
        <v>156</v>
      </c>
      <c r="K9" s="64" t="s">
        <v>980</v>
      </c>
      <c r="L9" s="321" t="s">
        <v>194</v>
      </c>
      <c r="M9" s="320" t="s">
        <v>194</v>
      </c>
      <c r="N9" s="374" t="s">
        <v>82</v>
      </c>
      <c r="O9" s="333">
        <f>Prevalences!AN116</f>
        <v>0.14810999999999999</v>
      </c>
      <c r="P9" s="321" t="s">
        <v>2201</v>
      </c>
      <c r="Q9" s="321"/>
      <c r="R9" s="321" t="s">
        <v>2207</v>
      </c>
      <c r="S9" s="139">
        <v>1</v>
      </c>
      <c r="T9">
        <v>1</v>
      </c>
      <c r="V9" s="6">
        <f>7*60</f>
        <v>420</v>
      </c>
      <c r="Y9" t="s">
        <v>980</v>
      </c>
      <c r="Z9" t="s">
        <v>2210</v>
      </c>
    </row>
    <row r="10" spans="1:26" x14ac:dyDescent="0.35">
      <c r="A10" s="355" t="s">
        <v>2169</v>
      </c>
      <c r="B10" s="355" t="s">
        <v>2170</v>
      </c>
      <c r="C10" s="356" t="s">
        <v>2191</v>
      </c>
      <c r="D10" s="353">
        <v>9</v>
      </c>
      <c r="E10" s="64" t="s">
        <v>2199</v>
      </c>
      <c r="F10" s="321" t="s">
        <v>2194</v>
      </c>
      <c r="G10" s="321" t="s">
        <v>154</v>
      </c>
      <c r="H10" s="321" t="s">
        <v>2800</v>
      </c>
      <c r="I10" s="321" t="s">
        <v>65</v>
      </c>
      <c r="J10" s="320" t="s">
        <v>156</v>
      </c>
      <c r="K10" s="64" t="s">
        <v>980</v>
      </c>
      <c r="L10" s="321" t="s">
        <v>980</v>
      </c>
      <c r="M10" s="320" t="s">
        <v>194</v>
      </c>
      <c r="N10" s="321" t="s">
        <v>82</v>
      </c>
      <c r="O10" s="145">
        <f>Prevalences!AL208</f>
        <v>9.5000000000000001E-2</v>
      </c>
      <c r="P10" s="321" t="s">
        <v>2201</v>
      </c>
      <c r="Q10" s="321"/>
      <c r="R10" s="321"/>
      <c r="S10" s="139">
        <v>1</v>
      </c>
      <c r="T10">
        <v>3</v>
      </c>
      <c r="V10" s="6">
        <v>10</v>
      </c>
      <c r="Y10" t="s">
        <v>980</v>
      </c>
      <c r="Z10" t="s">
        <v>2209</v>
      </c>
    </row>
    <row r="11" spans="1:26" x14ac:dyDescent="0.35">
      <c r="A11" s="355" t="s">
        <v>2169</v>
      </c>
      <c r="B11" s="355" t="s">
        <v>2170</v>
      </c>
      <c r="C11" s="356" t="s">
        <v>2191</v>
      </c>
      <c r="D11" s="353">
        <v>10</v>
      </c>
      <c r="E11" s="64" t="s">
        <v>2200</v>
      </c>
      <c r="F11" s="321" t="s">
        <v>2195</v>
      </c>
      <c r="G11" s="321" t="s">
        <v>154</v>
      </c>
      <c r="H11" s="321" t="s">
        <v>2800</v>
      </c>
      <c r="I11" s="321" t="s">
        <v>65</v>
      </c>
      <c r="J11" s="320" t="s">
        <v>156</v>
      </c>
      <c r="K11" s="64" t="s">
        <v>980</v>
      </c>
      <c r="L11" s="321" t="s">
        <v>194</v>
      </c>
      <c r="M11" s="320" t="s">
        <v>194</v>
      </c>
      <c r="N11" s="321" t="s">
        <v>82</v>
      </c>
      <c r="O11" s="145">
        <f>Prevalences!AL217</f>
        <v>0.16600000000000001</v>
      </c>
      <c r="P11" s="321" t="s">
        <v>2201</v>
      </c>
      <c r="Q11" s="321"/>
      <c r="R11" s="321" t="s">
        <v>2207</v>
      </c>
      <c r="S11" s="139">
        <v>1</v>
      </c>
      <c r="T11">
        <v>3</v>
      </c>
      <c r="V11" s="6">
        <v>60</v>
      </c>
      <c r="Y11" t="s">
        <v>980</v>
      </c>
      <c r="Z11" t="s">
        <v>2205</v>
      </c>
    </row>
    <row r="12" spans="1:26" x14ac:dyDescent="0.35">
      <c r="A12" s="355" t="s">
        <v>2169</v>
      </c>
      <c r="B12" s="355" t="s">
        <v>2170</v>
      </c>
      <c r="C12" s="356" t="s">
        <v>2191</v>
      </c>
      <c r="D12" s="353">
        <v>11</v>
      </c>
      <c r="E12" s="64" t="s">
        <v>2208</v>
      </c>
      <c r="F12" s="321" t="s">
        <v>2196</v>
      </c>
      <c r="G12" s="321" t="s">
        <v>154</v>
      </c>
      <c r="H12" s="321" t="s">
        <v>2798</v>
      </c>
      <c r="I12" s="321" t="s">
        <v>65</v>
      </c>
      <c r="J12" s="320" t="s">
        <v>156</v>
      </c>
      <c r="K12" s="64" t="s">
        <v>980</v>
      </c>
      <c r="L12" s="321" t="s">
        <v>980</v>
      </c>
      <c r="M12" s="320" t="s">
        <v>194</v>
      </c>
      <c r="N12" s="321" t="s">
        <v>82</v>
      </c>
      <c r="O12" s="333">
        <f>O11</f>
        <v>0.16600000000000001</v>
      </c>
      <c r="P12" s="321" t="s">
        <v>2201</v>
      </c>
      <c r="Q12" s="321"/>
      <c r="R12" s="321" t="s">
        <v>2207</v>
      </c>
      <c r="S12" s="89">
        <f>S11</f>
        <v>1</v>
      </c>
      <c r="T12" s="321">
        <v>1</v>
      </c>
      <c r="V12" s="6">
        <v>10</v>
      </c>
      <c r="Y12" t="s">
        <v>980</v>
      </c>
      <c r="Z12" t="s">
        <v>2203</v>
      </c>
    </row>
    <row r="13" spans="1:26" x14ac:dyDescent="0.35">
      <c r="A13" s="355" t="s">
        <v>2169</v>
      </c>
      <c r="B13" s="355" t="s">
        <v>2170</v>
      </c>
      <c r="C13" s="356" t="s">
        <v>2212</v>
      </c>
      <c r="D13" s="353">
        <v>12</v>
      </c>
      <c r="E13" s="64" t="s">
        <v>2213</v>
      </c>
      <c r="F13" s="321" t="s">
        <v>2214</v>
      </c>
      <c r="G13" s="321" t="s">
        <v>193</v>
      </c>
      <c r="H13" s="319" t="s">
        <v>206</v>
      </c>
      <c r="I13" s="321" t="s">
        <v>194</v>
      </c>
      <c r="J13" s="320" t="s">
        <v>194</v>
      </c>
      <c r="K13" s="64" t="s">
        <v>980</v>
      </c>
      <c r="L13" s="321" t="s">
        <v>980</v>
      </c>
      <c r="M13" s="320" t="s">
        <v>980</v>
      </c>
      <c r="N13" s="321" t="s">
        <v>82</v>
      </c>
      <c r="P13" s="195" t="s">
        <v>194</v>
      </c>
      <c r="Q13" s="195"/>
      <c r="R13" s="195"/>
      <c r="S13" s="195"/>
      <c r="T13" s="195"/>
      <c r="U13" s="195"/>
      <c r="W13" s="195"/>
      <c r="X13" s="195"/>
      <c r="Y13" t="s">
        <v>980</v>
      </c>
      <c r="Z13" s="234" t="s">
        <v>2217</v>
      </c>
    </row>
    <row r="14" spans="1:26" x14ac:dyDescent="0.35">
      <c r="A14" s="355" t="s">
        <v>2169</v>
      </c>
      <c r="B14" s="355" t="s">
        <v>2170</v>
      </c>
      <c r="C14" s="356" t="s">
        <v>2212</v>
      </c>
      <c r="D14" s="353">
        <v>13</v>
      </c>
      <c r="E14" s="64" t="s">
        <v>2779</v>
      </c>
      <c r="F14" s="321" t="s">
        <v>2215</v>
      </c>
      <c r="G14" s="321" t="s">
        <v>2256</v>
      </c>
      <c r="H14" s="319" t="s">
        <v>206</v>
      </c>
      <c r="I14" s="321" t="s">
        <v>194</v>
      </c>
      <c r="J14" s="320" t="s">
        <v>156</v>
      </c>
      <c r="K14" s="64" t="s">
        <v>980</v>
      </c>
      <c r="L14" s="321" t="s">
        <v>980</v>
      </c>
      <c r="M14" s="320" t="s">
        <v>980</v>
      </c>
      <c r="N14" s="321" t="s">
        <v>82</v>
      </c>
      <c r="P14" s="195" t="s">
        <v>194</v>
      </c>
      <c r="Q14" s="195"/>
      <c r="R14" s="195"/>
      <c r="S14" s="195"/>
      <c r="T14" s="195"/>
      <c r="U14" s="195"/>
      <c r="W14" s="195"/>
      <c r="X14" s="195"/>
      <c r="Y14" t="s">
        <v>980</v>
      </c>
      <c r="Z14" t="s">
        <v>2218</v>
      </c>
    </row>
    <row r="15" spans="1:26" x14ac:dyDescent="0.35">
      <c r="A15" s="355" t="s">
        <v>2169</v>
      </c>
      <c r="B15" s="355" t="s">
        <v>2170</v>
      </c>
      <c r="C15" s="356" t="s">
        <v>2212</v>
      </c>
      <c r="D15" s="353">
        <v>14</v>
      </c>
      <c r="E15" s="64" t="s">
        <v>2780</v>
      </c>
      <c r="F15" s="321" t="s">
        <v>2216</v>
      </c>
      <c r="G15" s="321" t="s">
        <v>2256</v>
      </c>
      <c r="H15" s="319" t="s">
        <v>2798</v>
      </c>
      <c r="I15" s="321" t="s">
        <v>2248</v>
      </c>
      <c r="J15" s="320" t="s">
        <v>253</v>
      </c>
      <c r="K15" s="64" t="s">
        <v>980</v>
      </c>
      <c r="L15" s="321" t="s">
        <v>980</v>
      </c>
      <c r="M15" s="320" t="s">
        <v>980</v>
      </c>
      <c r="N15" s="321" t="s">
        <v>82</v>
      </c>
      <c r="P15" s="195" t="s">
        <v>194</v>
      </c>
      <c r="Q15" s="195"/>
      <c r="R15" s="195"/>
      <c r="S15" s="195"/>
      <c r="T15" s="195"/>
      <c r="U15" s="195"/>
      <c r="W15" s="195"/>
      <c r="X15" s="195"/>
      <c r="Y15" t="s">
        <v>980</v>
      </c>
      <c r="Z15" s="234" t="s">
        <v>2257</v>
      </c>
    </row>
    <row r="16" spans="1:26" x14ac:dyDescent="0.35">
      <c r="A16" s="355" t="s">
        <v>2169</v>
      </c>
      <c r="B16" s="356" t="s">
        <v>2219</v>
      </c>
      <c r="C16" s="356"/>
      <c r="D16" s="353">
        <v>15</v>
      </c>
      <c r="E16" s="64" t="str">
        <f>_xlfn.CONCAT("FH.MN.",D16)</f>
        <v>FH.MN.15</v>
      </c>
      <c r="F16" s="321" t="s">
        <v>295</v>
      </c>
      <c r="G16" s="321" t="s">
        <v>154</v>
      </c>
      <c r="H16" s="319" t="s">
        <v>2798</v>
      </c>
      <c r="I16" s="319" t="s">
        <v>65</v>
      </c>
      <c r="J16" s="320" t="s">
        <v>156</v>
      </c>
      <c r="K16" s="64" t="s">
        <v>980</v>
      </c>
      <c r="L16" s="321" t="s">
        <v>980</v>
      </c>
      <c r="M16" s="320" t="s">
        <v>980</v>
      </c>
      <c r="N16" s="321" t="s">
        <v>82</v>
      </c>
      <c r="O16" s="195">
        <v>1</v>
      </c>
      <c r="P16" s="195" t="s">
        <v>212</v>
      </c>
      <c r="Q16" s="321"/>
      <c r="R16" s="321"/>
      <c r="S16" s="89">
        <v>1</v>
      </c>
      <c r="T16">
        <v>2</v>
      </c>
      <c r="U16" s="195"/>
      <c r="V16" s="6">
        <v>30</v>
      </c>
      <c r="W16" s="195"/>
      <c r="X16" s="195"/>
    </row>
    <row r="17" spans="1:26" x14ac:dyDescent="0.35">
      <c r="A17" s="355" t="s">
        <v>2169</v>
      </c>
      <c r="B17" s="356" t="s">
        <v>2219</v>
      </c>
      <c r="C17" s="356"/>
      <c r="D17" s="353">
        <v>16</v>
      </c>
      <c r="E17" s="64" t="str">
        <f t="shared" ref="E17:E35" si="0">_xlfn.CONCAT("FH.MN.",D17)</f>
        <v>FH.MN.16</v>
      </c>
      <c r="F17" s="321" t="s">
        <v>2220</v>
      </c>
      <c r="G17" s="321" t="s">
        <v>154</v>
      </c>
      <c r="H17" s="319" t="s">
        <v>2798</v>
      </c>
      <c r="I17" s="319" t="s">
        <v>65</v>
      </c>
      <c r="J17" s="320" t="s">
        <v>156</v>
      </c>
      <c r="K17" s="64" t="s">
        <v>980</v>
      </c>
      <c r="L17" s="321" t="s">
        <v>980</v>
      </c>
      <c r="M17" s="320" t="s">
        <v>194</v>
      </c>
      <c r="N17" s="321" t="s">
        <v>82</v>
      </c>
      <c r="O17" s="195">
        <v>1</v>
      </c>
      <c r="P17" s="195" t="s">
        <v>212</v>
      </c>
      <c r="Q17" s="321"/>
      <c r="R17" s="321"/>
      <c r="S17" s="89">
        <v>1</v>
      </c>
      <c r="T17" s="195"/>
      <c r="U17" s="195"/>
      <c r="W17" s="195"/>
      <c r="X17" s="195"/>
      <c r="Z17" t="s">
        <v>2237</v>
      </c>
    </row>
    <row r="18" spans="1:26" x14ac:dyDescent="0.35">
      <c r="A18" s="355" t="s">
        <v>2169</v>
      </c>
      <c r="B18" s="356" t="s">
        <v>2219</v>
      </c>
      <c r="C18" s="356"/>
      <c r="D18" s="353">
        <v>17</v>
      </c>
      <c r="E18" s="64" t="str">
        <f t="shared" si="0"/>
        <v>FH.MN.17</v>
      </c>
      <c r="F18" s="321" t="s">
        <v>2221</v>
      </c>
      <c r="G18" s="321" t="s">
        <v>154</v>
      </c>
      <c r="H18" s="319" t="s">
        <v>2798</v>
      </c>
      <c r="I18" s="319" t="s">
        <v>65</v>
      </c>
      <c r="J18" s="320" t="s">
        <v>156</v>
      </c>
      <c r="K18" s="64" t="s">
        <v>980</v>
      </c>
      <c r="L18" s="321" t="s">
        <v>980</v>
      </c>
      <c r="M18" s="320" t="s">
        <v>980</v>
      </c>
      <c r="N18" s="321" t="s">
        <v>82</v>
      </c>
      <c r="O18" s="195">
        <v>1</v>
      </c>
      <c r="P18" s="195" t="s">
        <v>212</v>
      </c>
      <c r="Q18" s="321"/>
      <c r="R18" s="321"/>
      <c r="S18" s="89">
        <v>1</v>
      </c>
      <c r="T18" s="195"/>
      <c r="U18" s="195"/>
      <c r="W18" s="195"/>
      <c r="X18" s="195"/>
      <c r="Z18" t="s">
        <v>2237</v>
      </c>
    </row>
    <row r="19" spans="1:26" x14ac:dyDescent="0.35">
      <c r="A19" s="355" t="s">
        <v>2169</v>
      </c>
      <c r="B19" s="356" t="s">
        <v>2219</v>
      </c>
      <c r="C19" s="356"/>
      <c r="D19" s="353">
        <v>18</v>
      </c>
      <c r="E19" s="64" t="str">
        <f t="shared" si="0"/>
        <v>FH.MN.18</v>
      </c>
      <c r="F19" s="321" t="s">
        <v>2222</v>
      </c>
      <c r="G19" s="321" t="s">
        <v>154</v>
      </c>
      <c r="H19" s="319" t="s">
        <v>2799</v>
      </c>
      <c r="I19" s="319" t="s">
        <v>67</v>
      </c>
      <c r="J19" s="320" t="s">
        <v>156</v>
      </c>
      <c r="K19" s="64" t="s">
        <v>980</v>
      </c>
      <c r="L19" s="321" t="s">
        <v>980</v>
      </c>
      <c r="M19" s="320" t="s">
        <v>980</v>
      </c>
      <c r="N19" s="321" t="s">
        <v>82</v>
      </c>
      <c r="O19" s="195">
        <v>1</v>
      </c>
      <c r="P19" s="195" t="s">
        <v>212</v>
      </c>
      <c r="Q19" s="321"/>
      <c r="R19" s="321"/>
      <c r="S19" s="89">
        <v>1</v>
      </c>
      <c r="T19" s="195"/>
      <c r="U19" s="195"/>
      <c r="W19" s="195"/>
      <c r="X19" s="195"/>
      <c r="Z19" t="s">
        <v>2237</v>
      </c>
    </row>
    <row r="20" spans="1:26" x14ac:dyDescent="0.35">
      <c r="A20" s="355" t="s">
        <v>2169</v>
      </c>
      <c r="B20" s="356" t="s">
        <v>2219</v>
      </c>
      <c r="C20" s="356"/>
      <c r="D20" s="353">
        <v>19</v>
      </c>
      <c r="F20" s="321" t="s">
        <v>2223</v>
      </c>
      <c r="G20" s="321" t="s">
        <v>154</v>
      </c>
      <c r="H20" s="319" t="s">
        <v>2800</v>
      </c>
      <c r="I20" s="319" t="s">
        <v>67</v>
      </c>
      <c r="J20" s="320" t="s">
        <v>169</v>
      </c>
      <c r="K20" s="64" t="s">
        <v>980</v>
      </c>
      <c r="L20" s="321" t="s">
        <v>980</v>
      </c>
      <c r="M20" s="320" t="s">
        <v>980</v>
      </c>
      <c r="N20" s="321" t="s">
        <v>82</v>
      </c>
      <c r="P20" s="195" t="s">
        <v>194</v>
      </c>
      <c r="Q20" s="195"/>
      <c r="R20" s="195"/>
      <c r="S20" s="195"/>
      <c r="T20" s="195"/>
      <c r="U20" s="195"/>
      <c r="W20" s="195"/>
      <c r="X20" s="195"/>
      <c r="Z20" s="195" t="s">
        <v>2236</v>
      </c>
    </row>
    <row r="21" spans="1:26" x14ac:dyDescent="0.35">
      <c r="A21" s="355" t="s">
        <v>2169</v>
      </c>
      <c r="B21" s="356" t="s">
        <v>2219</v>
      </c>
      <c r="C21" s="356"/>
      <c r="D21" s="353">
        <v>19</v>
      </c>
      <c r="E21" s="64" t="s">
        <v>2231</v>
      </c>
      <c r="F21" s="58" t="s">
        <v>2238</v>
      </c>
      <c r="G21" s="321" t="s">
        <v>154</v>
      </c>
      <c r="H21" s="319" t="s">
        <v>2800</v>
      </c>
      <c r="I21" s="319" t="s">
        <v>67</v>
      </c>
      <c r="J21" s="320" t="s">
        <v>169</v>
      </c>
      <c r="K21" s="64" t="s">
        <v>980</v>
      </c>
      <c r="L21" s="321" t="s">
        <v>980</v>
      </c>
      <c r="M21" s="320" t="s">
        <v>980</v>
      </c>
      <c r="N21" s="374" t="s">
        <v>82</v>
      </c>
      <c r="O21" s="130">
        <v>2</v>
      </c>
      <c r="P21" t="s">
        <v>2235</v>
      </c>
      <c r="Q21" s="195"/>
      <c r="R21" s="195"/>
      <c r="S21" s="130">
        <v>0.98</v>
      </c>
      <c r="T21" s="58">
        <v>1</v>
      </c>
      <c r="U21" s="195"/>
      <c r="V21" s="340">
        <v>5</v>
      </c>
      <c r="W21" s="195"/>
      <c r="X21" s="195"/>
    </row>
    <row r="22" spans="1:26" x14ac:dyDescent="0.35">
      <c r="A22" s="355" t="s">
        <v>2169</v>
      </c>
      <c r="B22" s="356" t="s">
        <v>2219</v>
      </c>
      <c r="C22" s="356"/>
      <c r="D22" s="353">
        <v>19</v>
      </c>
      <c r="E22" s="64" t="s">
        <v>2233</v>
      </c>
      <c r="F22" s="58" t="s">
        <v>171</v>
      </c>
      <c r="G22" s="321" t="s">
        <v>154</v>
      </c>
      <c r="H22" s="319" t="s">
        <v>2800</v>
      </c>
      <c r="I22" s="319" t="s">
        <v>67</v>
      </c>
      <c r="J22" s="320" t="s">
        <v>169</v>
      </c>
      <c r="K22" s="64" t="s">
        <v>980</v>
      </c>
      <c r="L22" s="321" t="s">
        <v>980</v>
      </c>
      <c r="M22" s="320" t="s">
        <v>980</v>
      </c>
      <c r="N22" s="374" t="s">
        <v>82</v>
      </c>
      <c r="O22" s="58">
        <f>5-O21</f>
        <v>3</v>
      </c>
      <c r="P22" t="s">
        <v>2235</v>
      </c>
      <c r="Q22" s="195"/>
      <c r="R22" s="195"/>
      <c r="S22" s="130">
        <v>0.98</v>
      </c>
      <c r="T22" s="58">
        <v>1</v>
      </c>
      <c r="U22" s="195"/>
      <c r="V22" s="340">
        <v>5</v>
      </c>
      <c r="W22" s="195"/>
      <c r="X22" s="195"/>
    </row>
    <row r="23" spans="1:26" x14ac:dyDescent="0.35">
      <c r="A23" s="355" t="s">
        <v>2169</v>
      </c>
      <c r="B23" s="356" t="s">
        <v>2219</v>
      </c>
      <c r="C23" s="356"/>
      <c r="D23" s="353">
        <v>19</v>
      </c>
      <c r="E23" s="64" t="s">
        <v>2234</v>
      </c>
      <c r="F23" s="58" t="s">
        <v>173</v>
      </c>
      <c r="G23" s="321" t="s">
        <v>154</v>
      </c>
      <c r="H23" s="319" t="s">
        <v>2800</v>
      </c>
      <c r="I23" s="319" t="s">
        <v>67</v>
      </c>
      <c r="J23" s="320" t="s">
        <v>169</v>
      </c>
      <c r="K23" s="64" t="s">
        <v>980</v>
      </c>
      <c r="L23" s="321" t="s">
        <v>980</v>
      </c>
      <c r="M23" s="320" t="s">
        <v>980</v>
      </c>
      <c r="N23" s="321" t="s">
        <v>82</v>
      </c>
      <c r="O23" s="257">
        <f>Prevalences!G8</f>
        <v>0.46089999999999998</v>
      </c>
      <c r="P23" t="s">
        <v>1868</v>
      </c>
      <c r="Q23" s="195"/>
      <c r="R23" s="195"/>
      <c r="S23" s="130">
        <v>0.98</v>
      </c>
      <c r="T23" s="58">
        <v>2</v>
      </c>
      <c r="U23" s="195"/>
      <c r="V23" s="340">
        <v>5</v>
      </c>
      <c r="W23" s="195"/>
      <c r="X23" s="195"/>
    </row>
    <row r="24" spans="1:26" x14ac:dyDescent="0.35">
      <c r="A24" s="355" t="s">
        <v>2169</v>
      </c>
      <c r="B24" s="356" t="s">
        <v>2219</v>
      </c>
      <c r="C24" s="356"/>
      <c r="D24" s="353">
        <v>20</v>
      </c>
      <c r="E24" s="64" t="str">
        <f t="shared" si="0"/>
        <v>FH.MN.20</v>
      </c>
      <c r="F24" s="321" t="s">
        <v>2224</v>
      </c>
      <c r="G24" s="321" t="s">
        <v>154</v>
      </c>
      <c r="H24" s="319" t="s">
        <v>2800</v>
      </c>
      <c r="I24" s="319" t="s">
        <v>67</v>
      </c>
      <c r="J24" s="320" t="s">
        <v>169</v>
      </c>
      <c r="K24" s="64" t="s">
        <v>980</v>
      </c>
      <c r="L24" s="321" t="s">
        <v>194</v>
      </c>
      <c r="M24" s="320" t="s">
        <v>194</v>
      </c>
      <c r="N24" s="321" t="s">
        <v>82</v>
      </c>
      <c r="O24" s="373"/>
      <c r="P24" s="321" t="s">
        <v>212</v>
      </c>
      <c r="Q24" s="195"/>
      <c r="R24" s="195"/>
      <c r="S24" s="89">
        <v>1</v>
      </c>
      <c r="T24" s="58">
        <v>1</v>
      </c>
      <c r="U24" s="195"/>
      <c r="V24" s="340">
        <v>15</v>
      </c>
      <c r="W24" s="195"/>
      <c r="X24" s="195"/>
      <c r="Y24" s="195" t="s">
        <v>980</v>
      </c>
      <c r="Z24" s="338" t="s">
        <v>2239</v>
      </c>
    </row>
    <row r="25" spans="1:26" x14ac:dyDescent="0.35">
      <c r="A25" s="355" t="s">
        <v>2169</v>
      </c>
      <c r="B25" s="356" t="s">
        <v>2219</v>
      </c>
      <c r="C25" s="356"/>
      <c r="D25" s="353">
        <v>21</v>
      </c>
      <c r="E25" s="64" t="s">
        <v>2232</v>
      </c>
      <c r="F25" s="321" t="s">
        <v>2230</v>
      </c>
      <c r="G25" s="321" t="s">
        <v>154</v>
      </c>
      <c r="H25" s="321" t="s">
        <v>2798</v>
      </c>
      <c r="I25" s="321" t="s">
        <v>70</v>
      </c>
      <c r="J25" s="320" t="s">
        <v>169</v>
      </c>
      <c r="K25" s="64" t="str">
        <f>K26</f>
        <v>Yes</v>
      </c>
      <c r="L25" s="321" t="str">
        <f t="shared" ref="L25:M25" si="1">L26</f>
        <v>Yes</v>
      </c>
      <c r="M25" s="320" t="str">
        <f t="shared" si="1"/>
        <v>-</v>
      </c>
      <c r="N25" s="321" t="s">
        <v>82</v>
      </c>
      <c r="O25" s="195">
        <v>1</v>
      </c>
      <c r="P25" s="321" t="s">
        <v>212</v>
      </c>
      <c r="Q25" s="195"/>
      <c r="R25" s="195"/>
      <c r="S25" s="89">
        <v>1</v>
      </c>
      <c r="T25" s="195">
        <v>3</v>
      </c>
      <c r="V25" s="340">
        <v>5</v>
      </c>
      <c r="W25" s="195"/>
      <c r="X25" s="195"/>
      <c r="Z25" t="s">
        <v>2240</v>
      </c>
    </row>
    <row r="26" spans="1:26" x14ac:dyDescent="0.35">
      <c r="A26" s="355" t="s">
        <v>2169</v>
      </c>
      <c r="B26" s="356" t="s">
        <v>2219</v>
      </c>
      <c r="C26" s="356"/>
      <c r="D26" s="353">
        <v>21</v>
      </c>
      <c r="E26" s="64" t="str">
        <f t="shared" si="0"/>
        <v>FH.MN.21</v>
      </c>
      <c r="F26" s="321" t="s">
        <v>2226</v>
      </c>
      <c r="G26" s="321" t="s">
        <v>154</v>
      </c>
      <c r="H26" s="319" t="s">
        <v>2800</v>
      </c>
      <c r="I26" s="319" t="s">
        <v>70</v>
      </c>
      <c r="J26" s="320" t="s">
        <v>169</v>
      </c>
      <c r="K26" s="64" t="s">
        <v>980</v>
      </c>
      <c r="L26" s="321" t="s">
        <v>980</v>
      </c>
      <c r="M26" s="320" t="s">
        <v>194</v>
      </c>
      <c r="N26" s="374" t="s">
        <v>82</v>
      </c>
      <c r="O26" s="195">
        <f>O27/10</f>
        <v>4.8500000000000001E-2</v>
      </c>
      <c r="P26" s="321" t="s">
        <v>2201</v>
      </c>
      <c r="Q26" s="195"/>
      <c r="R26" s="195"/>
      <c r="S26" s="130">
        <v>0.98</v>
      </c>
      <c r="T26" s="58">
        <v>4</v>
      </c>
      <c r="U26" s="195"/>
      <c r="V26" s="340">
        <v>5</v>
      </c>
      <c r="W26" s="195"/>
      <c r="X26" s="195"/>
    </row>
    <row r="27" spans="1:26" x14ac:dyDescent="0.35">
      <c r="A27" s="355" t="s">
        <v>2169</v>
      </c>
      <c r="B27" s="356" t="s">
        <v>2219</v>
      </c>
      <c r="C27" s="356"/>
      <c r="D27" s="353">
        <v>22</v>
      </c>
      <c r="E27" s="64" t="str">
        <f t="shared" si="0"/>
        <v>FH.MN.22</v>
      </c>
      <c r="F27" s="321" t="s">
        <v>2225</v>
      </c>
      <c r="G27" s="321" t="s">
        <v>154</v>
      </c>
      <c r="H27" s="319" t="s">
        <v>2800</v>
      </c>
      <c r="I27" s="319" t="s">
        <v>70</v>
      </c>
      <c r="J27" s="320" t="s">
        <v>169</v>
      </c>
      <c r="K27" s="64" t="s">
        <v>980</v>
      </c>
      <c r="L27" s="321" t="s">
        <v>980</v>
      </c>
      <c r="M27" s="320" t="s">
        <v>194</v>
      </c>
      <c r="N27" s="374" t="s">
        <v>82</v>
      </c>
      <c r="O27" s="195">
        <f>Prevalences!AA166</f>
        <v>0.48499999999999999</v>
      </c>
      <c r="P27" s="321" t="s">
        <v>2201</v>
      </c>
      <c r="Q27" s="195"/>
      <c r="R27" s="195"/>
      <c r="S27" s="130">
        <v>0.98</v>
      </c>
      <c r="T27" s="58">
        <v>2</v>
      </c>
      <c r="U27" s="195"/>
      <c r="V27" s="340">
        <v>5</v>
      </c>
      <c r="W27" s="195"/>
      <c r="X27" s="195"/>
    </row>
    <row r="28" spans="1:26" x14ac:dyDescent="0.35">
      <c r="A28" s="355" t="s">
        <v>2169</v>
      </c>
      <c r="B28" s="356" t="s">
        <v>2219</v>
      </c>
      <c r="C28" s="356"/>
      <c r="D28" s="353">
        <v>23</v>
      </c>
      <c r="E28" s="64" t="str">
        <f t="shared" si="0"/>
        <v>FH.MN.23</v>
      </c>
      <c r="F28" s="321" t="s">
        <v>2227</v>
      </c>
      <c r="G28" s="321" t="s">
        <v>154</v>
      </c>
      <c r="H28" s="321" t="s">
        <v>2798</v>
      </c>
      <c r="I28" s="319" t="s">
        <v>70</v>
      </c>
      <c r="J28" s="320" t="s">
        <v>169</v>
      </c>
      <c r="K28" s="64" t="s">
        <v>980</v>
      </c>
      <c r="L28" s="321" t="s">
        <v>980</v>
      </c>
      <c r="M28" s="320" t="s">
        <v>980</v>
      </c>
      <c r="N28" s="321" t="s">
        <v>82</v>
      </c>
      <c r="O28" s="195">
        <v>1</v>
      </c>
      <c r="P28" t="s">
        <v>212</v>
      </c>
      <c r="Q28" s="195"/>
      <c r="R28" s="195"/>
      <c r="S28" s="89">
        <v>1</v>
      </c>
      <c r="U28">
        <v>2</v>
      </c>
      <c r="V28" s="6">
        <v>5</v>
      </c>
      <c r="W28" s="195"/>
      <c r="X28" s="195"/>
      <c r="Y28" s="195" t="s">
        <v>980</v>
      </c>
    </row>
    <row r="29" spans="1:26" x14ac:dyDescent="0.35">
      <c r="A29" s="355" t="s">
        <v>2169</v>
      </c>
      <c r="B29" s="356" t="s">
        <v>2219</v>
      </c>
      <c r="C29" s="356"/>
      <c r="D29" s="353">
        <v>24</v>
      </c>
      <c r="E29" s="64" t="str">
        <f t="shared" si="0"/>
        <v>FH.MN.24</v>
      </c>
      <c r="F29" s="321" t="s">
        <v>2228</v>
      </c>
      <c r="G29" s="321" t="s">
        <v>154</v>
      </c>
      <c r="H29" s="321" t="s">
        <v>2800</v>
      </c>
      <c r="I29" s="321" t="s">
        <v>67</v>
      </c>
      <c r="J29" s="320" t="s">
        <v>169</v>
      </c>
      <c r="K29" s="64" t="s">
        <v>980</v>
      </c>
      <c r="L29" s="321" t="s">
        <v>980</v>
      </c>
      <c r="M29" s="320" t="s">
        <v>980</v>
      </c>
      <c r="N29" s="321" t="s">
        <v>82</v>
      </c>
      <c r="O29" s="195">
        <f>PopValues!B10/1000</f>
        <v>3.5500000000000006E-3</v>
      </c>
      <c r="P29" s="321" t="s">
        <v>376</v>
      </c>
      <c r="Q29" s="195"/>
      <c r="R29" s="195"/>
      <c r="S29" s="89">
        <f>PopValues!C10</f>
        <v>0.95480225988700573</v>
      </c>
      <c r="T29" s="58">
        <v>1</v>
      </c>
      <c r="U29" s="195"/>
      <c r="V29" s="340">
        <v>15</v>
      </c>
      <c r="W29" s="195"/>
      <c r="X29" s="195"/>
      <c r="Y29" t="s">
        <v>980</v>
      </c>
      <c r="Z29" s="338" t="s">
        <v>2239</v>
      </c>
    </row>
    <row r="30" spans="1:26" x14ac:dyDescent="0.35">
      <c r="A30" s="355" t="s">
        <v>2169</v>
      </c>
      <c r="B30" s="356" t="s">
        <v>2219</v>
      </c>
      <c r="C30" s="356"/>
      <c r="D30" s="353">
        <v>25</v>
      </c>
      <c r="E30" s="64" t="str">
        <f t="shared" si="0"/>
        <v>FH.MN.25</v>
      </c>
      <c r="F30" s="321" t="s">
        <v>2229</v>
      </c>
      <c r="G30" s="321" t="s">
        <v>154</v>
      </c>
      <c r="H30" s="321" t="s">
        <v>2800</v>
      </c>
      <c r="I30" s="321" t="s">
        <v>67</v>
      </c>
      <c r="J30" s="320" t="s">
        <v>169</v>
      </c>
      <c r="K30" s="64" t="s">
        <v>980</v>
      </c>
      <c r="L30" s="321" t="s">
        <v>980</v>
      </c>
      <c r="M30" s="320" t="s">
        <v>194</v>
      </c>
      <c r="N30" s="321" t="s">
        <v>82</v>
      </c>
      <c r="O30" s="373"/>
      <c r="P30" s="321" t="s">
        <v>2201</v>
      </c>
      <c r="Q30" s="195"/>
      <c r="R30" s="195"/>
      <c r="S30" s="130">
        <v>0.98</v>
      </c>
      <c r="T30" s="58">
        <v>1</v>
      </c>
      <c r="U30" s="195"/>
      <c r="V30" s="340">
        <v>10</v>
      </c>
      <c r="W30" s="195"/>
      <c r="X30" s="195"/>
      <c r="Y30" t="s">
        <v>980</v>
      </c>
      <c r="Z30" s="195" t="s">
        <v>2242</v>
      </c>
    </row>
    <row r="31" spans="1:26" x14ac:dyDescent="0.35">
      <c r="A31" s="355" t="s">
        <v>2169</v>
      </c>
      <c r="B31" s="356" t="s">
        <v>2219</v>
      </c>
      <c r="C31" s="356"/>
      <c r="D31" s="354">
        <v>26</v>
      </c>
      <c r="E31" s="344"/>
      <c r="F31" s="345" t="s">
        <v>2244</v>
      </c>
      <c r="G31" s="321"/>
      <c r="H31" s="321"/>
      <c r="I31" s="321"/>
      <c r="L31" s="321"/>
      <c r="N31" s="321" t="s">
        <v>82</v>
      </c>
      <c r="O31" s="335"/>
      <c r="P31" s="321"/>
      <c r="Q31" s="195"/>
      <c r="R31" s="195"/>
      <c r="S31" s="195"/>
      <c r="T31" s="58"/>
      <c r="U31" s="195"/>
      <c r="V31" s="340"/>
      <c r="W31" s="195"/>
      <c r="X31" s="195"/>
      <c r="Z31" s="195"/>
    </row>
    <row r="32" spans="1:26" x14ac:dyDescent="0.35">
      <c r="A32" s="355" t="s">
        <v>2169</v>
      </c>
      <c r="B32" s="356" t="s">
        <v>2219</v>
      </c>
      <c r="C32" s="356"/>
      <c r="D32" s="354">
        <v>27</v>
      </c>
      <c r="E32" s="344"/>
      <c r="F32" s="345" t="s">
        <v>2244</v>
      </c>
      <c r="G32" s="321"/>
      <c r="H32" s="321"/>
      <c r="I32" s="321"/>
      <c r="L32" s="321"/>
      <c r="N32" s="321" t="s">
        <v>82</v>
      </c>
      <c r="O32" s="335"/>
      <c r="P32" s="321"/>
      <c r="Q32" s="195"/>
      <c r="R32" s="195"/>
      <c r="S32" s="195"/>
      <c r="T32" s="58"/>
      <c r="U32" s="195"/>
      <c r="V32" s="340"/>
      <c r="W32" s="195"/>
      <c r="X32" s="195"/>
      <c r="Z32" s="195"/>
    </row>
    <row r="33" spans="1:26" x14ac:dyDescent="0.35">
      <c r="A33" s="355" t="s">
        <v>2169</v>
      </c>
      <c r="B33" s="356" t="s">
        <v>2219</v>
      </c>
      <c r="C33" s="356"/>
      <c r="D33" s="353">
        <v>28</v>
      </c>
      <c r="E33" s="64" t="str">
        <f t="shared" si="0"/>
        <v>FH.MN.28</v>
      </c>
      <c r="F33" s="321" t="s">
        <v>2245</v>
      </c>
      <c r="G33" s="321" t="s">
        <v>154</v>
      </c>
      <c r="H33" s="321" t="s">
        <v>2800</v>
      </c>
      <c r="I33" s="321" t="s">
        <v>67</v>
      </c>
      <c r="J33" s="320" t="s">
        <v>2439</v>
      </c>
      <c r="K33" s="64" t="s">
        <v>980</v>
      </c>
      <c r="L33" s="321" t="s">
        <v>980</v>
      </c>
      <c r="M33" s="320" t="s">
        <v>194</v>
      </c>
      <c r="N33" s="321" t="s">
        <v>82</v>
      </c>
      <c r="O33" s="145">
        <f>Prevalences!AI240</f>
        <v>0.14499999999999999</v>
      </c>
      <c r="P33" s="321" t="s">
        <v>2442</v>
      </c>
      <c r="Q33" s="195"/>
      <c r="R33" s="195"/>
      <c r="S33" s="130">
        <v>0.98</v>
      </c>
      <c r="T33" s="58">
        <v>1</v>
      </c>
      <c r="U33" s="195"/>
      <c r="V33" s="340">
        <v>5</v>
      </c>
      <c r="W33" s="195"/>
      <c r="X33" s="195"/>
      <c r="Y33" s="195" t="s">
        <v>980</v>
      </c>
      <c r="Z33" s="195"/>
    </row>
    <row r="34" spans="1:26" x14ac:dyDescent="0.35">
      <c r="A34" s="355" t="s">
        <v>2169</v>
      </c>
      <c r="B34" s="356" t="s">
        <v>2219</v>
      </c>
      <c r="C34" s="356"/>
      <c r="D34" s="353">
        <v>29</v>
      </c>
      <c r="E34" s="64" t="str">
        <f t="shared" si="0"/>
        <v>FH.MN.29</v>
      </c>
      <c r="F34" s="321" t="s">
        <v>2246</v>
      </c>
      <c r="G34" s="321" t="s">
        <v>2256</v>
      </c>
      <c r="H34" s="319" t="s">
        <v>206</v>
      </c>
      <c r="I34" s="321" t="s">
        <v>194</v>
      </c>
      <c r="J34" s="320" t="s">
        <v>2440</v>
      </c>
      <c r="K34" s="64" t="s">
        <v>980</v>
      </c>
      <c r="L34" s="321" t="s">
        <v>980</v>
      </c>
      <c r="M34" s="320" t="s">
        <v>980</v>
      </c>
      <c r="N34" s="321" t="s">
        <v>82</v>
      </c>
      <c r="O34" s="362">
        <f>Prevalences!AL255</f>
        <v>0.1</v>
      </c>
      <c r="P34" s="321" t="s">
        <v>1868</v>
      </c>
      <c r="Q34" s="195"/>
      <c r="R34" s="195"/>
      <c r="S34" s="147">
        <v>1</v>
      </c>
      <c r="T34" s="58">
        <v>2</v>
      </c>
      <c r="U34" s="195"/>
      <c r="V34" s="340">
        <v>15</v>
      </c>
      <c r="W34" s="195"/>
      <c r="X34" s="195"/>
      <c r="Y34" s="195" t="s">
        <v>980</v>
      </c>
      <c r="Z34" s="338" t="s">
        <v>2516</v>
      </c>
    </row>
    <row r="35" spans="1:26" x14ac:dyDescent="0.35">
      <c r="A35" s="355" t="s">
        <v>2169</v>
      </c>
      <c r="B35" s="356" t="s">
        <v>2219</v>
      </c>
      <c r="C35" s="356"/>
      <c r="D35" s="353">
        <v>30</v>
      </c>
      <c r="E35" s="64" t="str">
        <f t="shared" si="0"/>
        <v>FH.MN.30</v>
      </c>
      <c r="F35" s="321" t="s">
        <v>2247</v>
      </c>
      <c r="G35" s="321" t="s">
        <v>2256</v>
      </c>
      <c r="H35" s="319" t="s">
        <v>206</v>
      </c>
      <c r="I35" s="321" t="s">
        <v>194</v>
      </c>
      <c r="J35" s="320" t="s">
        <v>209</v>
      </c>
      <c r="K35" s="64" t="s">
        <v>980</v>
      </c>
      <c r="L35" s="321" t="s">
        <v>980</v>
      </c>
      <c r="M35" s="320" t="s">
        <v>980</v>
      </c>
      <c r="N35" s="321" t="s">
        <v>82</v>
      </c>
      <c r="O35" s="373"/>
      <c r="P35" s="321" t="s">
        <v>1868</v>
      </c>
      <c r="Q35" s="195"/>
      <c r="R35" s="195"/>
      <c r="S35" s="147">
        <v>1</v>
      </c>
      <c r="T35" s="58">
        <v>2</v>
      </c>
      <c r="U35" s="195"/>
      <c r="V35" s="340">
        <v>15</v>
      </c>
      <c r="W35" s="195"/>
      <c r="X35" s="195"/>
      <c r="Y35" s="195" t="s">
        <v>980</v>
      </c>
      <c r="Z35" s="338" t="s">
        <v>2515</v>
      </c>
    </row>
    <row r="36" spans="1:26" x14ac:dyDescent="0.35">
      <c r="A36" s="355" t="s">
        <v>2169</v>
      </c>
      <c r="B36" s="356" t="s">
        <v>2243</v>
      </c>
      <c r="C36" s="356"/>
      <c r="D36" s="353">
        <v>31</v>
      </c>
      <c r="E36" s="64" t="s">
        <v>2261</v>
      </c>
      <c r="F36" s="321" t="s">
        <v>2249</v>
      </c>
      <c r="G36" s="321" t="s">
        <v>2256</v>
      </c>
      <c r="H36" s="321" t="s">
        <v>206</v>
      </c>
      <c r="I36" s="321" t="s">
        <v>68</v>
      </c>
      <c r="J36" s="320" t="s">
        <v>194</v>
      </c>
      <c r="K36" s="64" t="s">
        <v>980</v>
      </c>
      <c r="L36" s="319" t="s">
        <v>980</v>
      </c>
      <c r="M36" s="320" t="s">
        <v>980</v>
      </c>
      <c r="N36" s="321" t="s">
        <v>82</v>
      </c>
      <c r="P36" s="195" t="s">
        <v>194</v>
      </c>
      <c r="Q36" s="195"/>
      <c r="R36" s="195"/>
      <c r="S36" s="195"/>
      <c r="T36" s="195"/>
      <c r="U36" s="195"/>
      <c r="W36" s="195"/>
      <c r="X36" s="195"/>
      <c r="Z36" s="234" t="s">
        <v>2257</v>
      </c>
    </row>
    <row r="37" spans="1:26" x14ac:dyDescent="0.35">
      <c r="A37" s="355" t="s">
        <v>2169</v>
      </c>
      <c r="B37" s="356" t="s">
        <v>2243</v>
      </c>
      <c r="C37" s="356"/>
      <c r="D37" s="353">
        <v>32</v>
      </c>
      <c r="F37" s="321" t="s">
        <v>2250</v>
      </c>
      <c r="G37" s="319" t="s">
        <v>154</v>
      </c>
      <c r="H37" s="319" t="s">
        <v>2798</v>
      </c>
      <c r="I37" s="319" t="s">
        <v>68</v>
      </c>
      <c r="J37" s="320" t="s">
        <v>194</v>
      </c>
      <c r="K37" s="64" t="s">
        <v>980</v>
      </c>
      <c r="L37" s="319" t="s">
        <v>980</v>
      </c>
      <c r="M37" s="320" t="s">
        <v>980</v>
      </c>
      <c r="N37" s="321" t="s">
        <v>82</v>
      </c>
      <c r="P37" s="195" t="s">
        <v>194</v>
      </c>
      <c r="Q37" s="195"/>
      <c r="R37" s="195"/>
      <c r="S37" s="195"/>
      <c r="T37" s="195"/>
      <c r="U37" s="195"/>
      <c r="W37" s="195"/>
      <c r="X37" s="195"/>
      <c r="Z37" s="342" t="s">
        <v>2258</v>
      </c>
    </row>
    <row r="38" spans="1:26" x14ac:dyDescent="0.35">
      <c r="A38" s="355" t="s">
        <v>2169</v>
      </c>
      <c r="B38" s="356" t="s">
        <v>2243</v>
      </c>
      <c r="C38" s="356"/>
      <c r="D38" s="353">
        <v>32</v>
      </c>
      <c r="E38" s="64" t="s">
        <v>2267</v>
      </c>
      <c r="F38" s="319" t="s">
        <v>176</v>
      </c>
      <c r="G38" s="319" t="s">
        <v>154</v>
      </c>
      <c r="H38" s="319" t="s">
        <v>2798</v>
      </c>
      <c r="I38" s="319" t="s">
        <v>68</v>
      </c>
      <c r="J38" s="320" t="s">
        <v>156</v>
      </c>
      <c r="K38" s="64" t="s">
        <v>980</v>
      </c>
      <c r="L38" s="319" t="s">
        <v>980</v>
      </c>
      <c r="M38" s="320" t="s">
        <v>980</v>
      </c>
      <c r="N38" s="321" t="s">
        <v>82</v>
      </c>
      <c r="P38" s="195" t="s">
        <v>194</v>
      </c>
      <c r="Q38" s="195"/>
      <c r="R38" s="195"/>
      <c r="S38"/>
      <c r="W38" s="195"/>
      <c r="X38" s="195"/>
      <c r="Z38" s="342" t="s">
        <v>467</v>
      </c>
    </row>
    <row r="39" spans="1:26" x14ac:dyDescent="0.35">
      <c r="A39" s="355" t="s">
        <v>2169</v>
      </c>
      <c r="B39" s="356" t="s">
        <v>2243</v>
      </c>
      <c r="C39" s="356"/>
      <c r="D39" s="353">
        <v>32</v>
      </c>
      <c r="E39" s="64" t="s">
        <v>2268</v>
      </c>
      <c r="F39" s="319" t="s">
        <v>178</v>
      </c>
      <c r="G39" s="319" t="s">
        <v>154</v>
      </c>
      <c r="H39" s="319" t="s">
        <v>2798</v>
      </c>
      <c r="I39" s="319" t="s">
        <v>68</v>
      </c>
      <c r="J39" s="320" t="s">
        <v>179</v>
      </c>
      <c r="K39" s="64" t="s">
        <v>980</v>
      </c>
      <c r="L39" s="319" t="s">
        <v>980</v>
      </c>
      <c r="M39" s="320" t="s">
        <v>980</v>
      </c>
      <c r="N39" s="321" t="s">
        <v>82</v>
      </c>
      <c r="O39" s="195">
        <v>1</v>
      </c>
      <c r="P39" s="195" t="s">
        <v>212</v>
      </c>
      <c r="Q39" s="195"/>
      <c r="R39" s="195"/>
      <c r="S39">
        <v>1</v>
      </c>
      <c r="T39">
        <v>4</v>
      </c>
      <c r="V39" s="6">
        <v>5</v>
      </c>
      <c r="W39" s="195"/>
      <c r="X39" s="195"/>
      <c r="Z39" s="234"/>
    </row>
    <row r="40" spans="1:26" x14ac:dyDescent="0.35">
      <c r="A40" s="355" t="s">
        <v>2169</v>
      </c>
      <c r="B40" s="356" t="s">
        <v>2243</v>
      </c>
      <c r="C40" s="356"/>
      <c r="D40" s="353">
        <v>32</v>
      </c>
      <c r="E40" s="64" t="s">
        <v>2269</v>
      </c>
      <c r="F40" s="319" t="s">
        <v>181</v>
      </c>
      <c r="G40" s="319" t="s">
        <v>154</v>
      </c>
      <c r="H40" s="319" t="s">
        <v>2798</v>
      </c>
      <c r="I40" s="319" t="s">
        <v>68</v>
      </c>
      <c r="J40" s="320" t="s">
        <v>182</v>
      </c>
      <c r="K40" s="64" t="s">
        <v>980</v>
      </c>
      <c r="L40" s="319" t="s">
        <v>980</v>
      </c>
      <c r="M40" s="320" t="s">
        <v>980</v>
      </c>
      <c r="N40" s="321" t="s">
        <v>82</v>
      </c>
      <c r="O40" s="195">
        <v>1</v>
      </c>
      <c r="P40" s="195" t="s">
        <v>212</v>
      </c>
      <c r="Q40" s="195"/>
      <c r="R40" s="195"/>
      <c r="S40">
        <v>1</v>
      </c>
      <c r="T40">
        <v>1</v>
      </c>
      <c r="V40" s="6">
        <v>5</v>
      </c>
      <c r="W40" s="195"/>
      <c r="X40" s="195"/>
      <c r="Z40" s="234"/>
    </row>
    <row r="41" spans="1:26" x14ac:dyDescent="0.35">
      <c r="A41" s="355" t="s">
        <v>2169</v>
      </c>
      <c r="B41" s="356" t="s">
        <v>2243</v>
      </c>
      <c r="C41" s="356"/>
      <c r="D41" s="353">
        <v>32</v>
      </c>
      <c r="E41" s="64" t="s">
        <v>2270</v>
      </c>
      <c r="F41" s="319" t="s">
        <v>184</v>
      </c>
      <c r="G41" s="319" t="s">
        <v>154</v>
      </c>
      <c r="H41" s="319" t="s">
        <v>2798</v>
      </c>
      <c r="I41" s="319" t="s">
        <v>68</v>
      </c>
      <c r="J41" s="320" t="s">
        <v>156</v>
      </c>
      <c r="K41" s="64" t="s">
        <v>980</v>
      </c>
      <c r="L41" s="319" t="s">
        <v>980</v>
      </c>
      <c r="M41" s="320" t="s">
        <v>980</v>
      </c>
      <c r="N41" s="321" t="s">
        <v>82</v>
      </c>
      <c r="O41" s="195">
        <v>1</v>
      </c>
      <c r="P41" s="195" t="s">
        <v>212</v>
      </c>
      <c r="Q41" s="195"/>
      <c r="R41" s="195"/>
      <c r="S41">
        <v>1</v>
      </c>
      <c r="T41">
        <v>2</v>
      </c>
      <c r="W41" s="195"/>
      <c r="X41" s="195"/>
      <c r="Z41" s="342" t="s">
        <v>2259</v>
      </c>
    </row>
    <row r="42" spans="1:26" x14ac:dyDescent="0.35">
      <c r="A42" s="355" t="s">
        <v>2169</v>
      </c>
      <c r="B42" s="356" t="s">
        <v>2243</v>
      </c>
      <c r="C42" s="356"/>
      <c r="D42" s="353">
        <v>33</v>
      </c>
      <c r="E42" s="64" t="s">
        <v>2262</v>
      </c>
      <c r="F42" s="321" t="s">
        <v>2251</v>
      </c>
      <c r="G42" s="319" t="s">
        <v>154</v>
      </c>
      <c r="H42" s="319" t="s">
        <v>2798</v>
      </c>
      <c r="I42" s="319" t="s">
        <v>68</v>
      </c>
      <c r="J42" s="320" t="s">
        <v>169</v>
      </c>
      <c r="K42" s="64" t="s">
        <v>980</v>
      </c>
      <c r="L42" s="319" t="s">
        <v>980</v>
      </c>
      <c r="M42" s="320" t="s">
        <v>980</v>
      </c>
      <c r="N42" s="374" t="s">
        <v>82</v>
      </c>
      <c r="O42" s="195">
        <v>1</v>
      </c>
      <c r="P42" s="195" t="s">
        <v>212</v>
      </c>
      <c r="Q42" s="195"/>
      <c r="R42" s="195"/>
      <c r="S42"/>
      <c r="U42">
        <v>1</v>
      </c>
      <c r="V42" s="6">
        <v>2</v>
      </c>
      <c r="W42" s="195"/>
      <c r="X42" s="195"/>
      <c r="Y42" t="s">
        <v>980</v>
      </c>
      <c r="Z42" s="337" t="s">
        <v>2271</v>
      </c>
    </row>
    <row r="43" spans="1:26" x14ac:dyDescent="0.35">
      <c r="A43" s="355" t="s">
        <v>2169</v>
      </c>
      <c r="B43" s="356" t="s">
        <v>2243</v>
      </c>
      <c r="C43" s="356"/>
      <c r="D43" s="353">
        <v>34</v>
      </c>
      <c r="E43" s="64" t="s">
        <v>2263</v>
      </c>
      <c r="F43" s="321" t="s">
        <v>2252</v>
      </c>
      <c r="G43" s="321" t="s">
        <v>154</v>
      </c>
      <c r="H43" s="321" t="s">
        <v>2800</v>
      </c>
      <c r="I43" s="321" t="s">
        <v>68</v>
      </c>
      <c r="J43" s="320" t="s">
        <v>194</v>
      </c>
      <c r="K43" s="64" t="s">
        <v>980</v>
      </c>
      <c r="L43" s="319" t="s">
        <v>980</v>
      </c>
      <c r="M43" s="320" t="s">
        <v>980</v>
      </c>
      <c r="N43" s="321" t="s">
        <v>82</v>
      </c>
      <c r="O43" s="145">
        <f>Prevalences!AA272</f>
        <v>1.4999999999999999E-2</v>
      </c>
      <c r="P43" s="195" t="s">
        <v>2201</v>
      </c>
      <c r="Q43" s="195"/>
      <c r="R43" s="195"/>
      <c r="S43">
        <v>1</v>
      </c>
      <c r="T43">
        <v>1</v>
      </c>
      <c r="V43" s="6">
        <v>5</v>
      </c>
      <c r="W43" s="6"/>
      <c r="X43" s="6"/>
      <c r="Y43" s="6" t="s">
        <v>980</v>
      </c>
      <c r="Z43" s="343"/>
    </row>
    <row r="44" spans="1:26" x14ac:dyDescent="0.35">
      <c r="A44" s="355" t="s">
        <v>2169</v>
      </c>
      <c r="B44" s="356" t="s">
        <v>2243</v>
      </c>
      <c r="C44" s="356"/>
      <c r="D44" s="353">
        <v>35</v>
      </c>
      <c r="E44" s="64" t="s">
        <v>2264</v>
      </c>
      <c r="F44" s="321" t="s">
        <v>2253</v>
      </c>
      <c r="G44" s="321" t="s">
        <v>2256</v>
      </c>
      <c r="H44" s="321" t="s">
        <v>206</v>
      </c>
      <c r="I44" s="321" t="s">
        <v>68</v>
      </c>
      <c r="J44" s="320" t="s">
        <v>194</v>
      </c>
      <c r="K44" s="64" t="s">
        <v>980</v>
      </c>
      <c r="L44" s="319" t="s">
        <v>980</v>
      </c>
      <c r="M44" s="320" t="s">
        <v>980</v>
      </c>
      <c r="N44" s="321" t="s">
        <v>82</v>
      </c>
      <c r="P44" s="195" t="s">
        <v>194</v>
      </c>
      <c r="Q44" s="195"/>
      <c r="R44" s="195"/>
      <c r="S44"/>
      <c r="W44" s="6"/>
      <c r="X44" s="6"/>
      <c r="Y44" s="6" t="s">
        <v>980</v>
      </c>
      <c r="Z44" s="343" t="s">
        <v>2272</v>
      </c>
    </row>
    <row r="45" spans="1:26" x14ac:dyDescent="0.35">
      <c r="A45" s="355" t="s">
        <v>2169</v>
      </c>
      <c r="B45" s="356" t="s">
        <v>2243</v>
      </c>
      <c r="C45" s="356"/>
      <c r="D45" s="353">
        <v>36</v>
      </c>
      <c r="E45" s="64" t="s">
        <v>2265</v>
      </c>
      <c r="F45" s="321" t="s">
        <v>2254</v>
      </c>
      <c r="G45" s="321" t="s">
        <v>2256</v>
      </c>
      <c r="H45" s="321" t="s">
        <v>206</v>
      </c>
      <c r="I45" s="321" t="s">
        <v>68</v>
      </c>
      <c r="J45" s="320" t="s">
        <v>194</v>
      </c>
      <c r="K45" s="64" t="s">
        <v>980</v>
      </c>
      <c r="L45" s="319" t="s">
        <v>980</v>
      </c>
      <c r="M45" s="320" t="s">
        <v>980</v>
      </c>
      <c r="N45" s="321" t="s">
        <v>82</v>
      </c>
      <c r="P45" s="195" t="s">
        <v>194</v>
      </c>
      <c r="Q45" s="195"/>
      <c r="R45" s="195"/>
      <c r="S45"/>
      <c r="W45" s="6"/>
      <c r="X45" s="6"/>
      <c r="Y45" s="6" t="s">
        <v>980</v>
      </c>
      <c r="Z45" s="342" t="s">
        <v>2260</v>
      </c>
    </row>
    <row r="46" spans="1:26" x14ac:dyDescent="0.35">
      <c r="A46" s="355" t="s">
        <v>2169</v>
      </c>
      <c r="B46" s="356" t="s">
        <v>2243</v>
      </c>
      <c r="C46" s="356"/>
      <c r="D46" s="353">
        <v>37</v>
      </c>
      <c r="E46" s="64" t="s">
        <v>2266</v>
      </c>
      <c r="F46" s="321" t="s">
        <v>2255</v>
      </c>
      <c r="G46" s="321" t="s">
        <v>193</v>
      </c>
      <c r="H46" s="321" t="s">
        <v>206</v>
      </c>
      <c r="I46" s="321" t="s">
        <v>68</v>
      </c>
      <c r="J46" s="320" t="s">
        <v>194</v>
      </c>
      <c r="K46" s="64" t="s">
        <v>980</v>
      </c>
      <c r="L46" s="319" t="s">
        <v>980</v>
      </c>
      <c r="M46" s="320" t="s">
        <v>980</v>
      </c>
      <c r="N46" s="321" t="s">
        <v>82</v>
      </c>
      <c r="P46" s="195" t="s">
        <v>194</v>
      </c>
      <c r="Q46" s="195"/>
      <c r="R46" s="195"/>
      <c r="S46"/>
      <c r="W46" s="6"/>
      <c r="X46" s="6"/>
      <c r="Y46" s="6" t="s">
        <v>980</v>
      </c>
      <c r="Z46" s="343" t="s">
        <v>2273</v>
      </c>
    </row>
    <row r="47" spans="1:26" x14ac:dyDescent="0.35">
      <c r="A47" s="355" t="s">
        <v>2169</v>
      </c>
      <c r="B47" s="356" t="s">
        <v>2274</v>
      </c>
      <c r="C47" s="356"/>
      <c r="D47" s="353">
        <v>38</v>
      </c>
      <c r="F47" s="321" t="s">
        <v>2275</v>
      </c>
      <c r="G47" s="321" t="s">
        <v>154</v>
      </c>
      <c r="H47" s="321" t="s">
        <v>2798</v>
      </c>
      <c r="I47" s="321" t="s">
        <v>66</v>
      </c>
      <c r="K47" s="64" t="s">
        <v>980</v>
      </c>
      <c r="L47" s="321" t="s">
        <v>980</v>
      </c>
      <c r="M47" s="320" t="s">
        <v>980</v>
      </c>
      <c r="N47" s="195" t="s">
        <v>82</v>
      </c>
      <c r="P47" s="195" t="s">
        <v>194</v>
      </c>
      <c r="Q47" s="195"/>
      <c r="R47" s="195"/>
      <c r="S47" s="195"/>
      <c r="T47" s="195"/>
      <c r="U47" s="195"/>
      <c r="V47" s="195"/>
      <c r="W47" s="195"/>
      <c r="X47" s="195"/>
      <c r="Z47" t="s">
        <v>2306</v>
      </c>
    </row>
    <row r="48" spans="1:26" x14ac:dyDescent="0.35">
      <c r="A48" s="355" t="s">
        <v>2169</v>
      </c>
      <c r="B48" s="356" t="s">
        <v>2274</v>
      </c>
      <c r="C48" s="356"/>
      <c r="D48" s="353">
        <v>38</v>
      </c>
      <c r="E48" s="64" t="s">
        <v>2302</v>
      </c>
      <c r="F48" s="58" t="s">
        <v>2298</v>
      </c>
      <c r="G48" s="321" t="s">
        <v>154</v>
      </c>
      <c r="H48" s="321" t="s">
        <v>2798</v>
      </c>
      <c r="I48" s="321" t="s">
        <v>66</v>
      </c>
      <c r="J48" s="320" t="s">
        <v>247</v>
      </c>
      <c r="K48" s="64" t="s">
        <v>980</v>
      </c>
      <c r="L48" s="319" t="s">
        <v>980</v>
      </c>
      <c r="M48" s="320" t="s">
        <v>980</v>
      </c>
      <c r="N48" s="374" t="s">
        <v>82</v>
      </c>
      <c r="O48" s="195">
        <f>'FP mod'!BK273/100</f>
        <v>0.58399999999999996</v>
      </c>
      <c r="P48" s="195" t="s">
        <v>1868</v>
      </c>
      <c r="Q48" s="195"/>
      <c r="R48" s="195"/>
      <c r="S48" s="89">
        <v>1</v>
      </c>
      <c r="T48">
        <v>1</v>
      </c>
      <c r="V48" s="6">
        <v>15</v>
      </c>
    </row>
    <row r="49" spans="1:26" x14ac:dyDescent="0.35">
      <c r="A49" s="355" t="s">
        <v>2169</v>
      </c>
      <c r="B49" s="356" t="s">
        <v>2274</v>
      </c>
      <c r="C49" s="356"/>
      <c r="D49" s="353">
        <v>38</v>
      </c>
      <c r="E49" s="64" t="s">
        <v>2303</v>
      </c>
      <c r="F49" s="58" t="s">
        <v>2299</v>
      </c>
      <c r="G49" s="321" t="s">
        <v>154</v>
      </c>
      <c r="H49" s="321" t="s">
        <v>2798</v>
      </c>
      <c r="I49" s="321" t="s">
        <v>66</v>
      </c>
      <c r="J49" s="320" t="s">
        <v>156</v>
      </c>
      <c r="K49" s="64" t="s">
        <v>980</v>
      </c>
      <c r="L49" s="319" t="s">
        <v>980</v>
      </c>
      <c r="M49" s="320" t="s">
        <v>980</v>
      </c>
      <c r="N49" s="374" t="s">
        <v>82</v>
      </c>
      <c r="O49" s="195">
        <v>1</v>
      </c>
      <c r="P49" s="195" t="s">
        <v>212</v>
      </c>
      <c r="Q49" s="195"/>
      <c r="R49" s="195"/>
      <c r="S49" s="89">
        <v>1</v>
      </c>
      <c r="T49">
        <v>1</v>
      </c>
      <c r="V49" s="6">
        <v>15</v>
      </c>
    </row>
    <row r="50" spans="1:26" x14ac:dyDescent="0.35">
      <c r="A50" s="355" t="s">
        <v>2169</v>
      </c>
      <c r="B50" s="356" t="s">
        <v>2274</v>
      </c>
      <c r="C50" s="356"/>
      <c r="D50" s="353">
        <v>38</v>
      </c>
      <c r="E50" s="64" t="s">
        <v>2304</v>
      </c>
      <c r="F50" s="58" t="s">
        <v>2300</v>
      </c>
      <c r="G50" s="321" t="s">
        <v>154</v>
      </c>
      <c r="H50" s="321" t="s">
        <v>2798</v>
      </c>
      <c r="I50" s="321" t="s">
        <v>66</v>
      </c>
      <c r="J50" s="320" t="s">
        <v>253</v>
      </c>
      <c r="K50" s="64" t="s">
        <v>980</v>
      </c>
      <c r="L50" s="319" t="s">
        <v>980</v>
      </c>
      <c r="M50" s="320" t="s">
        <v>980</v>
      </c>
      <c r="N50" s="374" t="s">
        <v>82</v>
      </c>
      <c r="O50" s="195">
        <f>Prevalences!T72</f>
        <v>5.0116865018980945E-2</v>
      </c>
      <c r="P50" s="195" t="s">
        <v>1949</v>
      </c>
      <c r="Q50" s="195"/>
      <c r="R50" s="195"/>
      <c r="S50" s="89">
        <v>1</v>
      </c>
      <c r="T50">
        <v>1</v>
      </c>
      <c r="V50" s="6">
        <v>15</v>
      </c>
    </row>
    <row r="51" spans="1:26" x14ac:dyDescent="0.35">
      <c r="A51" s="355" t="s">
        <v>2169</v>
      </c>
      <c r="B51" s="356" t="s">
        <v>2274</v>
      </c>
      <c r="C51" s="356"/>
      <c r="D51" s="353">
        <v>38</v>
      </c>
      <c r="E51" s="64" t="s">
        <v>2305</v>
      </c>
      <c r="F51" s="58" t="s">
        <v>2301</v>
      </c>
      <c r="G51" s="321" t="s">
        <v>154</v>
      </c>
      <c r="H51" s="321" t="s">
        <v>2798</v>
      </c>
      <c r="I51" s="321" t="s">
        <v>66</v>
      </c>
      <c r="J51" s="320" t="s">
        <v>253</v>
      </c>
      <c r="K51" s="64" t="s">
        <v>980</v>
      </c>
      <c r="L51" s="319" t="s">
        <v>980</v>
      </c>
      <c r="M51" s="320" t="s">
        <v>980</v>
      </c>
      <c r="N51" s="374" t="s">
        <v>82</v>
      </c>
      <c r="O51" s="195">
        <f>Prevalences!S71</f>
        <v>0.26812151014720248</v>
      </c>
      <c r="P51" s="195" t="s">
        <v>1949</v>
      </c>
      <c r="Q51" s="195"/>
      <c r="R51" s="195"/>
      <c r="S51" s="89">
        <v>1</v>
      </c>
      <c r="T51">
        <v>1</v>
      </c>
      <c r="V51" s="6">
        <v>15</v>
      </c>
    </row>
    <row r="52" spans="1:26" x14ac:dyDescent="0.35">
      <c r="A52" s="355" t="s">
        <v>2169</v>
      </c>
      <c r="B52" s="356" t="s">
        <v>2274</v>
      </c>
      <c r="C52" s="356"/>
      <c r="D52" s="353">
        <v>39</v>
      </c>
      <c r="E52" s="64" t="str">
        <f>_xlfn.CONCAT("FH.FP.",D52)</f>
        <v>FH.FP.39</v>
      </c>
      <c r="F52" s="321" t="s">
        <v>2276</v>
      </c>
      <c r="G52" s="321" t="s">
        <v>154</v>
      </c>
      <c r="H52" s="321" t="s">
        <v>2798</v>
      </c>
      <c r="I52" s="321" t="s">
        <v>66</v>
      </c>
      <c r="J52" s="320" t="s">
        <v>253</v>
      </c>
      <c r="K52" s="64" t="s">
        <v>980</v>
      </c>
      <c r="L52" s="319" t="s">
        <v>980</v>
      </c>
      <c r="M52" s="320" t="s">
        <v>980</v>
      </c>
      <c r="N52" s="374" t="s">
        <v>82</v>
      </c>
      <c r="O52" s="195">
        <f>Prevalences!H58/100*Prevalences!N57+Prevalences!H58/100*Prevalences!P57</f>
        <v>0.40457124527547378</v>
      </c>
      <c r="P52" s="195" t="s">
        <v>1868</v>
      </c>
      <c r="Q52" s="195"/>
      <c r="R52" s="195"/>
      <c r="S52" s="89">
        <v>1</v>
      </c>
      <c r="U52">
        <v>4</v>
      </c>
      <c r="V52" s="6">
        <v>5</v>
      </c>
    </row>
    <row r="53" spans="1:26" x14ac:dyDescent="0.35">
      <c r="A53" s="355" t="s">
        <v>2169</v>
      </c>
      <c r="B53" s="356" t="s">
        <v>2274</v>
      </c>
      <c r="C53" s="356"/>
      <c r="D53" s="353">
        <v>40</v>
      </c>
      <c r="E53" s="64" t="str">
        <f t="shared" ref="E53:E75" si="2">_xlfn.CONCAT("FH.FP.",D53)</f>
        <v>FH.FP.40</v>
      </c>
      <c r="F53" s="321" t="s">
        <v>2297</v>
      </c>
      <c r="G53" s="321" t="s">
        <v>154</v>
      </c>
      <c r="H53" s="321" t="s">
        <v>2798</v>
      </c>
      <c r="I53" s="321" t="s">
        <v>66</v>
      </c>
      <c r="J53" s="320" t="s">
        <v>253</v>
      </c>
      <c r="K53" s="64" t="s">
        <v>980</v>
      </c>
      <c r="L53" s="319" t="s">
        <v>980</v>
      </c>
      <c r="M53" s="320" t="s">
        <v>194</v>
      </c>
      <c r="N53" s="374" t="s">
        <v>82</v>
      </c>
      <c r="O53" s="195">
        <f>Prevalences!H58/100*Prevalences!O57+Prevalences!H58/100*Prevalences!Q57</f>
        <v>0.16460099968756312</v>
      </c>
      <c r="P53" s="195" t="s">
        <v>1868</v>
      </c>
      <c r="Q53" s="195">
        <f>1/4</f>
        <v>0.25</v>
      </c>
      <c r="R53" s="195" t="s">
        <v>2633</v>
      </c>
      <c r="S53" s="89">
        <v>1</v>
      </c>
      <c r="T53">
        <v>1</v>
      </c>
      <c r="V53" s="6">
        <v>20</v>
      </c>
    </row>
    <row r="54" spans="1:26" x14ac:dyDescent="0.35">
      <c r="A54" s="355" t="s">
        <v>2169</v>
      </c>
      <c r="B54" s="356" t="s">
        <v>2274</v>
      </c>
      <c r="C54" s="356"/>
      <c r="D54" s="353">
        <v>41</v>
      </c>
      <c r="E54" s="64" t="str">
        <f t="shared" si="2"/>
        <v>FH.FP.41</v>
      </c>
      <c r="F54" s="321" t="s">
        <v>2296</v>
      </c>
      <c r="G54" s="321" t="s">
        <v>154</v>
      </c>
      <c r="H54" s="321" t="s">
        <v>2798</v>
      </c>
      <c r="I54" s="321" t="s">
        <v>66</v>
      </c>
      <c r="J54" s="320" t="s">
        <v>253</v>
      </c>
      <c r="K54" s="64" t="s">
        <v>980</v>
      </c>
      <c r="L54" s="321" t="s">
        <v>194</v>
      </c>
      <c r="M54" s="320" t="s">
        <v>194</v>
      </c>
      <c r="N54" s="374" t="s">
        <v>82</v>
      </c>
      <c r="O54" s="195">
        <f>O53</f>
        <v>0.16460099968756312</v>
      </c>
      <c r="P54" s="195" t="s">
        <v>1868</v>
      </c>
      <c r="Q54" s="195">
        <f>1/4</f>
        <v>0.25</v>
      </c>
      <c r="R54" s="195" t="s">
        <v>2633</v>
      </c>
      <c r="S54" s="89">
        <v>1</v>
      </c>
      <c r="T54">
        <v>1</v>
      </c>
      <c r="V54" s="6">
        <v>20</v>
      </c>
    </row>
    <row r="55" spans="1:26" x14ac:dyDescent="0.35">
      <c r="A55" s="355" t="s">
        <v>2169</v>
      </c>
      <c r="B55" s="356" t="s">
        <v>2274</v>
      </c>
      <c r="C55" s="356"/>
      <c r="D55" s="353">
        <v>42</v>
      </c>
      <c r="E55" s="64" t="str">
        <f t="shared" si="2"/>
        <v>FH.FP.42</v>
      </c>
      <c r="F55" s="321" t="s">
        <v>2277</v>
      </c>
      <c r="G55" s="321" t="s">
        <v>154</v>
      </c>
      <c r="H55" s="321" t="s">
        <v>2798</v>
      </c>
      <c r="I55" s="321" t="s">
        <v>66</v>
      </c>
      <c r="J55" s="320" t="s">
        <v>253</v>
      </c>
      <c r="K55" s="64" t="s">
        <v>980</v>
      </c>
      <c r="L55" s="319" t="s">
        <v>980</v>
      </c>
      <c r="M55" s="320" t="s">
        <v>980</v>
      </c>
      <c r="N55" s="321" t="s">
        <v>82</v>
      </c>
      <c r="O55" s="373"/>
      <c r="P55" s="195" t="s">
        <v>1868</v>
      </c>
      <c r="Q55" s="195"/>
      <c r="R55" s="195"/>
      <c r="S55" s="89">
        <v>1</v>
      </c>
      <c r="T55">
        <v>1</v>
      </c>
      <c r="U55" s="195"/>
      <c r="V55" s="6">
        <v>15</v>
      </c>
      <c r="Y55" t="s">
        <v>980</v>
      </c>
      <c r="Z55" s="338" t="s">
        <v>2239</v>
      </c>
    </row>
    <row r="56" spans="1:26" x14ac:dyDescent="0.35">
      <c r="A56" s="355" t="s">
        <v>2169</v>
      </c>
      <c r="B56" s="356" t="s">
        <v>2274</v>
      </c>
      <c r="C56" s="356"/>
      <c r="D56" s="353">
        <v>43</v>
      </c>
      <c r="E56" s="64" t="str">
        <f t="shared" si="2"/>
        <v>FH.FP.43</v>
      </c>
      <c r="F56" s="321" t="s">
        <v>2278</v>
      </c>
      <c r="G56" s="321" t="s">
        <v>154</v>
      </c>
      <c r="H56" s="321" t="s">
        <v>2800</v>
      </c>
      <c r="I56" s="321" t="s">
        <v>66</v>
      </c>
      <c r="J56" s="320" t="s">
        <v>156</v>
      </c>
      <c r="K56" s="64" t="s">
        <v>980</v>
      </c>
      <c r="L56" s="321" t="s">
        <v>194</v>
      </c>
      <c r="M56" s="320" t="s">
        <v>194</v>
      </c>
      <c r="N56" s="321" t="s">
        <v>82</v>
      </c>
      <c r="O56" s="145">
        <f>Prevalences!K288</f>
        <v>9.6000000000000002E-2</v>
      </c>
      <c r="P56" s="195" t="s">
        <v>2201</v>
      </c>
      <c r="Q56" s="195"/>
      <c r="R56" s="195"/>
      <c r="S56" s="147">
        <v>1</v>
      </c>
      <c r="T56">
        <v>1</v>
      </c>
      <c r="U56" s="195"/>
      <c r="V56" s="341">
        <v>20</v>
      </c>
      <c r="Y56" t="s">
        <v>980</v>
      </c>
    </row>
    <row r="57" spans="1:26" x14ac:dyDescent="0.35">
      <c r="A57" s="355" t="s">
        <v>2169</v>
      </c>
      <c r="B57" s="356" t="s">
        <v>2274</v>
      </c>
      <c r="C57" s="356"/>
      <c r="D57" s="353">
        <v>44</v>
      </c>
      <c r="E57" s="64" t="str">
        <f t="shared" si="2"/>
        <v>FH.FP.44</v>
      </c>
      <c r="F57" s="321" t="s">
        <v>2279</v>
      </c>
      <c r="G57" s="321" t="s">
        <v>154</v>
      </c>
      <c r="H57" s="321" t="s">
        <v>2800</v>
      </c>
      <c r="I57" s="321" t="s">
        <v>66</v>
      </c>
      <c r="J57" s="320" t="s">
        <v>156</v>
      </c>
      <c r="K57" s="64" t="s">
        <v>980</v>
      </c>
      <c r="L57" s="319" t="s">
        <v>980</v>
      </c>
      <c r="M57" s="320" t="s">
        <v>980</v>
      </c>
      <c r="N57" s="321" t="s">
        <v>82</v>
      </c>
      <c r="O57" s="145">
        <f>O56</f>
        <v>9.6000000000000002E-2</v>
      </c>
      <c r="P57" s="195" t="s">
        <v>2201</v>
      </c>
      <c r="Q57" s="195"/>
      <c r="R57" s="195" t="s">
        <v>2307</v>
      </c>
      <c r="S57" s="147">
        <v>1</v>
      </c>
      <c r="T57">
        <v>1</v>
      </c>
      <c r="U57" s="195"/>
      <c r="V57" s="341">
        <v>10</v>
      </c>
      <c r="Y57" t="s">
        <v>980</v>
      </c>
    </row>
    <row r="58" spans="1:26" x14ac:dyDescent="0.35">
      <c r="A58" s="355" t="s">
        <v>2169</v>
      </c>
      <c r="B58" s="356" t="s">
        <v>2274</v>
      </c>
      <c r="C58" s="356"/>
      <c r="D58" s="353">
        <v>45</v>
      </c>
      <c r="E58" s="64" t="str">
        <f t="shared" si="2"/>
        <v>FH.FP.45</v>
      </c>
      <c r="F58" s="321" t="s">
        <v>2280</v>
      </c>
      <c r="G58" s="321" t="s">
        <v>2256</v>
      </c>
      <c r="H58" s="321" t="s">
        <v>206</v>
      </c>
      <c r="I58" s="321" t="s">
        <v>2248</v>
      </c>
      <c r="J58" s="320" t="s">
        <v>247</v>
      </c>
      <c r="K58" s="64" t="s">
        <v>980</v>
      </c>
      <c r="L58" s="321" t="s">
        <v>980</v>
      </c>
      <c r="M58" s="320" t="s">
        <v>980</v>
      </c>
      <c r="N58" s="321" t="s">
        <v>82</v>
      </c>
      <c r="O58" s="145">
        <v>1</v>
      </c>
      <c r="P58" s="195" t="s">
        <v>212</v>
      </c>
      <c r="Q58" s="195"/>
      <c r="R58" s="195"/>
      <c r="S58" s="89">
        <v>1</v>
      </c>
      <c r="T58" s="195"/>
      <c r="U58" s="195"/>
      <c r="Y58" t="s">
        <v>980</v>
      </c>
      <c r="Z58" s="342" t="s">
        <v>2308</v>
      </c>
    </row>
    <row r="59" spans="1:26" x14ac:dyDescent="0.35">
      <c r="A59" s="355" t="s">
        <v>2169</v>
      </c>
      <c r="B59" s="356" t="s">
        <v>2274</v>
      </c>
      <c r="C59" s="356"/>
      <c r="D59" s="353">
        <v>46</v>
      </c>
      <c r="E59" s="64" t="str">
        <f t="shared" si="2"/>
        <v>FH.FP.46</v>
      </c>
      <c r="F59" s="321" t="s">
        <v>2281</v>
      </c>
      <c r="G59" s="321" t="s">
        <v>154</v>
      </c>
      <c r="H59" s="321" t="s">
        <v>2800</v>
      </c>
      <c r="I59" s="321" t="s">
        <v>2248</v>
      </c>
      <c r="J59" s="320" t="s">
        <v>253</v>
      </c>
      <c r="K59" s="64" t="s">
        <v>980</v>
      </c>
      <c r="L59" s="321" t="s">
        <v>980</v>
      </c>
      <c r="M59" s="320" t="s">
        <v>194</v>
      </c>
      <c r="N59" s="321" t="s">
        <v>82</v>
      </c>
      <c r="O59" s="145">
        <f>Prevalences!H302</f>
        <v>0.14000000000000001</v>
      </c>
      <c r="P59" s="195" t="s">
        <v>1868</v>
      </c>
      <c r="Q59" s="195"/>
      <c r="R59" s="195"/>
      <c r="S59" s="89">
        <v>1</v>
      </c>
      <c r="T59" s="234">
        <v>1</v>
      </c>
      <c r="U59" s="346">
        <f>1/5</f>
        <v>0.2</v>
      </c>
      <c r="V59" s="6">
        <v>10</v>
      </c>
      <c r="Y59" t="s">
        <v>980</v>
      </c>
      <c r="Z59" s="234" t="s">
        <v>2530</v>
      </c>
    </row>
    <row r="60" spans="1:26" x14ac:dyDescent="0.35">
      <c r="A60" s="355" t="s">
        <v>2169</v>
      </c>
      <c r="B60" s="356" t="s">
        <v>2274</v>
      </c>
      <c r="C60" s="356"/>
      <c r="D60" s="353">
        <v>47</v>
      </c>
      <c r="E60" s="64" t="str">
        <f t="shared" si="2"/>
        <v>FH.FP.47</v>
      </c>
      <c r="F60" s="321" t="s">
        <v>2282</v>
      </c>
      <c r="G60" s="321" t="s">
        <v>2256</v>
      </c>
      <c r="H60" s="321" t="s">
        <v>2798</v>
      </c>
      <c r="I60" s="321" t="s">
        <v>2248</v>
      </c>
      <c r="J60" s="320" t="s">
        <v>247</v>
      </c>
      <c r="K60" s="64" t="s">
        <v>980</v>
      </c>
      <c r="L60" s="321" t="s">
        <v>980</v>
      </c>
      <c r="M60" s="320" t="s">
        <v>980</v>
      </c>
      <c r="N60" s="321" t="s">
        <v>82</v>
      </c>
      <c r="O60" s="145">
        <v>1</v>
      </c>
      <c r="P60" s="195" t="s">
        <v>212</v>
      </c>
      <c r="Q60" s="195"/>
      <c r="R60" s="195"/>
      <c r="S60" s="89">
        <v>1</v>
      </c>
      <c r="T60" s="195"/>
      <c r="U60" s="195"/>
      <c r="Y60" t="s">
        <v>980</v>
      </c>
      <c r="Z60" s="342" t="s">
        <v>2308</v>
      </c>
    </row>
    <row r="61" spans="1:26" x14ac:dyDescent="0.35">
      <c r="A61" s="355" t="s">
        <v>2169</v>
      </c>
      <c r="B61" s="356" t="s">
        <v>2274</v>
      </c>
      <c r="C61" s="356"/>
      <c r="D61" s="353">
        <v>48</v>
      </c>
      <c r="E61" s="64" t="str">
        <f t="shared" si="2"/>
        <v>FH.FP.48</v>
      </c>
      <c r="F61" s="321" t="s">
        <v>2283</v>
      </c>
      <c r="G61" s="321" t="s">
        <v>154</v>
      </c>
      <c r="H61" s="321" t="s">
        <v>2798</v>
      </c>
      <c r="I61" s="321" t="s">
        <v>68</v>
      </c>
      <c r="J61" s="320" t="s">
        <v>187</v>
      </c>
      <c r="K61" s="64" t="s">
        <v>980</v>
      </c>
      <c r="L61" s="319" t="s">
        <v>980</v>
      </c>
      <c r="M61" s="320" t="s">
        <v>980</v>
      </c>
      <c r="N61" s="321" t="s">
        <v>82</v>
      </c>
      <c r="O61" s="195">
        <v>1</v>
      </c>
      <c r="P61" s="195" t="s">
        <v>212</v>
      </c>
      <c r="Q61" s="195"/>
      <c r="R61" s="195"/>
      <c r="S61" s="89">
        <v>1</v>
      </c>
      <c r="T61">
        <v>2</v>
      </c>
      <c r="W61" s="195"/>
      <c r="X61" s="195"/>
      <c r="Z61" s="342" t="s">
        <v>2260</v>
      </c>
    </row>
    <row r="62" spans="1:26" x14ac:dyDescent="0.35">
      <c r="A62" s="355" t="s">
        <v>2169</v>
      </c>
      <c r="B62" s="356" t="s">
        <v>2274</v>
      </c>
      <c r="C62" s="356"/>
      <c r="D62" s="353">
        <v>49</v>
      </c>
      <c r="E62" s="64" t="str">
        <f t="shared" si="2"/>
        <v>FH.FP.49</v>
      </c>
      <c r="F62" s="321" t="s">
        <v>2284</v>
      </c>
      <c r="G62" s="321" t="s">
        <v>2256</v>
      </c>
      <c r="H62" s="321" t="s">
        <v>206</v>
      </c>
      <c r="I62" s="321" t="s">
        <v>2248</v>
      </c>
      <c r="J62" s="320" t="s">
        <v>253</v>
      </c>
      <c r="K62" s="64" t="s">
        <v>980</v>
      </c>
      <c r="L62" s="319" t="s">
        <v>980</v>
      </c>
      <c r="M62" s="320" t="s">
        <v>980</v>
      </c>
      <c r="N62" s="321" t="s">
        <v>82</v>
      </c>
      <c r="P62" s="195" t="s">
        <v>194</v>
      </c>
      <c r="Q62" s="195"/>
      <c r="R62" s="195"/>
      <c r="S62" s="195"/>
      <c r="T62" s="195"/>
      <c r="U62" s="195"/>
      <c r="Y62" t="s">
        <v>980</v>
      </c>
      <c r="Z62" s="342" t="s">
        <v>2308</v>
      </c>
    </row>
    <row r="63" spans="1:26" x14ac:dyDescent="0.35">
      <c r="A63" s="355" t="s">
        <v>2169</v>
      </c>
      <c r="B63" s="356" t="s">
        <v>2274</v>
      </c>
      <c r="C63" s="356"/>
      <c r="D63" s="353">
        <v>50</v>
      </c>
      <c r="E63" s="64" t="str">
        <f t="shared" si="2"/>
        <v>FH.FP.50</v>
      </c>
      <c r="F63" s="321" t="s">
        <v>2285</v>
      </c>
      <c r="G63" s="321" t="s">
        <v>154</v>
      </c>
      <c r="H63" s="321" t="s">
        <v>2798</v>
      </c>
      <c r="I63" s="321" t="s">
        <v>66</v>
      </c>
      <c r="J63" s="320" t="s">
        <v>187</v>
      </c>
      <c r="K63" s="64" t="s">
        <v>980</v>
      </c>
      <c r="L63" s="319" t="s">
        <v>980</v>
      </c>
      <c r="M63" s="320" t="s">
        <v>980</v>
      </c>
      <c r="N63" s="321" t="s">
        <v>82</v>
      </c>
      <c r="P63" s="195" t="s">
        <v>194</v>
      </c>
      <c r="Q63" s="195"/>
      <c r="R63" s="195"/>
      <c r="S63" s="195"/>
      <c r="T63" s="195"/>
      <c r="U63" s="195"/>
      <c r="Z63" s="342" t="s">
        <v>2309</v>
      </c>
    </row>
    <row r="64" spans="1:26" x14ac:dyDescent="0.35">
      <c r="A64" s="355" t="s">
        <v>2169</v>
      </c>
      <c r="B64" s="356" t="s">
        <v>2274</v>
      </c>
      <c r="C64" s="356"/>
      <c r="D64" s="353">
        <v>51</v>
      </c>
      <c r="E64" s="64" t="str">
        <f t="shared" si="2"/>
        <v>FH.FP.51</v>
      </c>
      <c r="F64" s="321" t="s">
        <v>2286</v>
      </c>
      <c r="G64" s="321" t="s">
        <v>154</v>
      </c>
      <c r="H64" s="321" t="s">
        <v>2798</v>
      </c>
      <c r="I64" s="321" t="s">
        <v>66</v>
      </c>
      <c r="J64" s="320" t="s">
        <v>187</v>
      </c>
      <c r="K64" s="64" t="s">
        <v>980</v>
      </c>
      <c r="L64" s="319" t="s">
        <v>980</v>
      </c>
      <c r="M64" s="320" t="s">
        <v>980</v>
      </c>
      <c r="N64" s="321" t="s">
        <v>82</v>
      </c>
      <c r="P64" s="195" t="s">
        <v>194</v>
      </c>
      <c r="Q64" s="195"/>
      <c r="R64" s="195"/>
      <c r="S64" s="195"/>
      <c r="T64" s="195"/>
      <c r="U64" s="195"/>
      <c r="Z64" s="234" t="s">
        <v>2782</v>
      </c>
    </row>
    <row r="65" spans="1:26" x14ac:dyDescent="0.35">
      <c r="A65" s="355" t="s">
        <v>2169</v>
      </c>
      <c r="B65" s="356" t="s">
        <v>2274</v>
      </c>
      <c r="C65" s="356"/>
      <c r="D65" s="353">
        <v>52</v>
      </c>
      <c r="E65" s="64" t="str">
        <f t="shared" si="2"/>
        <v>FH.FP.52</v>
      </c>
      <c r="F65" s="321" t="s">
        <v>2287</v>
      </c>
      <c r="G65" s="321" t="s">
        <v>2256</v>
      </c>
      <c r="H65" s="321" t="s">
        <v>206</v>
      </c>
      <c r="I65" s="321" t="s">
        <v>2248</v>
      </c>
      <c r="J65" s="320" t="s">
        <v>194</v>
      </c>
      <c r="K65" s="64" t="s">
        <v>980</v>
      </c>
      <c r="L65" s="319" t="s">
        <v>980</v>
      </c>
      <c r="M65" s="320" t="s">
        <v>980</v>
      </c>
      <c r="N65" s="321" t="s">
        <v>82</v>
      </c>
      <c r="P65" s="195" t="s">
        <v>194</v>
      </c>
      <c r="Q65" s="195"/>
      <c r="R65" s="195"/>
      <c r="S65" s="195"/>
      <c r="T65" s="195"/>
      <c r="U65" s="195"/>
      <c r="Y65" t="s">
        <v>980</v>
      </c>
      <c r="Z65" s="342" t="s">
        <v>2260</v>
      </c>
    </row>
    <row r="66" spans="1:26" x14ac:dyDescent="0.35">
      <c r="A66" s="355" t="s">
        <v>2169</v>
      </c>
      <c r="B66" s="356" t="s">
        <v>2274</v>
      </c>
      <c r="C66" s="356"/>
      <c r="D66" s="353">
        <v>53</v>
      </c>
      <c r="E66" s="64" t="str">
        <f t="shared" si="2"/>
        <v>FH.FP.53</v>
      </c>
      <c r="F66" s="321" t="s">
        <v>2288</v>
      </c>
      <c r="G66" s="321" t="s">
        <v>2256</v>
      </c>
      <c r="H66" s="321" t="s">
        <v>206</v>
      </c>
      <c r="I66" s="321" t="s">
        <v>2248</v>
      </c>
      <c r="J66" s="320" t="s">
        <v>194</v>
      </c>
      <c r="K66" s="64" t="s">
        <v>980</v>
      </c>
      <c r="L66" s="319" t="s">
        <v>980</v>
      </c>
      <c r="M66" s="320" t="s">
        <v>980</v>
      </c>
      <c r="N66" s="321" t="s">
        <v>82</v>
      </c>
      <c r="P66" s="195" t="s">
        <v>194</v>
      </c>
      <c r="Q66" s="195"/>
      <c r="R66" s="195"/>
      <c r="S66" s="195"/>
      <c r="T66" s="195"/>
      <c r="U66" s="195"/>
      <c r="Y66" t="s">
        <v>980</v>
      </c>
      <c r="Z66" s="342" t="s">
        <v>2260</v>
      </c>
    </row>
    <row r="67" spans="1:26" x14ac:dyDescent="0.35">
      <c r="A67" s="355" t="s">
        <v>2169</v>
      </c>
      <c r="B67" s="356" t="s">
        <v>2274</v>
      </c>
      <c r="C67" s="356"/>
      <c r="D67" s="353">
        <v>54</v>
      </c>
      <c r="E67" s="64" t="str">
        <f t="shared" si="2"/>
        <v>FH.FP.54</v>
      </c>
      <c r="F67" s="321" t="s">
        <v>2289</v>
      </c>
      <c r="G67" s="321" t="s">
        <v>154</v>
      </c>
      <c r="H67" s="321" t="s">
        <v>2800</v>
      </c>
      <c r="I67" s="321" t="s">
        <v>2248</v>
      </c>
      <c r="J67" s="320" t="s">
        <v>253</v>
      </c>
      <c r="K67" s="64" t="s">
        <v>980</v>
      </c>
      <c r="L67" s="319" t="s">
        <v>980</v>
      </c>
      <c r="M67" s="320" t="s">
        <v>194</v>
      </c>
      <c r="N67" s="321" t="s">
        <v>82</v>
      </c>
      <c r="O67" s="145">
        <f>Prevalences!B318</f>
        <v>3.8294117647058828E-3</v>
      </c>
      <c r="P67" s="321" t="s">
        <v>2201</v>
      </c>
      <c r="Q67" s="195"/>
      <c r="R67" s="195"/>
      <c r="S67" s="130">
        <v>0.98</v>
      </c>
      <c r="T67">
        <v>1</v>
      </c>
      <c r="V67" s="6">
        <v>5</v>
      </c>
      <c r="Y67" t="s">
        <v>980</v>
      </c>
      <c r="Z67" s="234"/>
    </row>
    <row r="68" spans="1:26" x14ac:dyDescent="0.35">
      <c r="A68" s="355" t="s">
        <v>2169</v>
      </c>
      <c r="B68" s="356" t="s">
        <v>2274</v>
      </c>
      <c r="C68" s="356"/>
      <c r="D68" s="353">
        <v>55</v>
      </c>
      <c r="E68" s="64" t="str">
        <f t="shared" si="2"/>
        <v>FH.FP.55</v>
      </c>
      <c r="F68" s="321" t="s">
        <v>2311</v>
      </c>
      <c r="G68" s="321" t="s">
        <v>154</v>
      </c>
      <c r="H68" s="321" t="s">
        <v>2800</v>
      </c>
      <c r="I68" s="321" t="s">
        <v>2248</v>
      </c>
      <c r="J68" s="320" t="s">
        <v>253</v>
      </c>
      <c r="K68" s="64" t="s">
        <v>980</v>
      </c>
      <c r="L68" s="319" t="s">
        <v>980</v>
      </c>
      <c r="M68" s="320" t="s">
        <v>194</v>
      </c>
      <c r="N68" s="321" t="s">
        <v>82</v>
      </c>
      <c r="O68" s="195">
        <f>O67</f>
        <v>3.8294117647058828E-3</v>
      </c>
      <c r="P68" s="321" t="s">
        <v>2201</v>
      </c>
      <c r="Q68" s="195"/>
      <c r="R68" s="195"/>
      <c r="S68" s="89">
        <f>S67</f>
        <v>0.98</v>
      </c>
      <c r="T68">
        <v>3</v>
      </c>
      <c r="V68" s="6">
        <v>5</v>
      </c>
      <c r="Y68" t="s">
        <v>980</v>
      </c>
      <c r="Z68" s="234"/>
    </row>
    <row r="69" spans="1:26" x14ac:dyDescent="0.35">
      <c r="A69" s="355" t="s">
        <v>2169</v>
      </c>
      <c r="B69" s="356" t="s">
        <v>2274</v>
      </c>
      <c r="C69" s="356"/>
      <c r="D69" s="353">
        <v>56</v>
      </c>
      <c r="E69" s="64" t="str">
        <f t="shared" si="2"/>
        <v>FH.FP.56</v>
      </c>
      <c r="F69" s="321" t="s">
        <v>2290</v>
      </c>
      <c r="G69" s="321" t="s">
        <v>154</v>
      </c>
      <c r="H69" s="321" t="s">
        <v>2800</v>
      </c>
      <c r="I69" s="321" t="s">
        <v>2248</v>
      </c>
      <c r="J69" s="320" t="s">
        <v>253</v>
      </c>
      <c r="K69" s="64" t="s">
        <v>980</v>
      </c>
      <c r="L69" s="319" t="s">
        <v>980</v>
      </c>
      <c r="M69" s="320" t="s">
        <v>194</v>
      </c>
      <c r="N69" s="321" t="s">
        <v>82</v>
      </c>
      <c r="O69" s="195">
        <f>O67</f>
        <v>3.8294117647058828E-3</v>
      </c>
      <c r="P69" s="321" t="s">
        <v>2201</v>
      </c>
      <c r="Q69" s="195"/>
      <c r="R69" s="195" t="s">
        <v>2539</v>
      </c>
      <c r="S69" s="89">
        <f t="shared" ref="S69:S71" si="3">S68</f>
        <v>0.98</v>
      </c>
      <c r="T69">
        <v>1</v>
      </c>
      <c r="V69" s="341">
        <v>20</v>
      </c>
      <c r="Y69" t="s">
        <v>980</v>
      </c>
      <c r="Z69" s="234"/>
    </row>
    <row r="70" spans="1:26" x14ac:dyDescent="0.35">
      <c r="A70" s="355" t="s">
        <v>2169</v>
      </c>
      <c r="B70" s="356" t="s">
        <v>2274</v>
      </c>
      <c r="C70" s="356"/>
      <c r="D70" s="353">
        <v>57</v>
      </c>
      <c r="E70" s="64" t="str">
        <f t="shared" si="2"/>
        <v>FH.FP.57</v>
      </c>
      <c r="F70" s="321" t="s">
        <v>2291</v>
      </c>
      <c r="G70" s="321" t="s">
        <v>154</v>
      </c>
      <c r="H70" s="321" t="s">
        <v>2800</v>
      </c>
      <c r="I70" s="321" t="s">
        <v>2248</v>
      </c>
      <c r="J70" s="320" t="s">
        <v>253</v>
      </c>
      <c r="K70" s="64" t="s">
        <v>980</v>
      </c>
      <c r="L70" s="319" t="s">
        <v>980</v>
      </c>
      <c r="M70" s="320" t="s">
        <v>194</v>
      </c>
      <c r="N70" s="321" t="s">
        <v>82</v>
      </c>
      <c r="O70" s="195">
        <f>O67</f>
        <v>3.8294117647058828E-3</v>
      </c>
      <c r="P70" s="321" t="s">
        <v>2201</v>
      </c>
      <c r="Q70" s="195"/>
      <c r="R70" s="195" t="s">
        <v>2539</v>
      </c>
      <c r="S70" s="89">
        <f t="shared" si="3"/>
        <v>0.98</v>
      </c>
      <c r="T70">
        <v>1</v>
      </c>
      <c r="V70" s="341">
        <v>20</v>
      </c>
      <c r="Y70" t="s">
        <v>980</v>
      </c>
      <c r="Z70" s="234"/>
    </row>
    <row r="71" spans="1:26" x14ac:dyDescent="0.35">
      <c r="A71" s="355" t="s">
        <v>2169</v>
      </c>
      <c r="B71" s="356" t="s">
        <v>2274</v>
      </c>
      <c r="C71" s="356"/>
      <c r="D71" s="353">
        <v>58</v>
      </c>
      <c r="E71" s="64" t="str">
        <f t="shared" si="2"/>
        <v>FH.FP.58</v>
      </c>
      <c r="F71" s="321" t="s">
        <v>2292</v>
      </c>
      <c r="G71" s="321" t="s">
        <v>154</v>
      </c>
      <c r="H71" s="321" t="s">
        <v>2800</v>
      </c>
      <c r="I71" s="321" t="s">
        <v>2248</v>
      </c>
      <c r="J71" s="320" t="s">
        <v>253</v>
      </c>
      <c r="K71" s="64" t="s">
        <v>980</v>
      </c>
      <c r="L71" s="319" t="s">
        <v>980</v>
      </c>
      <c r="M71" s="320" t="s">
        <v>980</v>
      </c>
      <c r="N71" s="321" t="s">
        <v>82</v>
      </c>
      <c r="O71" s="195">
        <f>Prevalences!B323</f>
        <v>0.37019999999999997</v>
      </c>
      <c r="P71" s="321" t="s">
        <v>2201</v>
      </c>
      <c r="Q71" s="346">
        <v>0.1</v>
      </c>
      <c r="R71" s="195" t="s">
        <v>2540</v>
      </c>
      <c r="S71" s="89">
        <f t="shared" si="3"/>
        <v>0.98</v>
      </c>
      <c r="T71">
        <v>1</v>
      </c>
      <c r="V71" s="341">
        <v>20</v>
      </c>
      <c r="Y71" t="s">
        <v>980</v>
      </c>
      <c r="Z71" s="234"/>
    </row>
    <row r="72" spans="1:26" x14ac:dyDescent="0.35">
      <c r="A72" s="355" t="s">
        <v>2169</v>
      </c>
      <c r="B72" s="356" t="s">
        <v>2274</v>
      </c>
      <c r="C72" s="356"/>
      <c r="D72" s="353">
        <v>59</v>
      </c>
      <c r="E72" s="64" t="str">
        <f t="shared" si="2"/>
        <v>FH.FP.59</v>
      </c>
      <c r="F72" s="321" t="s">
        <v>2293</v>
      </c>
      <c r="G72" s="321" t="s">
        <v>2256</v>
      </c>
      <c r="H72" s="321" t="s">
        <v>206</v>
      </c>
      <c r="I72" s="321" t="s">
        <v>2248</v>
      </c>
      <c r="J72" s="320" t="s">
        <v>194</v>
      </c>
      <c r="K72" s="64" t="s">
        <v>980</v>
      </c>
      <c r="L72" s="319" t="s">
        <v>980</v>
      </c>
      <c r="M72" s="320" t="s">
        <v>980</v>
      </c>
      <c r="N72" s="321" t="s">
        <v>82</v>
      </c>
      <c r="P72" s="195" t="s">
        <v>194</v>
      </c>
      <c r="Q72" s="195"/>
      <c r="R72" s="195"/>
      <c r="S72" s="195"/>
      <c r="T72" s="195"/>
      <c r="Y72" t="s">
        <v>980</v>
      </c>
      <c r="Z72" s="342" t="s">
        <v>2260</v>
      </c>
    </row>
    <row r="73" spans="1:26" x14ac:dyDescent="0.35">
      <c r="A73" s="355" t="s">
        <v>2169</v>
      </c>
      <c r="B73" s="356" t="s">
        <v>2274</v>
      </c>
      <c r="C73" s="356"/>
      <c r="D73" s="353">
        <v>60</v>
      </c>
      <c r="E73" s="64" t="str">
        <f t="shared" si="2"/>
        <v>FH.FP.60</v>
      </c>
      <c r="F73" s="321" t="s">
        <v>2294</v>
      </c>
      <c r="G73" s="321" t="s">
        <v>154</v>
      </c>
      <c r="H73" s="321" t="s">
        <v>2798</v>
      </c>
      <c r="I73" s="321" t="s">
        <v>66</v>
      </c>
      <c r="J73" s="320" t="s">
        <v>187</v>
      </c>
      <c r="K73" s="64" t="s">
        <v>980</v>
      </c>
      <c r="L73" s="319" t="s">
        <v>980</v>
      </c>
      <c r="M73" s="320" t="s">
        <v>194</v>
      </c>
      <c r="N73" s="321" t="s">
        <v>82</v>
      </c>
      <c r="P73" s="195" t="s">
        <v>194</v>
      </c>
      <c r="Q73" s="195"/>
      <c r="R73" s="195"/>
      <c r="S73" s="195"/>
      <c r="T73" s="195"/>
      <c r="Y73" t="s">
        <v>980</v>
      </c>
      <c r="Z73" s="342" t="s">
        <v>2260</v>
      </c>
    </row>
    <row r="74" spans="1:26" x14ac:dyDescent="0.35">
      <c r="A74" s="355" t="s">
        <v>2169</v>
      </c>
      <c r="B74" s="356" t="s">
        <v>2274</v>
      </c>
      <c r="C74" s="356"/>
      <c r="D74" s="353">
        <v>61</v>
      </c>
      <c r="E74" s="64" t="str">
        <f t="shared" si="2"/>
        <v>FH.FP.61</v>
      </c>
      <c r="F74" s="321" t="s">
        <v>2295</v>
      </c>
      <c r="G74" s="321" t="s">
        <v>154</v>
      </c>
      <c r="H74" s="321" t="s">
        <v>2798</v>
      </c>
      <c r="I74" s="321" t="s">
        <v>66</v>
      </c>
      <c r="J74" s="320" t="s">
        <v>156</v>
      </c>
      <c r="K74" s="64" t="s">
        <v>980</v>
      </c>
      <c r="L74" s="319" t="s">
        <v>980</v>
      </c>
      <c r="M74" s="320" t="s">
        <v>194</v>
      </c>
      <c r="N74" s="321" t="s">
        <v>82</v>
      </c>
      <c r="O74" s="195">
        <v>1</v>
      </c>
      <c r="P74" s="321" t="s">
        <v>212</v>
      </c>
      <c r="Q74" s="195"/>
      <c r="R74" s="195"/>
      <c r="S74" s="89">
        <v>1</v>
      </c>
      <c r="T74" s="195"/>
      <c r="Z74" s="234" t="s">
        <v>2202</v>
      </c>
    </row>
    <row r="75" spans="1:26" x14ac:dyDescent="0.35">
      <c r="A75" s="355" t="s">
        <v>2169</v>
      </c>
      <c r="B75" s="356" t="s">
        <v>2274</v>
      </c>
      <c r="C75" s="356"/>
      <c r="D75" s="353">
        <v>62</v>
      </c>
      <c r="E75" s="64" t="str">
        <f t="shared" si="2"/>
        <v>FH.FP.62</v>
      </c>
      <c r="F75" s="321" t="s">
        <v>2310</v>
      </c>
      <c r="G75" s="321" t="s">
        <v>154</v>
      </c>
      <c r="H75" s="321" t="s">
        <v>2800</v>
      </c>
      <c r="I75" s="321" t="s">
        <v>2248</v>
      </c>
      <c r="J75" s="320" t="s">
        <v>2554</v>
      </c>
      <c r="K75" s="64" t="s">
        <v>980</v>
      </c>
      <c r="L75" s="319" t="s">
        <v>980</v>
      </c>
      <c r="M75" s="320" t="s">
        <v>980</v>
      </c>
      <c r="N75" s="321" t="s">
        <v>82</v>
      </c>
      <c r="O75" s="146">
        <v>1</v>
      </c>
      <c r="P75" s="321" t="s">
        <v>2201</v>
      </c>
      <c r="Q75" s="195"/>
      <c r="R75" s="195"/>
      <c r="S75" s="89">
        <v>1</v>
      </c>
      <c r="U75" s="381">
        <f>1/10</f>
        <v>0.1</v>
      </c>
      <c r="V75" s="6">
        <v>10</v>
      </c>
      <c r="Y75" t="s">
        <v>980</v>
      </c>
    </row>
    <row r="76" spans="1:26" x14ac:dyDescent="0.35">
      <c r="A76" s="355" t="s">
        <v>2169</v>
      </c>
      <c r="B76" s="356" t="s">
        <v>70</v>
      </c>
      <c r="C76" s="356"/>
      <c r="D76" s="353">
        <v>63</v>
      </c>
      <c r="E76" s="344"/>
      <c r="F76" s="345" t="s">
        <v>2244</v>
      </c>
      <c r="N76" t="s">
        <v>82</v>
      </c>
    </row>
    <row r="77" spans="1:26" x14ac:dyDescent="0.35">
      <c r="A77" s="355" t="s">
        <v>2169</v>
      </c>
      <c r="B77" s="356" t="s">
        <v>70</v>
      </c>
      <c r="C77" s="356"/>
      <c r="D77" s="353">
        <v>64</v>
      </c>
      <c r="E77" s="64" t="str">
        <f t="shared" ref="E77:E108" si="4">_xlfn.CONCAT("FH.Ntr.",D77)</f>
        <v>FH.Ntr.64</v>
      </c>
      <c r="F77" s="321" t="s">
        <v>2312</v>
      </c>
      <c r="G77" s="321" t="s">
        <v>154</v>
      </c>
      <c r="H77" s="321" t="s">
        <v>2798</v>
      </c>
      <c r="I77" s="321" t="s">
        <v>70</v>
      </c>
      <c r="J77" s="320" t="s">
        <v>156</v>
      </c>
      <c r="K77" s="64" t="s">
        <v>980</v>
      </c>
      <c r="L77" s="319" t="s">
        <v>980</v>
      </c>
      <c r="M77" s="320" t="s">
        <v>980</v>
      </c>
      <c r="N77" s="321" t="s">
        <v>82</v>
      </c>
      <c r="P77" s="195" t="s">
        <v>194</v>
      </c>
      <c r="Q77" s="195"/>
      <c r="R77" s="195"/>
      <c r="S77" s="195"/>
      <c r="T77" s="195"/>
      <c r="Z77" t="s">
        <v>2218</v>
      </c>
    </row>
    <row r="78" spans="1:26" x14ac:dyDescent="0.35">
      <c r="A78" s="355" t="s">
        <v>2169</v>
      </c>
      <c r="B78" s="356" t="s">
        <v>70</v>
      </c>
      <c r="C78" s="356"/>
      <c r="D78" s="353">
        <v>65</v>
      </c>
      <c r="E78" s="64" t="str">
        <f t="shared" si="4"/>
        <v>FH.Ntr.65</v>
      </c>
      <c r="F78" s="321" t="s">
        <v>2313</v>
      </c>
      <c r="G78" s="319" t="s">
        <v>154</v>
      </c>
      <c r="H78" s="321" t="s">
        <v>2798</v>
      </c>
      <c r="I78" s="321" t="s">
        <v>70</v>
      </c>
      <c r="J78" s="320" t="s">
        <v>156</v>
      </c>
      <c r="K78" s="64" t="s">
        <v>980</v>
      </c>
      <c r="L78" s="319" t="s">
        <v>980</v>
      </c>
      <c r="M78" s="320" t="s">
        <v>980</v>
      </c>
      <c r="N78" s="321" t="s">
        <v>82</v>
      </c>
      <c r="P78" s="195" t="s">
        <v>194</v>
      </c>
      <c r="Q78" s="195"/>
      <c r="R78" s="195"/>
      <c r="S78" s="195"/>
      <c r="T78" s="195"/>
      <c r="Z78" t="s">
        <v>2259</v>
      </c>
    </row>
    <row r="79" spans="1:26" x14ac:dyDescent="0.35">
      <c r="A79" s="355" t="s">
        <v>2169</v>
      </c>
      <c r="B79" s="356" t="s">
        <v>70</v>
      </c>
      <c r="C79" s="356"/>
      <c r="D79" s="353">
        <v>66</v>
      </c>
      <c r="E79" s="64" t="str">
        <f t="shared" si="4"/>
        <v>FH.Ntr.66</v>
      </c>
      <c r="F79" s="321" t="s">
        <v>2314</v>
      </c>
      <c r="G79" s="319" t="s">
        <v>154</v>
      </c>
      <c r="H79" s="321" t="s">
        <v>2798</v>
      </c>
      <c r="I79" s="321" t="s">
        <v>70</v>
      </c>
      <c r="J79" s="320" t="s">
        <v>156</v>
      </c>
      <c r="K79" s="64" t="s">
        <v>980</v>
      </c>
      <c r="L79" s="319" t="s">
        <v>980</v>
      </c>
      <c r="M79" s="320" t="s">
        <v>980</v>
      </c>
      <c r="N79" s="321" t="s">
        <v>82</v>
      </c>
      <c r="P79" s="195" t="s">
        <v>194</v>
      </c>
      <c r="Q79" s="195"/>
      <c r="R79" s="195"/>
      <c r="S79" s="195"/>
      <c r="T79" s="195"/>
      <c r="Z79" t="s">
        <v>2259</v>
      </c>
    </row>
    <row r="80" spans="1:26" x14ac:dyDescent="0.35">
      <c r="A80" s="355" t="s">
        <v>2169</v>
      </c>
      <c r="B80" s="356" t="s">
        <v>70</v>
      </c>
      <c r="C80" s="356"/>
      <c r="D80" s="353">
        <v>67</v>
      </c>
      <c r="E80" s="64" t="str">
        <f t="shared" si="4"/>
        <v>FH.Ntr.67</v>
      </c>
      <c r="F80" s="321" t="s">
        <v>2315</v>
      </c>
      <c r="G80" s="319" t="s">
        <v>154</v>
      </c>
      <c r="H80" s="321" t="s">
        <v>2800</v>
      </c>
      <c r="I80" s="321" t="s">
        <v>70</v>
      </c>
      <c r="J80" s="320" t="s">
        <v>156</v>
      </c>
      <c r="K80" s="64" t="s">
        <v>980</v>
      </c>
      <c r="L80" s="319" t="s">
        <v>980</v>
      </c>
      <c r="M80" s="320" t="s">
        <v>980</v>
      </c>
      <c r="N80" s="321" t="s">
        <v>82</v>
      </c>
      <c r="P80" s="195" t="s">
        <v>194</v>
      </c>
      <c r="Q80" s="195"/>
      <c r="R80" s="195"/>
      <c r="S80" s="195"/>
      <c r="T80" s="195"/>
      <c r="Z80" t="s">
        <v>2259</v>
      </c>
    </row>
    <row r="81" spans="1:26" x14ac:dyDescent="0.35">
      <c r="A81" s="355" t="s">
        <v>2169</v>
      </c>
      <c r="B81" s="356" t="s">
        <v>70</v>
      </c>
      <c r="C81" s="356"/>
      <c r="D81" s="353">
        <v>68</v>
      </c>
      <c r="E81" s="64" t="str">
        <f t="shared" si="4"/>
        <v>FH.Ntr.68</v>
      </c>
      <c r="F81" s="321" t="s">
        <v>2316</v>
      </c>
      <c r="G81" s="319" t="s">
        <v>154</v>
      </c>
      <c r="H81" s="321" t="s">
        <v>2800</v>
      </c>
      <c r="I81" s="321" t="s">
        <v>70</v>
      </c>
      <c r="J81" s="320" t="s">
        <v>156</v>
      </c>
      <c r="K81" s="64" t="s">
        <v>980</v>
      </c>
      <c r="L81" s="321" t="s">
        <v>980</v>
      </c>
      <c r="M81" s="320" t="s">
        <v>194</v>
      </c>
      <c r="N81" s="374" t="s">
        <v>82</v>
      </c>
      <c r="O81" s="145">
        <f>Prevalences!AD318</f>
        <v>0.29070000000000001</v>
      </c>
      <c r="P81" s="195" t="s">
        <v>2201</v>
      </c>
      <c r="Q81" s="195"/>
      <c r="R81" s="195"/>
      <c r="S81" s="130">
        <v>0.98</v>
      </c>
      <c r="T81">
        <v>2</v>
      </c>
      <c r="V81" s="6">
        <v>10</v>
      </c>
      <c r="Y81" t="s">
        <v>980</v>
      </c>
    </row>
    <row r="82" spans="1:26" x14ac:dyDescent="0.35">
      <c r="A82" s="355" t="s">
        <v>2169</v>
      </c>
      <c r="B82" s="356" t="s">
        <v>70</v>
      </c>
      <c r="C82" s="356"/>
      <c r="D82" s="353">
        <v>69</v>
      </c>
      <c r="F82" s="321" t="s">
        <v>2317</v>
      </c>
      <c r="G82" s="319" t="s">
        <v>154</v>
      </c>
      <c r="H82" s="321"/>
      <c r="I82" s="321" t="s">
        <v>70</v>
      </c>
      <c r="K82" s="64" t="s">
        <v>980</v>
      </c>
      <c r="L82" s="321" t="s">
        <v>980</v>
      </c>
      <c r="M82" s="320" t="s">
        <v>194</v>
      </c>
      <c r="N82" s="321" t="s">
        <v>82</v>
      </c>
      <c r="P82" s="195" t="s">
        <v>194</v>
      </c>
      <c r="Q82" s="195"/>
      <c r="R82" s="195"/>
      <c r="S82" s="130">
        <v>0.98</v>
      </c>
      <c r="T82" s="195"/>
      <c r="Y82" t="s">
        <v>980</v>
      </c>
    </row>
    <row r="83" spans="1:26" x14ac:dyDescent="0.35">
      <c r="A83" s="355"/>
      <c r="B83" s="356"/>
      <c r="C83" s="356"/>
      <c r="D83" s="353"/>
      <c r="E83" s="265" t="str">
        <f>_xlfn.CONCAT("FH.Ntr.",D82,"A")</f>
        <v>FH.Ntr.69A</v>
      </c>
      <c r="F83" s="321" t="s">
        <v>2547</v>
      </c>
      <c r="G83" s="319" t="s">
        <v>154</v>
      </c>
      <c r="H83" s="321" t="s">
        <v>2800</v>
      </c>
      <c r="I83" s="321" t="s">
        <v>70</v>
      </c>
      <c r="J83" s="320" t="s">
        <v>169</v>
      </c>
      <c r="K83" s="64" t="s">
        <v>980</v>
      </c>
      <c r="L83" s="321" t="s">
        <v>980</v>
      </c>
      <c r="M83" s="320" t="s">
        <v>194</v>
      </c>
      <c r="N83" s="374" t="s">
        <v>82</v>
      </c>
      <c r="O83" s="145">
        <f>Prevalences!AB322</f>
        <v>0.03</v>
      </c>
      <c r="P83" s="195" t="s">
        <v>1868</v>
      </c>
      <c r="Q83" s="195"/>
      <c r="R83" s="195"/>
      <c r="S83" s="257">
        <f>S82</f>
        <v>0.98</v>
      </c>
      <c r="T83">
        <v>2</v>
      </c>
      <c r="V83" s="6">
        <v>10</v>
      </c>
      <c r="Y83" t="s">
        <v>980</v>
      </c>
    </row>
    <row r="84" spans="1:26" x14ac:dyDescent="0.35">
      <c r="A84" s="355"/>
      <c r="B84" s="356"/>
      <c r="C84" s="356"/>
      <c r="D84" s="353"/>
      <c r="E84" s="265" t="s">
        <v>2545</v>
      </c>
      <c r="F84" s="321" t="s">
        <v>2548</v>
      </c>
      <c r="G84" s="319" t="s">
        <v>154</v>
      </c>
      <c r="H84" s="321" t="s">
        <v>2800</v>
      </c>
      <c r="I84" s="321" t="s">
        <v>70</v>
      </c>
      <c r="J84" s="320" t="s">
        <v>2544</v>
      </c>
      <c r="K84" s="64" t="s">
        <v>980</v>
      </c>
      <c r="L84" s="321" t="s">
        <v>980</v>
      </c>
      <c r="M84" s="320" t="s">
        <v>194</v>
      </c>
      <c r="N84" s="374" t="s">
        <v>82</v>
      </c>
      <c r="O84" s="145">
        <f>Prevalences!AB323</f>
        <v>0.02</v>
      </c>
      <c r="P84" s="195" t="s">
        <v>1868</v>
      </c>
      <c r="Q84" s="195"/>
      <c r="R84" s="195"/>
      <c r="S84" s="257">
        <f t="shared" ref="S84:S85" si="5">S83</f>
        <v>0.98</v>
      </c>
      <c r="T84">
        <v>2</v>
      </c>
      <c r="V84" s="6">
        <v>10</v>
      </c>
      <c r="Y84" t="s">
        <v>980</v>
      </c>
    </row>
    <row r="85" spans="1:26" x14ac:dyDescent="0.35">
      <c r="A85" s="355"/>
      <c r="B85" s="356"/>
      <c r="C85" s="356"/>
      <c r="D85" s="353"/>
      <c r="E85" s="265" t="s">
        <v>2546</v>
      </c>
      <c r="F85" s="321" t="s">
        <v>2549</v>
      </c>
      <c r="G85" s="319" t="s">
        <v>154</v>
      </c>
      <c r="H85" s="321" t="s">
        <v>2800</v>
      </c>
      <c r="I85" s="321" t="s">
        <v>70</v>
      </c>
      <c r="J85" s="320" t="s">
        <v>201</v>
      </c>
      <c r="K85" s="64" t="s">
        <v>980</v>
      </c>
      <c r="L85" s="321" t="s">
        <v>980</v>
      </c>
      <c r="M85" s="320" t="s">
        <v>194</v>
      </c>
      <c r="N85" s="374" t="s">
        <v>82</v>
      </c>
      <c r="O85" s="145">
        <f>Prevalences!AB324</f>
        <v>0.01</v>
      </c>
      <c r="P85" s="195" t="s">
        <v>1868</v>
      </c>
      <c r="Q85" s="195"/>
      <c r="R85" s="195"/>
      <c r="S85" s="257">
        <f t="shared" si="5"/>
        <v>0.98</v>
      </c>
      <c r="T85">
        <v>2</v>
      </c>
      <c r="V85" s="6">
        <v>10</v>
      </c>
      <c r="Y85" t="s">
        <v>980</v>
      </c>
    </row>
    <row r="86" spans="1:26" x14ac:dyDescent="0.35">
      <c r="A86" s="355" t="s">
        <v>2169</v>
      </c>
      <c r="B86" s="356" t="s">
        <v>70</v>
      </c>
      <c r="C86" s="356"/>
      <c r="D86" s="353">
        <v>70</v>
      </c>
      <c r="E86" s="64" t="str">
        <f t="shared" si="4"/>
        <v>FH.Ntr.70</v>
      </c>
      <c r="F86" s="321" t="s">
        <v>2318</v>
      </c>
      <c r="G86" s="321" t="s">
        <v>2256</v>
      </c>
      <c r="H86" s="321" t="s">
        <v>206</v>
      </c>
      <c r="I86" s="321" t="s">
        <v>70</v>
      </c>
      <c r="J86" s="320" t="s">
        <v>194</v>
      </c>
      <c r="K86" s="64" t="s">
        <v>980</v>
      </c>
      <c r="L86" s="319" t="s">
        <v>980</v>
      </c>
      <c r="M86" s="320" t="s">
        <v>980</v>
      </c>
      <c r="N86" s="321" t="s">
        <v>82</v>
      </c>
      <c r="P86" s="195"/>
      <c r="Q86" s="195"/>
      <c r="R86" s="195"/>
      <c r="S86" s="195"/>
      <c r="T86" s="195"/>
      <c r="Z86" t="s">
        <v>483</v>
      </c>
    </row>
    <row r="87" spans="1:26" x14ac:dyDescent="0.35">
      <c r="A87" s="355" t="s">
        <v>2169</v>
      </c>
      <c r="B87" s="356" t="s">
        <v>70</v>
      </c>
      <c r="C87" s="356"/>
      <c r="D87" s="353">
        <v>71</v>
      </c>
      <c r="E87" s="64" t="str">
        <f t="shared" si="4"/>
        <v>FH.Ntr.71</v>
      </c>
      <c r="F87" s="321" t="s">
        <v>2319</v>
      </c>
      <c r="G87" s="321" t="s">
        <v>2256</v>
      </c>
      <c r="H87" s="321" t="s">
        <v>206</v>
      </c>
      <c r="I87" s="321" t="s">
        <v>70</v>
      </c>
      <c r="J87" s="320" t="s">
        <v>194</v>
      </c>
      <c r="K87" s="64" t="s">
        <v>980</v>
      </c>
      <c r="L87" s="319" t="s">
        <v>980</v>
      </c>
      <c r="M87" s="320" t="s">
        <v>980</v>
      </c>
      <c r="N87" s="321" t="s">
        <v>82</v>
      </c>
      <c r="P87" s="195"/>
      <c r="Q87" s="195"/>
      <c r="R87" s="195"/>
      <c r="S87" s="195"/>
      <c r="T87" s="195"/>
      <c r="Z87" t="s">
        <v>483</v>
      </c>
    </row>
    <row r="88" spans="1:26" x14ac:dyDescent="0.35">
      <c r="A88" s="355" t="s">
        <v>2169</v>
      </c>
      <c r="B88" s="356" t="s">
        <v>70</v>
      </c>
      <c r="C88" s="356"/>
      <c r="D88" s="353">
        <v>72</v>
      </c>
      <c r="E88" s="64" t="str">
        <f t="shared" si="4"/>
        <v>FH.Ntr.72</v>
      </c>
      <c r="F88" s="321" t="s">
        <v>2320</v>
      </c>
      <c r="G88" s="319" t="s">
        <v>154</v>
      </c>
      <c r="H88" s="321" t="s">
        <v>2798</v>
      </c>
      <c r="I88" s="321" t="s">
        <v>70</v>
      </c>
      <c r="J88" s="320" t="s">
        <v>156</v>
      </c>
      <c r="K88" s="64" t="s">
        <v>980</v>
      </c>
      <c r="L88" s="321" t="s">
        <v>980</v>
      </c>
      <c r="M88" s="320" t="s">
        <v>194</v>
      </c>
      <c r="N88" s="321" t="s">
        <v>82</v>
      </c>
      <c r="P88" s="195"/>
      <c r="Q88" s="195"/>
      <c r="R88" s="195"/>
      <c r="S88" s="195"/>
      <c r="T88" s="195"/>
      <c r="Z88" t="s">
        <v>2259</v>
      </c>
    </row>
    <row r="89" spans="1:26" x14ac:dyDescent="0.35">
      <c r="A89" s="355" t="s">
        <v>2169</v>
      </c>
      <c r="B89" s="356" t="s">
        <v>70</v>
      </c>
      <c r="C89" s="356"/>
      <c r="D89" s="353">
        <v>73</v>
      </c>
      <c r="E89" s="64" t="str">
        <f t="shared" si="4"/>
        <v>FH.Ntr.73</v>
      </c>
      <c r="F89" s="321" t="s">
        <v>2321</v>
      </c>
      <c r="G89" s="321" t="s">
        <v>154</v>
      </c>
      <c r="H89" s="321" t="s">
        <v>2798</v>
      </c>
      <c r="I89" s="321" t="s">
        <v>70</v>
      </c>
      <c r="J89" s="320" t="s">
        <v>201</v>
      </c>
      <c r="K89" s="64" t="s">
        <v>980</v>
      </c>
      <c r="L89" s="321" t="s">
        <v>980</v>
      </c>
      <c r="M89" s="320" t="s">
        <v>194</v>
      </c>
      <c r="N89" s="321" t="s">
        <v>82</v>
      </c>
      <c r="P89" s="195"/>
      <c r="Q89" s="195"/>
      <c r="R89" s="195"/>
      <c r="S89" s="195"/>
      <c r="T89" s="195"/>
      <c r="Z89" t="s">
        <v>2259</v>
      </c>
    </row>
    <row r="90" spans="1:26" x14ac:dyDescent="0.35">
      <c r="A90" s="355" t="s">
        <v>2169</v>
      </c>
      <c r="B90" s="356" t="s">
        <v>70</v>
      </c>
      <c r="C90" s="356"/>
      <c r="D90" s="353">
        <v>74</v>
      </c>
      <c r="E90" s="64" t="str">
        <f t="shared" si="4"/>
        <v>FH.Ntr.74</v>
      </c>
      <c r="F90" s="321" t="s">
        <v>2322</v>
      </c>
      <c r="G90" s="321" t="s">
        <v>2256</v>
      </c>
      <c r="H90" s="321" t="s">
        <v>206</v>
      </c>
      <c r="I90" s="321" t="s">
        <v>70</v>
      </c>
      <c r="J90" s="320" t="s">
        <v>194</v>
      </c>
      <c r="K90" s="64" t="s">
        <v>980</v>
      </c>
      <c r="L90" s="319" t="s">
        <v>980</v>
      </c>
      <c r="M90" s="320" t="s">
        <v>980</v>
      </c>
      <c r="N90" s="321" t="s">
        <v>82</v>
      </c>
      <c r="P90" s="195"/>
      <c r="Q90" s="195"/>
      <c r="R90" s="195"/>
      <c r="S90" s="195"/>
      <c r="T90" s="195"/>
      <c r="Z90" t="s">
        <v>483</v>
      </c>
    </row>
    <row r="91" spans="1:26" x14ac:dyDescent="0.35">
      <c r="A91" s="355" t="s">
        <v>2169</v>
      </c>
      <c r="B91" s="356" t="s">
        <v>70</v>
      </c>
      <c r="C91" s="356"/>
      <c r="D91" s="353">
        <v>75</v>
      </c>
      <c r="E91" s="64" t="str">
        <f t="shared" si="4"/>
        <v>FH.Ntr.75</v>
      </c>
      <c r="F91" s="321" t="s">
        <v>2323</v>
      </c>
      <c r="G91" s="321" t="s">
        <v>2256</v>
      </c>
      <c r="H91" s="321" t="s">
        <v>206</v>
      </c>
      <c r="I91" s="321" t="s">
        <v>70</v>
      </c>
      <c r="J91" s="320" t="s">
        <v>194</v>
      </c>
      <c r="K91" s="64" t="s">
        <v>980</v>
      </c>
      <c r="L91" s="321" t="s">
        <v>980</v>
      </c>
      <c r="M91" s="320" t="s">
        <v>980</v>
      </c>
      <c r="N91" s="321" t="s">
        <v>82</v>
      </c>
      <c r="P91" s="195"/>
      <c r="Q91" s="195"/>
      <c r="R91" s="195"/>
      <c r="S91" s="195"/>
      <c r="T91" s="195"/>
      <c r="Z91" t="s">
        <v>483</v>
      </c>
    </row>
    <row r="92" spans="1:26" x14ac:dyDescent="0.35">
      <c r="A92" s="355" t="s">
        <v>2169</v>
      </c>
      <c r="B92" s="356" t="s">
        <v>70</v>
      </c>
      <c r="C92" s="356"/>
      <c r="D92" s="353">
        <v>76</v>
      </c>
      <c r="E92" s="64" t="str">
        <f t="shared" si="4"/>
        <v>FH.Ntr.76</v>
      </c>
      <c r="F92" s="321" t="s">
        <v>2324</v>
      </c>
      <c r="G92" s="321" t="s">
        <v>2256</v>
      </c>
      <c r="H92" s="321" t="s">
        <v>206</v>
      </c>
      <c r="I92" s="321" t="s">
        <v>70</v>
      </c>
      <c r="J92" s="320" t="s">
        <v>194</v>
      </c>
      <c r="K92" s="64" t="s">
        <v>980</v>
      </c>
      <c r="L92" s="319" t="s">
        <v>980</v>
      </c>
      <c r="M92" s="320" t="s">
        <v>980</v>
      </c>
      <c r="N92" s="321" t="s">
        <v>82</v>
      </c>
      <c r="P92" s="195"/>
      <c r="Q92" s="195"/>
      <c r="R92" s="195"/>
      <c r="S92" s="195"/>
      <c r="T92" s="195"/>
      <c r="Z92" t="s">
        <v>2341</v>
      </c>
    </row>
    <row r="93" spans="1:26" x14ac:dyDescent="0.35">
      <c r="A93" s="355" t="s">
        <v>2169</v>
      </c>
      <c r="B93" s="356" t="s">
        <v>70</v>
      </c>
      <c r="C93" s="356"/>
      <c r="D93" s="353">
        <v>77</v>
      </c>
      <c r="E93" s="64" t="str">
        <f t="shared" si="4"/>
        <v>FH.Ntr.77</v>
      </c>
      <c r="F93" s="321" t="s">
        <v>2325</v>
      </c>
      <c r="G93" s="321" t="s">
        <v>154</v>
      </c>
      <c r="H93" s="321" t="s">
        <v>206</v>
      </c>
      <c r="I93" s="321" t="s">
        <v>70</v>
      </c>
      <c r="J93" s="320" t="s">
        <v>194</v>
      </c>
      <c r="K93" s="64" t="s">
        <v>980</v>
      </c>
      <c r="L93" s="319" t="s">
        <v>980</v>
      </c>
      <c r="M93" s="320" t="s">
        <v>980</v>
      </c>
      <c r="N93" s="321" t="s">
        <v>82</v>
      </c>
      <c r="P93" s="195"/>
      <c r="Q93" s="195"/>
      <c r="R93" s="195"/>
      <c r="S93" s="195"/>
      <c r="T93" s="195"/>
      <c r="Z93" t="s">
        <v>2344</v>
      </c>
    </row>
    <row r="94" spans="1:26" x14ac:dyDescent="0.35">
      <c r="A94" s="355" t="s">
        <v>2169</v>
      </c>
      <c r="B94" s="356" t="s">
        <v>70</v>
      </c>
      <c r="C94" s="356"/>
      <c r="D94" s="353">
        <v>78</v>
      </c>
      <c r="E94" s="64" t="str">
        <f t="shared" si="4"/>
        <v>FH.Ntr.78</v>
      </c>
      <c r="F94" s="321" t="s">
        <v>2326</v>
      </c>
      <c r="G94" s="321" t="s">
        <v>2256</v>
      </c>
      <c r="H94" s="321" t="s">
        <v>206</v>
      </c>
      <c r="I94" s="321" t="s">
        <v>70</v>
      </c>
      <c r="J94" s="320" t="s">
        <v>194</v>
      </c>
      <c r="K94" s="64" t="s">
        <v>980</v>
      </c>
      <c r="L94" s="319" t="s">
        <v>980</v>
      </c>
      <c r="M94" s="320" t="s">
        <v>980</v>
      </c>
      <c r="N94" s="321" t="s">
        <v>82</v>
      </c>
      <c r="P94" s="195"/>
      <c r="Q94" s="195"/>
      <c r="R94" s="195"/>
      <c r="S94" s="195"/>
      <c r="T94" s="195"/>
      <c r="Z94" t="s">
        <v>2341</v>
      </c>
    </row>
    <row r="95" spans="1:26" x14ac:dyDescent="0.35">
      <c r="A95" s="355" t="s">
        <v>2169</v>
      </c>
      <c r="B95" s="356" t="s">
        <v>70</v>
      </c>
      <c r="C95" s="356"/>
      <c r="D95" s="353">
        <v>79</v>
      </c>
      <c r="E95" s="64" t="str">
        <f t="shared" si="4"/>
        <v>FH.Ntr.79</v>
      </c>
      <c r="F95" s="321" t="s">
        <v>2327</v>
      </c>
      <c r="G95" s="319" t="s">
        <v>154</v>
      </c>
      <c r="H95" s="321" t="s">
        <v>2798</v>
      </c>
      <c r="I95" s="321" t="s">
        <v>70</v>
      </c>
      <c r="J95" s="320" t="s">
        <v>156</v>
      </c>
      <c r="K95" s="64" t="s">
        <v>980</v>
      </c>
      <c r="L95" s="319" t="s">
        <v>980</v>
      </c>
      <c r="M95" s="320" t="s">
        <v>980</v>
      </c>
      <c r="N95" s="321" t="s">
        <v>82</v>
      </c>
      <c r="P95" s="195"/>
      <c r="Q95" s="195"/>
      <c r="R95" s="195"/>
      <c r="S95" s="195"/>
      <c r="T95" s="195"/>
      <c r="Z95" t="s">
        <v>2218</v>
      </c>
    </row>
    <row r="96" spans="1:26" x14ac:dyDescent="0.35">
      <c r="A96" s="355" t="s">
        <v>2169</v>
      </c>
      <c r="B96" s="356" t="s">
        <v>70</v>
      </c>
      <c r="C96" s="356"/>
      <c r="D96" s="353">
        <v>80</v>
      </c>
      <c r="E96" s="64" t="str">
        <f t="shared" si="4"/>
        <v>FH.Ntr.80</v>
      </c>
      <c r="F96" s="321" t="s">
        <v>2328</v>
      </c>
      <c r="G96" s="319" t="s">
        <v>154</v>
      </c>
      <c r="H96" s="321" t="s">
        <v>2800</v>
      </c>
      <c r="I96" s="321" t="s">
        <v>70</v>
      </c>
      <c r="J96" s="320" t="s">
        <v>169</v>
      </c>
      <c r="K96" s="64" t="s">
        <v>980</v>
      </c>
      <c r="L96" s="319" t="s">
        <v>980</v>
      </c>
      <c r="M96" s="320" t="s">
        <v>980</v>
      </c>
      <c r="N96" s="321" t="s">
        <v>82</v>
      </c>
      <c r="P96" s="195"/>
      <c r="Q96" s="195"/>
      <c r="R96" s="195"/>
      <c r="S96" s="195"/>
      <c r="T96" s="195"/>
      <c r="Z96" t="s">
        <v>2342</v>
      </c>
    </row>
    <row r="97" spans="1:26" x14ac:dyDescent="0.35">
      <c r="A97" s="355" t="s">
        <v>2169</v>
      </c>
      <c r="B97" s="356" t="s">
        <v>70</v>
      </c>
      <c r="C97" s="356"/>
      <c r="D97" s="353">
        <v>81</v>
      </c>
      <c r="E97" s="64" t="str">
        <f t="shared" si="4"/>
        <v>FH.Ntr.81</v>
      </c>
      <c r="F97" s="321" t="s">
        <v>2329</v>
      </c>
      <c r="G97" s="319" t="s">
        <v>154</v>
      </c>
      <c r="H97" s="321" t="s">
        <v>206</v>
      </c>
      <c r="I97" s="321" t="s">
        <v>70</v>
      </c>
      <c r="J97" s="320" t="s">
        <v>156</v>
      </c>
      <c r="K97" s="64" t="s">
        <v>980</v>
      </c>
      <c r="L97" s="319" t="s">
        <v>980</v>
      </c>
      <c r="M97" s="320" t="s">
        <v>980</v>
      </c>
      <c r="N97" s="321" t="s">
        <v>82</v>
      </c>
      <c r="P97" s="195"/>
      <c r="Q97" s="195"/>
      <c r="R97" s="195"/>
      <c r="S97" s="195"/>
      <c r="T97" s="195"/>
      <c r="Z97" t="s">
        <v>2341</v>
      </c>
    </row>
    <row r="98" spans="1:26" x14ac:dyDescent="0.35">
      <c r="A98" s="355" t="s">
        <v>2169</v>
      </c>
      <c r="B98" s="356" t="s">
        <v>70</v>
      </c>
      <c r="C98" s="356"/>
      <c r="D98" s="353">
        <v>82</v>
      </c>
      <c r="E98" s="64" t="str">
        <f t="shared" si="4"/>
        <v>FH.Ntr.82</v>
      </c>
      <c r="F98" s="321" t="s">
        <v>2330</v>
      </c>
      <c r="G98" s="319" t="s">
        <v>154</v>
      </c>
      <c r="H98" s="321" t="s">
        <v>206</v>
      </c>
      <c r="I98" s="321" t="s">
        <v>70</v>
      </c>
      <c r="J98" s="320" t="s">
        <v>156</v>
      </c>
      <c r="K98" s="64" t="s">
        <v>980</v>
      </c>
      <c r="L98" s="319" t="s">
        <v>980</v>
      </c>
      <c r="M98" s="320" t="s">
        <v>980</v>
      </c>
      <c r="N98" s="321" t="s">
        <v>82</v>
      </c>
      <c r="P98" s="195"/>
      <c r="Q98" s="195"/>
      <c r="R98" s="195"/>
      <c r="S98" s="195"/>
      <c r="T98" s="195"/>
      <c r="Z98" t="s">
        <v>2341</v>
      </c>
    </row>
    <row r="99" spans="1:26" x14ac:dyDescent="0.35">
      <c r="A99" s="355" t="s">
        <v>2169</v>
      </c>
      <c r="B99" s="356" t="s">
        <v>70</v>
      </c>
      <c r="C99" s="356"/>
      <c r="D99" s="353">
        <v>83</v>
      </c>
      <c r="E99" s="64" t="str">
        <f t="shared" si="4"/>
        <v>FH.Ntr.83</v>
      </c>
      <c r="F99" s="321" t="s">
        <v>2332</v>
      </c>
      <c r="G99" s="319" t="s">
        <v>154</v>
      </c>
      <c r="H99" s="321" t="s">
        <v>206</v>
      </c>
      <c r="I99" s="321" t="s">
        <v>70</v>
      </c>
      <c r="J99" s="320" t="s">
        <v>156</v>
      </c>
      <c r="K99" s="64" t="s">
        <v>980</v>
      </c>
      <c r="L99" s="319" t="s">
        <v>980</v>
      </c>
      <c r="M99" s="320" t="s">
        <v>980</v>
      </c>
      <c r="N99" s="321" t="s">
        <v>82</v>
      </c>
      <c r="P99" s="195"/>
      <c r="Q99" s="195"/>
      <c r="R99" s="195"/>
      <c r="S99" s="195"/>
      <c r="T99" s="195"/>
      <c r="Z99" t="s">
        <v>2341</v>
      </c>
    </row>
    <row r="100" spans="1:26" x14ac:dyDescent="0.35">
      <c r="A100" s="355" t="s">
        <v>2169</v>
      </c>
      <c r="B100" s="356" t="s">
        <v>70</v>
      </c>
      <c r="C100" s="356"/>
      <c r="D100" s="353">
        <v>84</v>
      </c>
      <c r="E100" s="64" t="str">
        <f t="shared" si="4"/>
        <v>FH.Ntr.84</v>
      </c>
      <c r="F100" s="321" t="s">
        <v>2331</v>
      </c>
      <c r="G100" s="319" t="s">
        <v>154</v>
      </c>
      <c r="H100" s="321" t="s">
        <v>206</v>
      </c>
      <c r="I100" s="321" t="s">
        <v>70</v>
      </c>
      <c r="J100" s="320" t="s">
        <v>156</v>
      </c>
      <c r="K100" s="64" t="s">
        <v>980</v>
      </c>
      <c r="L100" s="319" t="s">
        <v>980</v>
      </c>
      <c r="M100" s="320" t="s">
        <v>980</v>
      </c>
      <c r="N100" s="321" t="s">
        <v>82</v>
      </c>
      <c r="P100" s="195"/>
      <c r="Q100" s="195"/>
      <c r="R100" s="195"/>
      <c r="S100" s="195"/>
      <c r="T100" s="195"/>
      <c r="Z100" t="s">
        <v>2341</v>
      </c>
    </row>
    <row r="101" spans="1:26" x14ac:dyDescent="0.35">
      <c r="A101" s="355" t="s">
        <v>2169</v>
      </c>
      <c r="B101" s="356" t="s">
        <v>70</v>
      </c>
      <c r="C101" s="356"/>
      <c r="D101" s="353">
        <v>85</v>
      </c>
      <c r="E101" s="64" t="str">
        <f t="shared" si="4"/>
        <v>FH.Ntr.85</v>
      </c>
      <c r="F101" s="321" t="s">
        <v>2333</v>
      </c>
      <c r="G101" s="321" t="s">
        <v>2256</v>
      </c>
      <c r="H101" s="321" t="s">
        <v>206</v>
      </c>
      <c r="I101" s="321" t="s">
        <v>70</v>
      </c>
      <c r="J101" s="320" t="s">
        <v>194</v>
      </c>
      <c r="K101" s="64" t="s">
        <v>980</v>
      </c>
      <c r="L101" s="319" t="s">
        <v>980</v>
      </c>
      <c r="M101" s="320" t="s">
        <v>980</v>
      </c>
      <c r="N101" s="321" t="s">
        <v>82</v>
      </c>
      <c r="P101" s="195"/>
      <c r="Q101" s="195"/>
      <c r="R101" s="195"/>
      <c r="S101" s="195"/>
      <c r="T101" s="195"/>
      <c r="Z101" t="s">
        <v>2341</v>
      </c>
    </row>
    <row r="102" spans="1:26" x14ac:dyDescent="0.35">
      <c r="A102" s="355" t="s">
        <v>2169</v>
      </c>
      <c r="B102" s="356" t="s">
        <v>70</v>
      </c>
      <c r="C102" s="356"/>
      <c r="D102" s="353">
        <v>86</v>
      </c>
      <c r="E102" s="64" t="str">
        <f t="shared" si="4"/>
        <v>FH.Ntr.86</v>
      </c>
      <c r="F102" s="321" t="s">
        <v>2334</v>
      </c>
      <c r="G102" s="321" t="s">
        <v>2256</v>
      </c>
      <c r="H102" s="321" t="s">
        <v>206</v>
      </c>
      <c r="I102" s="321" t="s">
        <v>70</v>
      </c>
      <c r="J102" s="320" t="s">
        <v>194</v>
      </c>
      <c r="K102" s="64" t="s">
        <v>980</v>
      </c>
      <c r="L102" s="319" t="s">
        <v>980</v>
      </c>
      <c r="M102" s="320" t="s">
        <v>980</v>
      </c>
      <c r="N102" s="321" t="s">
        <v>82</v>
      </c>
      <c r="P102" s="195"/>
      <c r="Q102" s="195"/>
      <c r="R102" s="195"/>
      <c r="S102" s="195"/>
      <c r="T102" s="195"/>
      <c r="Z102" t="s">
        <v>2341</v>
      </c>
    </row>
    <row r="103" spans="1:26" x14ac:dyDescent="0.35">
      <c r="A103" s="355" t="s">
        <v>2169</v>
      </c>
      <c r="B103" s="356" t="s">
        <v>70</v>
      </c>
      <c r="C103" s="356"/>
      <c r="D103" s="353">
        <v>87</v>
      </c>
      <c r="E103" s="64" t="str">
        <f t="shared" si="4"/>
        <v>FH.Ntr.87</v>
      </c>
      <c r="F103" s="321" t="s">
        <v>2335</v>
      </c>
      <c r="G103" s="321" t="s">
        <v>2256</v>
      </c>
      <c r="H103" s="321" t="s">
        <v>206</v>
      </c>
      <c r="I103" s="321" t="s">
        <v>70</v>
      </c>
      <c r="J103" s="320" t="s">
        <v>194</v>
      </c>
      <c r="K103" s="64" t="s">
        <v>194</v>
      </c>
      <c r="L103" s="321" t="s">
        <v>194</v>
      </c>
      <c r="M103" s="320" t="s">
        <v>194</v>
      </c>
      <c r="N103" s="321" t="s">
        <v>82</v>
      </c>
      <c r="P103" s="195"/>
      <c r="Q103" s="195"/>
      <c r="R103" s="195"/>
      <c r="S103" s="195"/>
      <c r="T103" s="195"/>
      <c r="Y103" t="s">
        <v>980</v>
      </c>
      <c r="Z103" t="s">
        <v>2343</v>
      </c>
    </row>
    <row r="104" spans="1:26" x14ac:dyDescent="0.35">
      <c r="A104" s="355" t="s">
        <v>2169</v>
      </c>
      <c r="B104" s="356" t="s">
        <v>70</v>
      </c>
      <c r="C104" s="356"/>
      <c r="D104" s="353">
        <v>88</v>
      </c>
      <c r="E104" s="64" t="str">
        <f t="shared" si="4"/>
        <v>FH.Ntr.88</v>
      </c>
      <c r="F104" s="321" t="s">
        <v>2336</v>
      </c>
      <c r="G104" s="321" t="s">
        <v>2256</v>
      </c>
      <c r="H104" s="321" t="s">
        <v>206</v>
      </c>
      <c r="I104" s="321" t="s">
        <v>70</v>
      </c>
      <c r="J104" s="320" t="s">
        <v>194</v>
      </c>
      <c r="K104" s="64" t="s">
        <v>194</v>
      </c>
      <c r="L104" s="321" t="s">
        <v>194</v>
      </c>
      <c r="M104" s="320" t="s">
        <v>194</v>
      </c>
      <c r="N104" s="321" t="s">
        <v>82</v>
      </c>
      <c r="P104" s="195"/>
      <c r="Q104" s="195"/>
      <c r="R104" s="195"/>
      <c r="S104" s="195"/>
      <c r="T104" s="195"/>
      <c r="Y104" t="s">
        <v>980</v>
      </c>
      <c r="Z104" t="s">
        <v>2343</v>
      </c>
    </row>
    <row r="105" spans="1:26" x14ac:dyDescent="0.35">
      <c r="A105" s="355" t="s">
        <v>2169</v>
      </c>
      <c r="B105" s="356" t="s">
        <v>70</v>
      </c>
      <c r="C105" s="356"/>
      <c r="D105" s="353">
        <v>89</v>
      </c>
      <c r="E105" s="64" t="str">
        <f t="shared" si="4"/>
        <v>FH.Ntr.89</v>
      </c>
      <c r="F105" s="321" t="s">
        <v>2337</v>
      </c>
      <c r="G105" s="321" t="s">
        <v>154</v>
      </c>
      <c r="H105" s="321" t="s">
        <v>206</v>
      </c>
      <c r="I105" s="321" t="s">
        <v>70</v>
      </c>
      <c r="J105" s="320" t="s">
        <v>194</v>
      </c>
      <c r="K105" s="64" t="s">
        <v>194</v>
      </c>
      <c r="L105" s="321" t="s">
        <v>194</v>
      </c>
      <c r="M105" s="320" t="s">
        <v>194</v>
      </c>
      <c r="N105" s="321" t="s">
        <v>82</v>
      </c>
      <c r="P105" s="195"/>
      <c r="Q105" s="195"/>
      <c r="R105" s="195"/>
      <c r="S105" s="195"/>
      <c r="T105" s="195"/>
      <c r="Y105" t="s">
        <v>980</v>
      </c>
      <c r="Z105" t="s">
        <v>2343</v>
      </c>
    </row>
    <row r="106" spans="1:26" x14ac:dyDescent="0.35">
      <c r="A106" s="355" t="s">
        <v>2169</v>
      </c>
      <c r="B106" s="356" t="s">
        <v>70</v>
      </c>
      <c r="C106" s="356"/>
      <c r="D106" s="353">
        <v>90</v>
      </c>
      <c r="E106" s="64" t="str">
        <f t="shared" si="4"/>
        <v>FH.Ntr.90</v>
      </c>
      <c r="F106" s="321" t="s">
        <v>2338</v>
      </c>
      <c r="G106" s="321" t="s">
        <v>2256</v>
      </c>
      <c r="H106" s="321" t="s">
        <v>206</v>
      </c>
      <c r="I106" s="321" t="s">
        <v>70</v>
      </c>
      <c r="J106" s="320" t="s">
        <v>194</v>
      </c>
      <c r="K106" s="64" t="s">
        <v>194</v>
      </c>
      <c r="L106" s="321" t="s">
        <v>194</v>
      </c>
      <c r="M106" s="320" t="s">
        <v>194</v>
      </c>
      <c r="N106" s="321" t="s">
        <v>82</v>
      </c>
      <c r="P106" s="195"/>
      <c r="Q106" s="195"/>
      <c r="R106" s="195"/>
      <c r="S106" s="195"/>
      <c r="T106" s="195"/>
      <c r="Y106" t="s">
        <v>980</v>
      </c>
      <c r="Z106" t="s">
        <v>2343</v>
      </c>
    </row>
    <row r="107" spans="1:26" x14ac:dyDescent="0.35">
      <c r="A107" s="355" t="s">
        <v>2169</v>
      </c>
      <c r="B107" s="356" t="s">
        <v>70</v>
      </c>
      <c r="C107" s="356"/>
      <c r="D107" s="353">
        <v>91</v>
      </c>
      <c r="E107" s="64" t="str">
        <f t="shared" si="4"/>
        <v>FH.Ntr.91</v>
      </c>
      <c r="F107" s="321" t="s">
        <v>2339</v>
      </c>
      <c r="G107" s="321" t="s">
        <v>2256</v>
      </c>
      <c r="H107" s="321" t="s">
        <v>206</v>
      </c>
      <c r="I107" s="321" t="s">
        <v>70</v>
      </c>
      <c r="J107" s="320" t="s">
        <v>194</v>
      </c>
      <c r="K107" s="64" t="s">
        <v>194</v>
      </c>
      <c r="L107" s="321" t="s">
        <v>194</v>
      </c>
      <c r="M107" s="320" t="s">
        <v>194</v>
      </c>
      <c r="N107" s="321" t="s">
        <v>82</v>
      </c>
      <c r="P107" s="195"/>
      <c r="Q107" s="195"/>
      <c r="R107" s="195"/>
      <c r="S107" s="195"/>
      <c r="T107" s="195"/>
      <c r="Y107" t="s">
        <v>980</v>
      </c>
      <c r="Z107" t="s">
        <v>2343</v>
      </c>
    </row>
    <row r="108" spans="1:26" x14ac:dyDescent="0.35">
      <c r="A108" s="355" t="s">
        <v>2169</v>
      </c>
      <c r="B108" s="356" t="s">
        <v>70</v>
      </c>
      <c r="C108" s="356"/>
      <c r="D108" s="353">
        <v>92</v>
      </c>
      <c r="E108" s="64" t="str">
        <f t="shared" si="4"/>
        <v>FH.Ntr.92</v>
      </c>
      <c r="F108" s="321" t="s">
        <v>2340</v>
      </c>
      <c r="G108" s="321" t="s">
        <v>2256</v>
      </c>
      <c r="H108" s="321" t="s">
        <v>206</v>
      </c>
      <c r="I108" s="321" t="s">
        <v>70</v>
      </c>
      <c r="J108" s="320" t="s">
        <v>194</v>
      </c>
      <c r="K108" s="64" t="s">
        <v>194</v>
      </c>
      <c r="L108" s="321" t="s">
        <v>194</v>
      </c>
      <c r="M108" s="320" t="s">
        <v>194</v>
      </c>
      <c r="N108" s="321" t="s">
        <v>82</v>
      </c>
      <c r="P108" s="195"/>
      <c r="Q108" s="195"/>
      <c r="R108" s="195"/>
      <c r="S108" s="195"/>
      <c r="T108" s="195"/>
      <c r="Y108" t="s">
        <v>980</v>
      </c>
      <c r="Z108" t="s">
        <v>2343</v>
      </c>
    </row>
    <row r="109" spans="1:26" x14ac:dyDescent="0.35">
      <c r="A109" s="357" t="s">
        <v>2347</v>
      </c>
      <c r="B109" s="357" t="s">
        <v>2345</v>
      </c>
      <c r="C109" s="357" t="s">
        <v>2346</v>
      </c>
      <c r="D109" s="66">
        <v>93</v>
      </c>
      <c r="F109" s="319" t="s">
        <v>2348</v>
      </c>
      <c r="G109" s="319" t="s">
        <v>154</v>
      </c>
      <c r="H109" s="319" t="s">
        <v>2800</v>
      </c>
      <c r="I109" s="321" t="s">
        <v>2248</v>
      </c>
      <c r="J109" s="320" t="s">
        <v>201</v>
      </c>
      <c r="K109" s="64" t="s">
        <v>980</v>
      </c>
      <c r="L109" s="321" t="s">
        <v>194</v>
      </c>
      <c r="M109" s="320" t="s">
        <v>194</v>
      </c>
      <c r="N109" s="321" t="s">
        <v>82</v>
      </c>
      <c r="P109" s="195"/>
      <c r="Q109" s="195"/>
      <c r="R109" s="195"/>
      <c r="S109" s="195"/>
      <c r="T109" s="195"/>
      <c r="Y109" t="s">
        <v>980</v>
      </c>
    </row>
    <row r="110" spans="1:26" x14ac:dyDescent="0.35">
      <c r="A110" s="357"/>
      <c r="B110" s="357"/>
      <c r="C110" s="357" t="s">
        <v>2346</v>
      </c>
      <c r="E110" s="64" t="s">
        <v>2555</v>
      </c>
      <c r="F110" s="321" t="s">
        <v>2557</v>
      </c>
      <c r="G110" s="319" t="s">
        <v>154</v>
      </c>
      <c r="H110" s="319" t="s">
        <v>2800</v>
      </c>
      <c r="I110" s="321" t="s">
        <v>2248</v>
      </c>
      <c r="J110" s="320" t="s">
        <v>253</v>
      </c>
      <c r="K110" s="64" t="s">
        <v>980</v>
      </c>
      <c r="L110" s="321" t="s">
        <v>194</v>
      </c>
      <c r="M110" s="320" t="s">
        <v>194</v>
      </c>
      <c r="N110" s="321" t="s">
        <v>82</v>
      </c>
      <c r="O110" s="145">
        <f>Prevalences!C336</f>
        <v>3.9E-2</v>
      </c>
      <c r="P110" s="321" t="s">
        <v>1868</v>
      </c>
      <c r="Q110" s="195"/>
      <c r="R110" s="195"/>
      <c r="S110" s="368">
        <v>0.98</v>
      </c>
      <c r="T110">
        <v>1</v>
      </c>
      <c r="V110" s="6">
        <v>10</v>
      </c>
      <c r="Y110" t="s">
        <v>980</v>
      </c>
    </row>
    <row r="111" spans="1:26" x14ac:dyDescent="0.35">
      <c r="A111" s="357"/>
      <c r="B111" s="357"/>
      <c r="C111" s="357" t="s">
        <v>2346</v>
      </c>
      <c r="E111" s="64" t="s">
        <v>2556</v>
      </c>
      <c r="F111" s="321" t="s">
        <v>2558</v>
      </c>
      <c r="G111" s="319" t="s">
        <v>154</v>
      </c>
      <c r="H111" s="319" t="s">
        <v>2800</v>
      </c>
      <c r="I111" s="321" t="s">
        <v>2248</v>
      </c>
      <c r="J111" s="320" t="s">
        <v>2554</v>
      </c>
      <c r="K111" s="64" t="s">
        <v>980</v>
      </c>
      <c r="L111" s="321" t="s">
        <v>194</v>
      </c>
      <c r="M111" s="320" t="s">
        <v>194</v>
      </c>
      <c r="N111" s="321" t="s">
        <v>82</v>
      </c>
      <c r="O111" s="145">
        <f>Prevalences!C337</f>
        <v>3.5999999999999997E-2</v>
      </c>
      <c r="P111" s="321" t="s">
        <v>1868</v>
      </c>
      <c r="Q111" s="195"/>
      <c r="R111" s="195"/>
      <c r="S111" s="368">
        <f>S110</f>
        <v>0.98</v>
      </c>
      <c r="T111">
        <v>1</v>
      </c>
      <c r="V111" s="6">
        <v>10</v>
      </c>
      <c r="Y111" t="s">
        <v>980</v>
      </c>
    </row>
    <row r="112" spans="1:26" x14ac:dyDescent="0.35">
      <c r="A112" s="357" t="s">
        <v>2347</v>
      </c>
      <c r="B112" s="357" t="s">
        <v>2345</v>
      </c>
      <c r="C112" s="357" t="s">
        <v>2346</v>
      </c>
      <c r="D112" s="66">
        <v>94</v>
      </c>
      <c r="E112" s="64" t="str">
        <f t="shared" ref="E112:E119" si="6">_xlfn.CONCAT("DPC.STI.",D112)</f>
        <v>DPC.STI.94</v>
      </c>
      <c r="F112" s="319" t="s">
        <v>2349</v>
      </c>
      <c r="G112" s="319" t="s">
        <v>154</v>
      </c>
      <c r="H112" s="319" t="s">
        <v>206</v>
      </c>
      <c r="I112" s="321" t="s">
        <v>2248</v>
      </c>
      <c r="J112" s="320" t="s">
        <v>201</v>
      </c>
      <c r="K112" s="64" t="s">
        <v>980</v>
      </c>
      <c r="L112" s="321" t="s">
        <v>980</v>
      </c>
      <c r="M112" s="320" t="s">
        <v>194</v>
      </c>
      <c r="N112" s="321" t="s">
        <v>82</v>
      </c>
      <c r="O112" s="373"/>
      <c r="P112" s="321" t="s">
        <v>1868</v>
      </c>
      <c r="Q112" s="195"/>
      <c r="R112" s="195"/>
      <c r="S112" s="89">
        <v>1</v>
      </c>
      <c r="U112">
        <v>1</v>
      </c>
      <c r="V112" s="6">
        <v>10</v>
      </c>
      <c r="Y112" t="s">
        <v>980</v>
      </c>
    </row>
    <row r="113" spans="1:26" x14ac:dyDescent="0.35">
      <c r="A113" s="357" t="s">
        <v>2347</v>
      </c>
      <c r="B113" s="357" t="s">
        <v>2345</v>
      </c>
      <c r="C113" s="357" t="s">
        <v>2346</v>
      </c>
      <c r="D113" s="66">
        <v>95</v>
      </c>
      <c r="E113" s="64" t="str">
        <f t="shared" si="6"/>
        <v>DPC.STI.95</v>
      </c>
      <c r="F113" s="319" t="s">
        <v>2350</v>
      </c>
      <c r="G113" s="319" t="s">
        <v>154</v>
      </c>
      <c r="H113" s="319" t="s">
        <v>206</v>
      </c>
      <c r="I113" s="321" t="s">
        <v>2248</v>
      </c>
      <c r="J113" s="320" t="s">
        <v>201</v>
      </c>
      <c r="K113" s="64" t="s">
        <v>980</v>
      </c>
      <c r="L113" s="321" t="s">
        <v>980</v>
      </c>
      <c r="M113" s="320" t="s">
        <v>980</v>
      </c>
      <c r="N113" s="321" t="s">
        <v>82</v>
      </c>
      <c r="O113" s="195">
        <f>O114</f>
        <v>2.0926851436312916E-4</v>
      </c>
      <c r="P113" s="321" t="s">
        <v>1868</v>
      </c>
      <c r="Q113" s="195"/>
      <c r="R113" s="195"/>
      <c r="S113" s="89">
        <f>S114</f>
        <v>0.90986310592664843</v>
      </c>
      <c r="U113">
        <v>1</v>
      </c>
      <c r="V113" s="6">
        <v>5</v>
      </c>
      <c r="Y113" t="s">
        <v>980</v>
      </c>
    </row>
    <row r="114" spans="1:26" x14ac:dyDescent="0.35">
      <c r="A114" s="357" t="s">
        <v>2347</v>
      </c>
      <c r="B114" s="357" t="s">
        <v>2345</v>
      </c>
      <c r="C114" s="357" t="s">
        <v>2346</v>
      </c>
      <c r="D114" s="66">
        <v>96</v>
      </c>
      <c r="E114" s="64" t="str">
        <f t="shared" si="6"/>
        <v>DPC.STI.96</v>
      </c>
      <c r="F114" s="321" t="s">
        <v>2351</v>
      </c>
      <c r="G114" s="319" t="s">
        <v>154</v>
      </c>
      <c r="H114" s="319" t="s">
        <v>2800</v>
      </c>
      <c r="I114" s="321" t="s">
        <v>241</v>
      </c>
      <c r="J114" s="320" t="s">
        <v>201</v>
      </c>
      <c r="K114" s="64" t="s">
        <v>980</v>
      </c>
      <c r="L114" s="321" t="s">
        <v>980</v>
      </c>
      <c r="M114" s="320" t="s">
        <v>194</v>
      </c>
      <c r="N114" s="321" t="s">
        <v>82</v>
      </c>
      <c r="O114" s="346">
        <f>'HIV Incid'!M275/1000</f>
        <v>2.0926851436312916E-4</v>
      </c>
      <c r="P114" s="321" t="s">
        <v>2357</v>
      </c>
      <c r="Q114">
        <v>4</v>
      </c>
      <c r="R114" t="s">
        <v>2359</v>
      </c>
      <c r="S114" s="89">
        <f>'HIV Incid'!BM273</f>
        <v>0.90986310592664843</v>
      </c>
      <c r="T114">
        <v>1</v>
      </c>
      <c r="V114" s="6">
        <v>5</v>
      </c>
    </row>
    <row r="115" spans="1:26" x14ac:dyDescent="0.35">
      <c r="A115" s="357" t="s">
        <v>2347</v>
      </c>
      <c r="B115" s="357" t="s">
        <v>2345</v>
      </c>
      <c r="C115" s="357" t="s">
        <v>2346</v>
      </c>
      <c r="D115" s="66">
        <v>97</v>
      </c>
      <c r="E115" s="64" t="str">
        <f t="shared" si="6"/>
        <v>DPC.STI.97</v>
      </c>
      <c r="F115" s="321" t="s">
        <v>2355</v>
      </c>
      <c r="G115" s="319" t="s">
        <v>154</v>
      </c>
      <c r="H115" s="319" t="s">
        <v>2800</v>
      </c>
      <c r="I115" s="321" t="s">
        <v>241</v>
      </c>
      <c r="J115" s="320" t="s">
        <v>201</v>
      </c>
      <c r="K115" s="64" t="s">
        <v>980</v>
      </c>
      <c r="L115" s="321" t="s">
        <v>980</v>
      </c>
      <c r="M115" s="320" t="s">
        <v>194</v>
      </c>
      <c r="N115" s="321" t="s">
        <v>82</v>
      </c>
      <c r="P115" s="321" t="s">
        <v>2358</v>
      </c>
      <c r="Q115" s="195"/>
      <c r="R115" s="195"/>
      <c r="S115" s="89">
        <f>S114</f>
        <v>0.90986310592664843</v>
      </c>
      <c r="T115">
        <v>1</v>
      </c>
      <c r="V115" s="6">
        <f>V114</f>
        <v>5</v>
      </c>
    </row>
    <row r="116" spans="1:26" x14ac:dyDescent="0.35">
      <c r="A116" s="357" t="s">
        <v>2347</v>
      </c>
      <c r="B116" s="357" t="s">
        <v>2345</v>
      </c>
      <c r="C116" s="357" t="s">
        <v>2346</v>
      </c>
      <c r="D116" s="66">
        <v>98</v>
      </c>
      <c r="E116" s="64" t="str">
        <f t="shared" si="6"/>
        <v>DPC.STI.98</v>
      </c>
      <c r="F116" s="321" t="s">
        <v>2356</v>
      </c>
      <c r="G116" s="319" t="s">
        <v>154</v>
      </c>
      <c r="H116" s="319" t="s">
        <v>2800</v>
      </c>
      <c r="I116" s="321" t="s">
        <v>241</v>
      </c>
      <c r="J116" s="320" t="s">
        <v>201</v>
      </c>
      <c r="K116" s="64" t="s">
        <v>980</v>
      </c>
      <c r="L116" s="321" t="s">
        <v>980</v>
      </c>
      <c r="M116" s="320" t="s">
        <v>194</v>
      </c>
      <c r="N116" s="321" t="s">
        <v>82</v>
      </c>
      <c r="P116" s="321" t="s">
        <v>2358</v>
      </c>
      <c r="Q116" s="195"/>
      <c r="R116" s="195"/>
      <c r="S116" s="89">
        <f>S114</f>
        <v>0.90986310592664843</v>
      </c>
      <c r="T116">
        <v>1</v>
      </c>
      <c r="V116" s="6">
        <f>V114</f>
        <v>5</v>
      </c>
    </row>
    <row r="117" spans="1:26" x14ac:dyDescent="0.35">
      <c r="A117" s="357" t="s">
        <v>2347</v>
      </c>
      <c r="B117" s="357" t="s">
        <v>2345</v>
      </c>
      <c r="C117" s="357" t="s">
        <v>2346</v>
      </c>
      <c r="D117" s="66">
        <v>99</v>
      </c>
      <c r="E117" s="64" t="str">
        <f t="shared" si="6"/>
        <v>DPC.STI.99</v>
      </c>
      <c r="F117" s="321" t="s">
        <v>2352</v>
      </c>
      <c r="G117" s="319" t="s">
        <v>154</v>
      </c>
      <c r="H117" s="319" t="s">
        <v>2800</v>
      </c>
      <c r="I117" s="321" t="s">
        <v>241</v>
      </c>
      <c r="J117" s="320" t="s">
        <v>201</v>
      </c>
      <c r="K117" s="64" t="s">
        <v>980</v>
      </c>
      <c r="L117" s="321" t="s">
        <v>980</v>
      </c>
      <c r="M117" s="320" t="s">
        <v>980</v>
      </c>
      <c r="N117" s="321" t="s">
        <v>82</v>
      </c>
      <c r="O117" s="195">
        <f>O114</f>
        <v>2.0926851436312916E-4</v>
      </c>
      <c r="P117" s="321" t="s">
        <v>2201</v>
      </c>
      <c r="Q117" s="195"/>
      <c r="R117" s="195"/>
      <c r="S117" s="89">
        <f>S114</f>
        <v>0.90986310592664843</v>
      </c>
      <c r="T117">
        <v>1</v>
      </c>
      <c r="V117" s="6">
        <v>15</v>
      </c>
    </row>
    <row r="118" spans="1:26" x14ac:dyDescent="0.35">
      <c r="A118" s="357" t="s">
        <v>2347</v>
      </c>
      <c r="B118" s="357" t="s">
        <v>2345</v>
      </c>
      <c r="C118" s="357" t="s">
        <v>2346</v>
      </c>
      <c r="D118" s="66">
        <v>100</v>
      </c>
      <c r="E118" s="64" t="str">
        <f t="shared" si="6"/>
        <v>DPC.STI.100</v>
      </c>
      <c r="F118" s="321" t="s">
        <v>2353</v>
      </c>
      <c r="G118" s="319" t="s">
        <v>154</v>
      </c>
      <c r="H118" s="319" t="s">
        <v>2800</v>
      </c>
      <c r="I118" s="321" t="s">
        <v>241</v>
      </c>
      <c r="J118" s="320" t="s">
        <v>201</v>
      </c>
      <c r="K118" s="64" t="s">
        <v>980</v>
      </c>
      <c r="L118" s="321" t="s">
        <v>194</v>
      </c>
      <c r="M118" s="320" t="s">
        <v>194</v>
      </c>
      <c r="N118" s="321" t="s">
        <v>82</v>
      </c>
      <c r="O118" s="373"/>
      <c r="P118" s="321" t="s">
        <v>2201</v>
      </c>
      <c r="Q118" s="195"/>
      <c r="R118" s="195"/>
      <c r="S118" s="89">
        <f>S114</f>
        <v>0.90986310592664843</v>
      </c>
      <c r="T118">
        <v>1</v>
      </c>
      <c r="V118" s="6">
        <v>10</v>
      </c>
      <c r="Y118" t="s">
        <v>980</v>
      </c>
    </row>
    <row r="119" spans="1:26" x14ac:dyDescent="0.35">
      <c r="A119" s="357" t="s">
        <v>2347</v>
      </c>
      <c r="B119" s="357" t="s">
        <v>2345</v>
      </c>
      <c r="C119" s="357" t="s">
        <v>2346</v>
      </c>
      <c r="D119" s="66">
        <v>101</v>
      </c>
      <c r="E119" s="64" t="str">
        <f t="shared" si="6"/>
        <v>DPC.STI.101</v>
      </c>
      <c r="F119" s="321" t="s">
        <v>2354</v>
      </c>
      <c r="G119" s="319" t="s">
        <v>154</v>
      </c>
      <c r="H119" s="319" t="s">
        <v>2799</v>
      </c>
      <c r="I119" s="321" t="s">
        <v>241</v>
      </c>
      <c r="J119" s="320" t="s">
        <v>253</v>
      </c>
      <c r="K119" s="64" t="s">
        <v>980</v>
      </c>
      <c r="L119" s="321" t="s">
        <v>194</v>
      </c>
      <c r="M119" s="320" t="s">
        <v>194</v>
      </c>
      <c r="N119" s="321" t="s">
        <v>82</v>
      </c>
      <c r="O119" s="195">
        <f>'HIV Prev'!I275/100</f>
        <v>8.6196653346653357E-3</v>
      </c>
      <c r="P119" s="321" t="s">
        <v>1868</v>
      </c>
      <c r="Q119">
        <v>2</v>
      </c>
      <c r="R119" t="s">
        <v>2634</v>
      </c>
      <c r="S119" s="89">
        <f>'HIV Prev'!BM272</f>
        <v>0.95774059274059287</v>
      </c>
      <c r="U119">
        <v>4</v>
      </c>
      <c r="V119" s="6">
        <v>5</v>
      </c>
      <c r="Y119" t="s">
        <v>980</v>
      </c>
    </row>
    <row r="120" spans="1:26" x14ac:dyDescent="0.35">
      <c r="A120" s="357" t="s">
        <v>2347</v>
      </c>
      <c r="B120" s="357" t="s">
        <v>2345</v>
      </c>
      <c r="C120" s="357" t="s">
        <v>69</v>
      </c>
      <c r="D120" s="66">
        <v>102</v>
      </c>
      <c r="E120" s="64" t="str">
        <f>_xlfn.CONCAT("DPC.Mlr.",D120)</f>
        <v>DPC.Mlr.102</v>
      </c>
      <c r="F120" s="321" t="s">
        <v>2360</v>
      </c>
      <c r="G120" s="321" t="s">
        <v>2256</v>
      </c>
      <c r="H120" s="321" t="s">
        <v>206</v>
      </c>
      <c r="I120" s="321" t="s">
        <v>69</v>
      </c>
      <c r="J120" s="320" t="s">
        <v>212</v>
      </c>
      <c r="K120" s="64" t="s">
        <v>980</v>
      </c>
      <c r="L120" s="321" t="s">
        <v>980</v>
      </c>
      <c r="M120" s="320" t="s">
        <v>980</v>
      </c>
      <c r="N120" s="374" t="s">
        <v>82</v>
      </c>
      <c r="O120" s="342">
        <f>1/Prevalences!B451</f>
        <v>0.21739130434782611</v>
      </c>
      <c r="P120" s="195" t="s">
        <v>2375</v>
      </c>
      <c r="Q120" s="347"/>
      <c r="R120" s="347"/>
      <c r="T120" s="195"/>
      <c r="U120" s="347">
        <v>1</v>
      </c>
      <c r="V120" s="347">
        <v>5</v>
      </c>
      <c r="W120" s="347"/>
      <c r="X120" s="347"/>
      <c r="Y120" t="s">
        <v>980</v>
      </c>
      <c r="Z120" s="337" t="s">
        <v>2374</v>
      </c>
    </row>
    <row r="121" spans="1:26" x14ac:dyDescent="0.35">
      <c r="A121" s="357" t="s">
        <v>2347</v>
      </c>
      <c r="B121" s="357" t="s">
        <v>2345</v>
      </c>
      <c r="C121" s="357" t="s">
        <v>69</v>
      </c>
      <c r="D121" s="66">
        <v>103</v>
      </c>
      <c r="F121" s="321" t="s">
        <v>2363</v>
      </c>
      <c r="G121" s="321" t="s">
        <v>154</v>
      </c>
      <c r="I121" s="321"/>
      <c r="K121" s="64" t="s">
        <v>980</v>
      </c>
      <c r="L121" s="321" t="s">
        <v>980</v>
      </c>
      <c r="M121" s="320" t="s">
        <v>194</v>
      </c>
      <c r="N121" s="321" t="s">
        <v>82</v>
      </c>
      <c r="P121" s="195"/>
      <c r="Q121" s="195"/>
      <c r="R121" s="195"/>
      <c r="S121" s="195"/>
      <c r="T121" s="195"/>
    </row>
    <row r="122" spans="1:26" x14ac:dyDescent="0.35">
      <c r="A122" s="357" t="s">
        <v>2347</v>
      </c>
      <c r="B122" s="357" t="s">
        <v>2345</v>
      </c>
      <c r="C122" s="357" t="s">
        <v>69</v>
      </c>
      <c r="D122" s="66">
        <v>103</v>
      </c>
      <c r="E122" s="64" t="s">
        <v>2364</v>
      </c>
      <c r="F122" s="321" t="s">
        <v>2369</v>
      </c>
      <c r="G122" s="321" t="s">
        <v>154</v>
      </c>
      <c r="H122" s="321" t="s">
        <v>2800</v>
      </c>
      <c r="I122" s="321" t="s">
        <v>69</v>
      </c>
      <c r="J122" s="320" t="s">
        <v>201</v>
      </c>
      <c r="K122" s="64" t="s">
        <v>980</v>
      </c>
      <c r="L122" s="321" t="s">
        <v>980</v>
      </c>
      <c r="M122" s="320" t="s">
        <v>194</v>
      </c>
      <c r="N122" s="374" t="s">
        <v>82</v>
      </c>
      <c r="O122" s="195">
        <f>'Malaria Incid'!I275*Prevalences!L95/1000*0.9</f>
        <v>1.7047868186433539E-2</v>
      </c>
      <c r="P122" s="321" t="s">
        <v>2201</v>
      </c>
      <c r="Q122" s="195"/>
      <c r="R122" s="195"/>
      <c r="S122" s="195">
        <f>'Malaria Incid'!BM272</f>
        <v>0.87556301899925537</v>
      </c>
      <c r="T122" s="348">
        <v>1</v>
      </c>
      <c r="V122" s="347">
        <v>10</v>
      </c>
    </row>
    <row r="123" spans="1:26" x14ac:dyDescent="0.35">
      <c r="A123" s="357" t="s">
        <v>2347</v>
      </c>
      <c r="B123" s="357" t="s">
        <v>2345</v>
      </c>
      <c r="C123" s="357" t="s">
        <v>69</v>
      </c>
      <c r="D123" s="66">
        <v>103</v>
      </c>
      <c r="E123" s="64" t="s">
        <v>2365</v>
      </c>
      <c r="F123" s="321" t="s">
        <v>2370</v>
      </c>
      <c r="G123" s="321" t="s">
        <v>154</v>
      </c>
      <c r="H123" s="321" t="s">
        <v>2800</v>
      </c>
      <c r="I123" s="321" t="s">
        <v>69</v>
      </c>
      <c r="J123" s="320" t="s">
        <v>209</v>
      </c>
      <c r="K123" s="64" t="s">
        <v>980</v>
      </c>
      <c r="L123" s="321" t="s">
        <v>980</v>
      </c>
      <c r="M123" s="320" t="s">
        <v>194</v>
      </c>
      <c r="N123" s="374" t="s">
        <v>82</v>
      </c>
      <c r="O123" s="346">
        <f>O122</f>
        <v>1.7047868186433539E-2</v>
      </c>
      <c r="P123" s="321" t="s">
        <v>2201</v>
      </c>
      <c r="Q123" s="195"/>
      <c r="R123" s="195"/>
      <c r="S123" s="195">
        <f>S122</f>
        <v>0.87556301899925537</v>
      </c>
      <c r="T123" s="348">
        <v>1</v>
      </c>
      <c r="V123" s="347">
        <v>10</v>
      </c>
    </row>
    <row r="124" spans="1:26" x14ac:dyDescent="0.35">
      <c r="A124" s="357" t="s">
        <v>2347</v>
      </c>
      <c r="B124" s="357" t="s">
        <v>2345</v>
      </c>
      <c r="C124" s="357" t="s">
        <v>69</v>
      </c>
      <c r="D124" s="66">
        <v>103</v>
      </c>
      <c r="E124" s="64" t="s">
        <v>2368</v>
      </c>
      <c r="F124" s="321" t="s">
        <v>2371</v>
      </c>
      <c r="G124" s="321" t="s">
        <v>154</v>
      </c>
      <c r="H124" s="321" t="s">
        <v>206</v>
      </c>
      <c r="I124" s="321" t="s">
        <v>69</v>
      </c>
      <c r="J124" s="320" t="s">
        <v>212</v>
      </c>
      <c r="K124" s="64" t="s">
        <v>980</v>
      </c>
      <c r="L124" s="321" t="s">
        <v>980</v>
      </c>
      <c r="M124" s="320" t="s">
        <v>194</v>
      </c>
      <c r="N124" s="374" t="s">
        <v>82</v>
      </c>
      <c r="O124" s="195">
        <f>'Malaria Incid'!I275*Prevalences!L95/1000</f>
        <v>1.894207576270393E-2</v>
      </c>
      <c r="P124" s="321" t="s">
        <v>2201</v>
      </c>
      <c r="Q124" s="348">
        <v>4</v>
      </c>
      <c r="R124" s="349" t="s">
        <v>2359</v>
      </c>
      <c r="S124" s="89">
        <v>1</v>
      </c>
      <c r="T124" s="348">
        <v>1</v>
      </c>
      <c r="V124" s="347">
        <v>5</v>
      </c>
    </row>
    <row r="125" spans="1:26" x14ac:dyDescent="0.35">
      <c r="A125" s="357" t="s">
        <v>2347</v>
      </c>
      <c r="B125" s="357" t="s">
        <v>2345</v>
      </c>
      <c r="C125" s="357" t="s">
        <v>69</v>
      </c>
      <c r="D125" s="66">
        <v>104</v>
      </c>
      <c r="F125" s="321" t="s">
        <v>2362</v>
      </c>
      <c r="G125" s="321" t="s">
        <v>154</v>
      </c>
      <c r="I125" s="321"/>
      <c r="K125" s="64" t="s">
        <v>980</v>
      </c>
      <c r="L125" s="321" t="s">
        <v>980</v>
      </c>
      <c r="M125" s="320" t="s">
        <v>194</v>
      </c>
      <c r="N125" s="321" t="s">
        <v>82</v>
      </c>
      <c r="P125" s="195"/>
      <c r="Q125" s="195"/>
      <c r="R125" s="195"/>
      <c r="S125" s="195"/>
      <c r="T125" s="195"/>
    </row>
    <row r="126" spans="1:26" x14ac:dyDescent="0.35">
      <c r="A126" s="357" t="s">
        <v>2347</v>
      </c>
      <c r="B126" s="357" t="s">
        <v>2345</v>
      </c>
      <c r="C126" s="357" t="s">
        <v>69</v>
      </c>
      <c r="D126" s="66">
        <v>104</v>
      </c>
      <c r="E126" s="64" t="s">
        <v>2366</v>
      </c>
      <c r="F126" s="321" t="s">
        <v>2372</v>
      </c>
      <c r="G126" s="321" t="s">
        <v>154</v>
      </c>
      <c r="H126" s="321" t="s">
        <v>2800</v>
      </c>
      <c r="I126" s="321" t="s">
        <v>69</v>
      </c>
      <c r="J126" s="320" t="s">
        <v>201</v>
      </c>
      <c r="K126" s="64" t="s">
        <v>980</v>
      </c>
      <c r="L126" s="321" t="s">
        <v>980</v>
      </c>
      <c r="M126" s="320" t="s">
        <v>194</v>
      </c>
      <c r="N126" s="374" t="s">
        <v>82</v>
      </c>
      <c r="O126" s="195">
        <f>'Malaria Incid'!I275*Prevalences!L95/1000*0.1</f>
        <v>1.8942075762703931E-3</v>
      </c>
      <c r="P126" s="321" t="s">
        <v>2201</v>
      </c>
      <c r="Q126" s="195"/>
      <c r="R126" s="195"/>
      <c r="S126" s="195">
        <f>S122</f>
        <v>0.87556301899925537</v>
      </c>
      <c r="T126" s="348">
        <v>1</v>
      </c>
      <c r="V126" s="347">
        <v>15</v>
      </c>
    </row>
    <row r="127" spans="1:26" x14ac:dyDescent="0.35">
      <c r="A127" s="357" t="s">
        <v>2347</v>
      </c>
      <c r="B127" s="357" t="s">
        <v>2345</v>
      </c>
      <c r="C127" s="357" t="s">
        <v>69</v>
      </c>
      <c r="D127" s="66">
        <v>104</v>
      </c>
      <c r="E127" s="64" t="s">
        <v>2367</v>
      </c>
      <c r="F127" s="321" t="s">
        <v>2373</v>
      </c>
      <c r="G127" s="321" t="s">
        <v>154</v>
      </c>
      <c r="H127" s="321" t="s">
        <v>2800</v>
      </c>
      <c r="I127" s="321" t="s">
        <v>69</v>
      </c>
      <c r="J127" s="320" t="s">
        <v>209</v>
      </c>
      <c r="K127" s="64" t="s">
        <v>980</v>
      </c>
      <c r="L127" s="321" t="s">
        <v>980</v>
      </c>
      <c r="M127" s="320" t="s">
        <v>194</v>
      </c>
      <c r="N127" s="374" t="s">
        <v>82</v>
      </c>
      <c r="O127" s="346">
        <f>O126</f>
        <v>1.8942075762703931E-3</v>
      </c>
      <c r="P127" s="321" t="s">
        <v>2201</v>
      </c>
      <c r="Q127" s="195"/>
      <c r="R127" s="195"/>
      <c r="S127" s="195">
        <f>S122</f>
        <v>0.87556301899925537</v>
      </c>
      <c r="T127" s="348">
        <v>1</v>
      </c>
      <c r="V127" s="347">
        <v>15</v>
      </c>
    </row>
    <row r="128" spans="1:26" x14ac:dyDescent="0.35">
      <c r="A128" s="357" t="s">
        <v>2347</v>
      </c>
      <c r="B128" s="357" t="s">
        <v>2345</v>
      </c>
      <c r="C128" s="357" t="s">
        <v>69</v>
      </c>
      <c r="D128" s="66">
        <v>105</v>
      </c>
      <c r="E128" s="64" t="str">
        <f t="shared" ref="E128:E130" si="7">_xlfn.CONCAT("DPC.Mlr.",D128)</f>
        <v>DPC.Mlr.105</v>
      </c>
      <c r="F128" s="321" t="s">
        <v>2361</v>
      </c>
      <c r="G128" s="321" t="s">
        <v>193</v>
      </c>
      <c r="H128" s="319" t="s">
        <v>206</v>
      </c>
      <c r="I128" s="321" t="s">
        <v>69</v>
      </c>
      <c r="J128" s="320" t="s">
        <v>194</v>
      </c>
      <c r="K128" s="64" t="s">
        <v>980</v>
      </c>
      <c r="L128" s="321" t="s">
        <v>980</v>
      </c>
      <c r="M128" s="320" t="s">
        <v>980</v>
      </c>
      <c r="N128" s="321" t="s">
        <v>82</v>
      </c>
      <c r="P128" s="195"/>
      <c r="Q128" s="195"/>
      <c r="R128" s="195"/>
      <c r="S128" s="195"/>
      <c r="T128" s="195"/>
      <c r="Y128" t="s">
        <v>980</v>
      </c>
      <c r="Z128" t="s">
        <v>2376</v>
      </c>
    </row>
    <row r="129" spans="1:26" x14ac:dyDescent="0.35">
      <c r="A129" s="357" t="s">
        <v>2347</v>
      </c>
      <c r="B129" s="357" t="s">
        <v>2345</v>
      </c>
      <c r="C129" s="357" t="s">
        <v>69</v>
      </c>
      <c r="D129" s="66">
        <v>106</v>
      </c>
      <c r="E129" s="64" t="str">
        <f t="shared" si="7"/>
        <v>DPC.Mlr.106</v>
      </c>
      <c r="F129" s="321" t="s">
        <v>2350</v>
      </c>
      <c r="G129" s="321" t="s">
        <v>2256</v>
      </c>
      <c r="H129" s="319" t="s">
        <v>206</v>
      </c>
      <c r="I129" s="321" t="s">
        <v>69</v>
      </c>
      <c r="J129" s="320" t="s">
        <v>194</v>
      </c>
      <c r="K129" s="64" t="s">
        <v>980</v>
      </c>
      <c r="L129" s="321" t="s">
        <v>980</v>
      </c>
      <c r="M129" s="320" t="s">
        <v>980</v>
      </c>
      <c r="N129" s="321" t="s">
        <v>82</v>
      </c>
      <c r="P129" s="195"/>
      <c r="Q129" s="195"/>
      <c r="R129" s="195"/>
      <c r="S129" s="195"/>
      <c r="T129" s="195"/>
      <c r="Y129" t="s">
        <v>980</v>
      </c>
      <c r="Z129" t="s">
        <v>2341</v>
      </c>
    </row>
    <row r="130" spans="1:26" x14ac:dyDescent="0.35">
      <c r="A130" s="357" t="s">
        <v>2347</v>
      </c>
      <c r="B130" s="357" t="s">
        <v>2345</v>
      </c>
      <c r="C130" s="357" t="s">
        <v>69</v>
      </c>
      <c r="D130" s="66">
        <v>107</v>
      </c>
      <c r="E130" s="64" t="str">
        <f t="shared" si="7"/>
        <v>DPC.Mlr.107</v>
      </c>
      <c r="F130" s="321" t="s">
        <v>2253</v>
      </c>
      <c r="G130" s="321" t="s">
        <v>2256</v>
      </c>
      <c r="H130" s="321" t="s">
        <v>206</v>
      </c>
      <c r="I130" s="321" t="s">
        <v>69</v>
      </c>
      <c r="J130" s="320" t="s">
        <v>194</v>
      </c>
      <c r="K130" s="64" t="s">
        <v>980</v>
      </c>
      <c r="L130" s="321" t="s">
        <v>980</v>
      </c>
      <c r="M130" s="320" t="s">
        <v>980</v>
      </c>
      <c r="N130" s="321" t="s">
        <v>82</v>
      </c>
      <c r="P130" s="195"/>
      <c r="Q130" s="195"/>
      <c r="R130" s="195"/>
      <c r="S130" s="195"/>
      <c r="T130" s="195"/>
      <c r="Y130" t="s">
        <v>980</v>
      </c>
      <c r="Z130" t="s">
        <v>2376</v>
      </c>
    </row>
    <row r="131" spans="1:26" x14ac:dyDescent="0.35">
      <c r="A131" s="357" t="s">
        <v>2347</v>
      </c>
      <c r="B131" s="357" t="s">
        <v>2345</v>
      </c>
      <c r="C131" s="357" t="s">
        <v>2377</v>
      </c>
      <c r="D131" s="66">
        <v>108</v>
      </c>
      <c r="F131" s="321" t="s">
        <v>2378</v>
      </c>
      <c r="G131" s="321" t="s">
        <v>154</v>
      </c>
      <c r="H131" s="321" t="s">
        <v>2800</v>
      </c>
      <c r="I131" s="319" t="s">
        <v>200</v>
      </c>
      <c r="J131" s="320" t="s">
        <v>201</v>
      </c>
      <c r="K131" s="64" t="s">
        <v>980</v>
      </c>
      <c r="L131" s="321" t="s">
        <v>980</v>
      </c>
      <c r="M131" s="320" t="s">
        <v>980</v>
      </c>
      <c r="N131" s="321" t="s">
        <v>82</v>
      </c>
      <c r="P131" s="195"/>
      <c r="S131"/>
      <c r="V131"/>
      <c r="Z131" t="s">
        <v>2387</v>
      </c>
    </row>
    <row r="132" spans="1:26" x14ac:dyDescent="0.35">
      <c r="A132" s="357" t="s">
        <v>2347</v>
      </c>
      <c r="B132" s="357" t="s">
        <v>2345</v>
      </c>
      <c r="C132" s="357" t="s">
        <v>2377</v>
      </c>
      <c r="D132" s="66">
        <v>108</v>
      </c>
      <c r="E132" s="64" t="s">
        <v>2383</v>
      </c>
      <c r="F132" s="321" t="s">
        <v>2385</v>
      </c>
      <c r="G132" s="321" t="s">
        <v>154</v>
      </c>
      <c r="H132" s="321" t="s">
        <v>2800</v>
      </c>
      <c r="I132" s="319" t="s">
        <v>200</v>
      </c>
      <c r="J132" s="320" t="s">
        <v>201</v>
      </c>
      <c r="K132" s="64" t="s">
        <v>980</v>
      </c>
      <c r="L132" s="321" t="s">
        <v>980</v>
      </c>
      <c r="M132" s="320" t="s">
        <v>980</v>
      </c>
      <c r="N132" s="321" t="s">
        <v>82</v>
      </c>
      <c r="O132" s="195">
        <f>'TB Incidence'!I275/100000</f>
        <v>1.2945230835262726E-3</v>
      </c>
      <c r="P132" s="195" t="s">
        <v>2201</v>
      </c>
      <c r="Q132">
        <f>1/'DALYs '!M314</f>
        <v>8.3333333333333339</v>
      </c>
      <c r="R132" s="195" t="s">
        <v>2382</v>
      </c>
      <c r="S132" s="89">
        <f>'TB Incidence'!BM272</f>
        <v>0.92465934537590888</v>
      </c>
      <c r="T132">
        <v>1</v>
      </c>
      <c r="V132">
        <v>10</v>
      </c>
    </row>
    <row r="133" spans="1:26" x14ac:dyDescent="0.35">
      <c r="A133" s="357" t="s">
        <v>2347</v>
      </c>
      <c r="B133" s="357" t="s">
        <v>2345</v>
      </c>
      <c r="C133" s="357" t="s">
        <v>2377</v>
      </c>
      <c r="D133" s="66">
        <v>108</v>
      </c>
      <c r="E133" s="64" t="s">
        <v>2384</v>
      </c>
      <c r="F133" s="321" t="s">
        <v>2386</v>
      </c>
      <c r="G133" s="321" t="s">
        <v>154</v>
      </c>
      <c r="H133" s="321" t="s">
        <v>2800</v>
      </c>
      <c r="I133" s="319" t="s">
        <v>200</v>
      </c>
      <c r="J133" s="320" t="s">
        <v>201</v>
      </c>
      <c r="K133" s="64" t="s">
        <v>980</v>
      </c>
      <c r="L133" s="321" t="s">
        <v>980</v>
      </c>
      <c r="M133" s="320" t="s">
        <v>980</v>
      </c>
      <c r="N133" s="321" t="s">
        <v>82</v>
      </c>
      <c r="O133" s="195">
        <f>O132</f>
        <v>1.2945230835262726E-3</v>
      </c>
      <c r="P133" s="195" t="s">
        <v>2201</v>
      </c>
      <c r="Q133" s="195"/>
      <c r="R133" s="195"/>
      <c r="S133" s="89">
        <f>S132</f>
        <v>0.92465934537590888</v>
      </c>
      <c r="T133">
        <v>1</v>
      </c>
      <c r="V133">
        <v>10</v>
      </c>
    </row>
    <row r="134" spans="1:26" x14ac:dyDescent="0.35">
      <c r="A134" s="357" t="s">
        <v>2347</v>
      </c>
      <c r="B134" s="357" t="s">
        <v>2345</v>
      </c>
      <c r="C134" s="357" t="s">
        <v>2377</v>
      </c>
      <c r="D134" s="66">
        <v>109</v>
      </c>
      <c r="E134" s="64" t="str">
        <f t="shared" ref="E134:E135" si="8">_xlfn.CONCAT("DPC.TB.",D134)</f>
        <v>DPC.TB.109</v>
      </c>
      <c r="F134" s="321" t="s">
        <v>2379</v>
      </c>
      <c r="G134" s="321" t="s">
        <v>154</v>
      </c>
      <c r="H134" s="321" t="s">
        <v>2800</v>
      </c>
      <c r="I134" s="319" t="s">
        <v>200</v>
      </c>
      <c r="J134" s="320" t="s">
        <v>201</v>
      </c>
      <c r="K134" s="64" t="s">
        <v>980</v>
      </c>
      <c r="L134" s="321" t="s">
        <v>980</v>
      </c>
      <c r="N134" s="321" t="s">
        <v>82</v>
      </c>
      <c r="O134" s="195">
        <f>O132</f>
        <v>1.2945230835262726E-3</v>
      </c>
      <c r="P134" s="195" t="s">
        <v>2201</v>
      </c>
      <c r="Q134" s="195"/>
      <c r="R134" s="195"/>
      <c r="S134" s="89">
        <f>S132</f>
        <v>0.92465934537590888</v>
      </c>
      <c r="T134" s="5">
        <f>2*30+4*30*0.2</f>
        <v>84</v>
      </c>
      <c r="V134" s="6">
        <v>5</v>
      </c>
      <c r="Y134" t="s">
        <v>980</v>
      </c>
      <c r="Z134" t="s">
        <v>2438</v>
      </c>
    </row>
    <row r="135" spans="1:26" x14ac:dyDescent="0.35">
      <c r="A135" s="357" t="s">
        <v>2347</v>
      </c>
      <c r="B135" s="357" t="s">
        <v>2345</v>
      </c>
      <c r="C135" s="357" t="s">
        <v>2377</v>
      </c>
      <c r="D135" s="66">
        <v>110</v>
      </c>
      <c r="E135" s="64" t="str">
        <f t="shared" si="8"/>
        <v>DPC.TB.110</v>
      </c>
      <c r="F135" s="321" t="s">
        <v>2380</v>
      </c>
      <c r="G135" s="321" t="s">
        <v>2256</v>
      </c>
      <c r="H135" s="319" t="s">
        <v>206</v>
      </c>
      <c r="I135" s="319" t="s">
        <v>200</v>
      </c>
      <c r="J135" s="320" t="s">
        <v>194</v>
      </c>
      <c r="K135" s="64" t="s">
        <v>980</v>
      </c>
      <c r="L135" s="321" t="s">
        <v>980</v>
      </c>
      <c r="M135" s="320" t="s">
        <v>980</v>
      </c>
      <c r="N135" s="321" t="s">
        <v>82</v>
      </c>
      <c r="P135" s="195"/>
      <c r="Q135" s="195"/>
      <c r="R135" s="195"/>
      <c r="S135" s="195"/>
      <c r="T135" s="195"/>
      <c r="Y135" t="s">
        <v>980</v>
      </c>
      <c r="Z135" t="s">
        <v>2381</v>
      </c>
    </row>
    <row r="136" spans="1:26" x14ac:dyDescent="0.35">
      <c r="A136" s="357" t="s">
        <v>2347</v>
      </c>
      <c r="B136" s="357" t="s">
        <v>2345</v>
      </c>
      <c r="C136" s="357" t="s">
        <v>2377</v>
      </c>
      <c r="D136" s="66">
        <v>111</v>
      </c>
      <c r="E136" s="344"/>
      <c r="F136" s="345" t="s">
        <v>2244</v>
      </c>
      <c r="N136" t="s">
        <v>82</v>
      </c>
    </row>
    <row r="137" spans="1:26" x14ac:dyDescent="0.35">
      <c r="A137" s="357" t="s">
        <v>2347</v>
      </c>
      <c r="B137" s="357" t="s">
        <v>2388</v>
      </c>
      <c r="C137" s="357" t="s">
        <v>2389</v>
      </c>
      <c r="D137" s="66">
        <v>112</v>
      </c>
      <c r="E137" s="64" t="s">
        <v>2393</v>
      </c>
      <c r="F137" s="319" t="s">
        <v>2390</v>
      </c>
      <c r="G137" s="319" t="s">
        <v>2256</v>
      </c>
      <c r="H137" s="321" t="s">
        <v>206</v>
      </c>
      <c r="I137" s="321" t="s">
        <v>194</v>
      </c>
      <c r="J137" s="321" t="s">
        <v>194</v>
      </c>
      <c r="K137" s="64" t="s">
        <v>980</v>
      </c>
      <c r="L137" s="321" t="s">
        <v>980</v>
      </c>
      <c r="M137" s="320" t="s">
        <v>980</v>
      </c>
      <c r="N137" s="321" t="s">
        <v>82</v>
      </c>
      <c r="P137" s="195"/>
      <c r="Q137" s="195"/>
      <c r="R137" s="195"/>
      <c r="S137" s="195"/>
      <c r="T137" s="195"/>
      <c r="Y137" t="s">
        <v>980</v>
      </c>
      <c r="Z137" t="s">
        <v>2381</v>
      </c>
    </row>
    <row r="138" spans="1:26" x14ac:dyDescent="0.35">
      <c r="A138" s="357" t="s">
        <v>2347</v>
      </c>
      <c r="B138" s="357" t="s">
        <v>2388</v>
      </c>
      <c r="C138" s="357" t="s">
        <v>2389</v>
      </c>
      <c r="D138" s="66">
        <v>113</v>
      </c>
      <c r="E138" s="64" t="s">
        <v>2394</v>
      </c>
      <c r="F138" s="319" t="s">
        <v>2391</v>
      </c>
      <c r="G138" s="319" t="s">
        <v>2256</v>
      </c>
      <c r="H138" s="321" t="s">
        <v>206</v>
      </c>
      <c r="I138" s="321" t="s">
        <v>194</v>
      </c>
      <c r="J138" s="321" t="s">
        <v>194</v>
      </c>
      <c r="K138" s="64" t="s">
        <v>980</v>
      </c>
      <c r="L138" s="321" t="s">
        <v>980</v>
      </c>
      <c r="M138" s="320" t="s">
        <v>980</v>
      </c>
      <c r="N138" s="321" t="s">
        <v>82</v>
      </c>
      <c r="P138" s="195"/>
      <c r="Q138" s="195"/>
      <c r="R138" s="195"/>
      <c r="S138" s="195"/>
      <c r="T138" s="195"/>
      <c r="Y138" t="s">
        <v>980</v>
      </c>
      <c r="Z138" t="s">
        <v>2381</v>
      </c>
    </row>
    <row r="139" spans="1:26" x14ac:dyDescent="0.35">
      <c r="A139" s="357" t="s">
        <v>2347</v>
      </c>
      <c r="B139" s="357" t="s">
        <v>2388</v>
      </c>
      <c r="C139" s="357" t="s">
        <v>2389</v>
      </c>
      <c r="D139" s="66">
        <v>114</v>
      </c>
      <c r="E139" s="64" t="s">
        <v>2395</v>
      </c>
      <c r="F139" s="319" t="s">
        <v>2392</v>
      </c>
      <c r="G139" s="319" t="s">
        <v>2256</v>
      </c>
      <c r="H139" s="321" t="s">
        <v>206</v>
      </c>
      <c r="I139" s="321" t="s">
        <v>194</v>
      </c>
      <c r="J139" s="321" t="s">
        <v>194</v>
      </c>
      <c r="K139" s="64" t="s">
        <v>980</v>
      </c>
      <c r="L139" s="321" t="s">
        <v>980</v>
      </c>
      <c r="M139" s="320" t="s">
        <v>980</v>
      </c>
      <c r="N139" s="321" t="s">
        <v>82</v>
      </c>
      <c r="P139" s="195"/>
      <c r="Q139" s="195"/>
      <c r="R139" s="195"/>
      <c r="S139" s="195"/>
      <c r="T139" s="195"/>
      <c r="Y139" t="s">
        <v>980</v>
      </c>
      <c r="Z139" t="s">
        <v>2381</v>
      </c>
    </row>
    <row r="140" spans="1:26" x14ac:dyDescent="0.35">
      <c r="A140" s="357" t="s">
        <v>2347</v>
      </c>
      <c r="B140" s="357" t="s">
        <v>2388</v>
      </c>
      <c r="C140" s="357" t="s">
        <v>2396</v>
      </c>
      <c r="D140" s="66">
        <v>115</v>
      </c>
      <c r="E140" s="64" t="str">
        <f>_xlfn.CONCAT("DPC.Cncr.",D140)</f>
        <v>DPC.Cncr.115</v>
      </c>
      <c r="F140" s="321" t="s">
        <v>2397</v>
      </c>
      <c r="G140" s="319" t="s">
        <v>2256</v>
      </c>
      <c r="H140" s="321" t="s">
        <v>206</v>
      </c>
      <c r="I140" s="321" t="s">
        <v>194</v>
      </c>
      <c r="J140" s="321" t="s">
        <v>194</v>
      </c>
      <c r="K140" s="64" t="s">
        <v>980</v>
      </c>
      <c r="L140" s="321" t="s">
        <v>980</v>
      </c>
      <c r="M140" s="320" t="s">
        <v>980</v>
      </c>
      <c r="N140" s="321" t="s">
        <v>82</v>
      </c>
      <c r="P140" s="195"/>
      <c r="Q140" s="195"/>
      <c r="R140" s="195"/>
      <c r="S140" s="195"/>
      <c r="T140" s="195"/>
      <c r="Y140" t="s">
        <v>980</v>
      </c>
      <c r="Z140" t="s">
        <v>2381</v>
      </c>
    </row>
    <row r="141" spans="1:26" x14ac:dyDescent="0.35">
      <c r="A141" s="357" t="s">
        <v>2347</v>
      </c>
      <c r="B141" s="357" t="s">
        <v>2388</v>
      </c>
      <c r="C141" s="357" t="s">
        <v>2396</v>
      </c>
      <c r="D141" s="66">
        <v>116</v>
      </c>
      <c r="E141" s="64" t="str">
        <f t="shared" ref="E141:E144" si="9">_xlfn.CONCAT("DPC.Cncr.",D141)</f>
        <v>DPC.Cncr.116</v>
      </c>
      <c r="F141" s="321" t="s">
        <v>2401</v>
      </c>
      <c r="G141" s="321" t="s">
        <v>154</v>
      </c>
      <c r="H141" s="321" t="s">
        <v>2798</v>
      </c>
      <c r="I141" s="321" t="s">
        <v>220</v>
      </c>
      <c r="J141" s="320" t="s">
        <v>2572</v>
      </c>
      <c r="K141" s="64" t="s">
        <v>980</v>
      </c>
      <c r="L141" s="321" t="s">
        <v>194</v>
      </c>
      <c r="M141" s="320" t="s">
        <v>194</v>
      </c>
      <c r="N141" s="321" t="s">
        <v>82</v>
      </c>
      <c r="O141" s="145">
        <v>1</v>
      </c>
      <c r="P141" s="195" t="s">
        <v>2574</v>
      </c>
      <c r="Q141" s="195">
        <f>1/5</f>
        <v>0.2</v>
      </c>
      <c r="R141" s="195" t="s">
        <v>2573</v>
      </c>
      <c r="S141" s="89">
        <v>1</v>
      </c>
      <c r="U141">
        <v>1</v>
      </c>
      <c r="V141" s="341">
        <v>10</v>
      </c>
      <c r="Y141" t="s">
        <v>980</v>
      </c>
    </row>
    <row r="142" spans="1:26" x14ac:dyDescent="0.35">
      <c r="A142" s="357" t="s">
        <v>2347</v>
      </c>
      <c r="B142" s="357" t="s">
        <v>2388</v>
      </c>
      <c r="C142" s="357" t="s">
        <v>2396</v>
      </c>
      <c r="D142" s="66">
        <v>117</v>
      </c>
      <c r="E142" s="64" t="str">
        <f t="shared" si="9"/>
        <v>DPC.Cncr.117</v>
      </c>
      <c r="F142" s="321" t="s">
        <v>2398</v>
      </c>
      <c r="G142" s="319" t="s">
        <v>154</v>
      </c>
      <c r="H142" s="321" t="s">
        <v>206</v>
      </c>
      <c r="I142" s="321" t="s">
        <v>194</v>
      </c>
      <c r="J142" s="321" t="s">
        <v>194</v>
      </c>
      <c r="K142" s="64" t="s">
        <v>980</v>
      </c>
      <c r="L142" s="321" t="s">
        <v>980</v>
      </c>
      <c r="M142" s="320" t="s">
        <v>980</v>
      </c>
      <c r="N142" s="321" t="s">
        <v>82</v>
      </c>
      <c r="P142" s="195"/>
      <c r="Q142" s="195"/>
      <c r="R142" s="195"/>
      <c r="S142" s="195"/>
      <c r="T142" s="195"/>
      <c r="Y142" t="s">
        <v>980</v>
      </c>
      <c r="Z142" t="s">
        <v>2381</v>
      </c>
    </row>
    <row r="143" spans="1:26" x14ac:dyDescent="0.35">
      <c r="A143" s="357" t="s">
        <v>2347</v>
      </c>
      <c r="B143" s="357" t="s">
        <v>2388</v>
      </c>
      <c r="C143" s="357" t="s">
        <v>2396</v>
      </c>
      <c r="D143" s="66">
        <v>118</v>
      </c>
      <c r="E143" s="64" t="str">
        <f t="shared" si="9"/>
        <v>DPC.Cncr.118</v>
      </c>
      <c r="F143" s="321" t="s">
        <v>2399</v>
      </c>
      <c r="G143" s="321" t="s">
        <v>154</v>
      </c>
      <c r="H143" s="321" t="s">
        <v>2798</v>
      </c>
      <c r="I143" s="321" t="s">
        <v>220</v>
      </c>
      <c r="J143" s="320" t="s">
        <v>253</v>
      </c>
      <c r="K143" s="64" t="s">
        <v>980</v>
      </c>
      <c r="L143" s="321" t="s">
        <v>980</v>
      </c>
      <c r="M143" s="320" t="s">
        <v>194</v>
      </c>
      <c r="N143" s="321" t="s">
        <v>82</v>
      </c>
      <c r="O143" s="195">
        <v>1</v>
      </c>
      <c r="P143" s="195" t="s">
        <v>2567</v>
      </c>
      <c r="Q143" s="350">
        <v>0.5</v>
      </c>
      <c r="R143" s="195" t="s">
        <v>2567</v>
      </c>
      <c r="S143" s="89">
        <v>1</v>
      </c>
      <c r="U143">
        <v>1</v>
      </c>
      <c r="V143" s="341">
        <v>5</v>
      </c>
      <c r="Y143" t="s">
        <v>980</v>
      </c>
    </row>
    <row r="144" spans="1:26" x14ac:dyDescent="0.35">
      <c r="A144" s="357" t="s">
        <v>2347</v>
      </c>
      <c r="B144" s="357" t="s">
        <v>2388</v>
      </c>
      <c r="C144" s="357" t="s">
        <v>2396</v>
      </c>
      <c r="D144" s="66">
        <v>119</v>
      </c>
      <c r="E144" s="64" t="str">
        <f t="shared" si="9"/>
        <v>DPC.Cncr.119</v>
      </c>
      <c r="F144" s="321" t="s">
        <v>2400</v>
      </c>
      <c r="G144" s="321" t="s">
        <v>154</v>
      </c>
      <c r="H144" s="321" t="s">
        <v>2800</v>
      </c>
      <c r="I144" s="321" t="s">
        <v>220</v>
      </c>
      <c r="J144" s="320" t="s">
        <v>201</v>
      </c>
      <c r="K144" s="64" t="s">
        <v>980</v>
      </c>
      <c r="L144" s="321" t="s">
        <v>980</v>
      </c>
      <c r="M144" s="320" t="s">
        <v>980</v>
      </c>
      <c r="N144" s="321" t="s">
        <v>82</v>
      </c>
      <c r="O144" s="369">
        <f>Prevalences!N399</f>
        <v>4.5114286321434503E-4</v>
      </c>
      <c r="P144" s="195" t="s">
        <v>2201</v>
      </c>
      <c r="Q144" s="346">
        <v>0.5</v>
      </c>
      <c r="R144" s="195" t="s">
        <v>2566</v>
      </c>
      <c r="S144" s="89">
        <v>1.01</v>
      </c>
      <c r="T144" s="358">
        <f>Q144*12</f>
        <v>6</v>
      </c>
      <c r="V144" s="341">
        <v>15</v>
      </c>
      <c r="Y144" t="s">
        <v>980</v>
      </c>
      <c r="Z144" t="s">
        <v>2402</v>
      </c>
    </row>
    <row r="145" spans="1:26" x14ac:dyDescent="0.35">
      <c r="A145" s="357" t="s">
        <v>2347</v>
      </c>
      <c r="B145" s="357" t="s">
        <v>2388</v>
      </c>
      <c r="C145" s="357" t="s">
        <v>2403</v>
      </c>
      <c r="D145" s="66">
        <v>120</v>
      </c>
      <c r="E145" s="64" t="str">
        <f>_xlfn.CONCAT("DPC.Hyp.",D145)</f>
        <v>DPC.Hyp.120</v>
      </c>
      <c r="F145" s="321" t="s">
        <v>2407</v>
      </c>
      <c r="G145" s="321" t="s">
        <v>154</v>
      </c>
      <c r="H145" s="321" t="s">
        <v>2798</v>
      </c>
      <c r="I145" s="321" t="s">
        <v>220</v>
      </c>
      <c r="J145" s="320" t="s">
        <v>221</v>
      </c>
      <c r="K145" s="64" t="s">
        <v>980</v>
      </c>
      <c r="L145" s="321" t="s">
        <v>980</v>
      </c>
      <c r="M145" s="320" t="s">
        <v>980</v>
      </c>
      <c r="N145" s="321" t="s">
        <v>82</v>
      </c>
      <c r="O145" s="373"/>
      <c r="P145" s="195" t="s">
        <v>2441</v>
      </c>
      <c r="Q145" s="195"/>
      <c r="R145" s="195"/>
      <c r="S145" s="89">
        <v>1</v>
      </c>
      <c r="T145" s="195"/>
      <c r="U145">
        <v>1</v>
      </c>
      <c r="V145" s="6">
        <v>10</v>
      </c>
      <c r="Y145" t="s">
        <v>980</v>
      </c>
    </row>
    <row r="146" spans="1:26" x14ac:dyDescent="0.35">
      <c r="A146" s="357" t="s">
        <v>2347</v>
      </c>
      <c r="B146" s="357" t="s">
        <v>2388</v>
      </c>
      <c r="C146" s="357" t="s">
        <v>2403</v>
      </c>
      <c r="D146" s="66">
        <v>121</v>
      </c>
      <c r="E146" s="64" t="str">
        <f t="shared" ref="E146:E147" si="10">_xlfn.CONCAT("DPC.Hyp.",D146)</f>
        <v>DPC.Hyp.121</v>
      </c>
      <c r="F146" s="321" t="s">
        <v>2408</v>
      </c>
      <c r="G146" s="321" t="s">
        <v>154</v>
      </c>
      <c r="H146" s="321" t="s">
        <v>2798</v>
      </c>
      <c r="I146" s="321" t="s">
        <v>220</v>
      </c>
      <c r="J146" s="320" t="s">
        <v>221</v>
      </c>
      <c r="K146" s="64" t="s">
        <v>980</v>
      </c>
      <c r="L146" s="321" t="s">
        <v>980</v>
      </c>
      <c r="M146" s="320" t="s">
        <v>194</v>
      </c>
      <c r="N146" s="321" t="s">
        <v>82</v>
      </c>
      <c r="O146" s="195">
        <f>Prevalences!AO51</f>
        <v>0.19600000000000001</v>
      </c>
      <c r="P146" s="195" t="s">
        <v>2442</v>
      </c>
      <c r="Q146" s="195"/>
      <c r="R146" s="195"/>
      <c r="S146" s="352">
        <v>1.0149999999999999</v>
      </c>
      <c r="T146">
        <v>1</v>
      </c>
      <c r="U146" s="195"/>
      <c r="V146" s="6">
        <v>15</v>
      </c>
    </row>
    <row r="147" spans="1:26" x14ac:dyDescent="0.35">
      <c r="A147" s="357" t="s">
        <v>2347</v>
      </c>
      <c r="B147" s="357" t="s">
        <v>2388</v>
      </c>
      <c r="C147" s="357" t="s">
        <v>2403</v>
      </c>
      <c r="D147" s="66">
        <v>122</v>
      </c>
      <c r="E147" s="64" t="str">
        <f t="shared" si="10"/>
        <v>DPC.Hyp.122</v>
      </c>
      <c r="F147" s="321" t="s">
        <v>2409</v>
      </c>
      <c r="G147" s="321" t="s">
        <v>154</v>
      </c>
      <c r="H147" s="321" t="s">
        <v>2800</v>
      </c>
      <c r="I147" s="321" t="s">
        <v>220</v>
      </c>
      <c r="J147" s="320" t="s">
        <v>201</v>
      </c>
      <c r="K147" s="64" t="s">
        <v>980</v>
      </c>
      <c r="L147" s="321" t="s">
        <v>980</v>
      </c>
      <c r="M147" s="320" t="s">
        <v>194</v>
      </c>
      <c r="N147" s="321" t="s">
        <v>82</v>
      </c>
      <c r="O147" s="195">
        <f>O146</f>
        <v>0.19600000000000001</v>
      </c>
      <c r="P147" s="195" t="s">
        <v>1868</v>
      </c>
      <c r="Q147" s="195"/>
      <c r="R147" s="195"/>
      <c r="S147" s="89">
        <f>S146</f>
        <v>1.0149999999999999</v>
      </c>
      <c r="T147" s="195"/>
      <c r="U147">
        <v>1</v>
      </c>
      <c r="V147" s="6">
        <v>5</v>
      </c>
      <c r="Y147" t="s">
        <v>980</v>
      </c>
    </row>
    <row r="148" spans="1:26" x14ac:dyDescent="0.35">
      <c r="A148" s="357" t="s">
        <v>2347</v>
      </c>
      <c r="B148" s="357" t="s">
        <v>2388</v>
      </c>
      <c r="C148" s="357" t="s">
        <v>524</v>
      </c>
      <c r="D148" s="66">
        <v>123</v>
      </c>
      <c r="E148" s="64" t="str">
        <f>_xlfn.CONCAT("DPC.Dbt.",D148)</f>
        <v>DPC.Dbt.123</v>
      </c>
      <c r="F148" s="321" t="s">
        <v>2407</v>
      </c>
      <c r="G148" s="321" t="s">
        <v>154</v>
      </c>
      <c r="H148" s="321" t="s">
        <v>2798</v>
      </c>
      <c r="I148" s="321" t="s">
        <v>220</v>
      </c>
      <c r="J148" s="320" t="s">
        <v>221</v>
      </c>
      <c r="K148" s="64" t="s">
        <v>980</v>
      </c>
      <c r="L148" s="321" t="s">
        <v>980</v>
      </c>
      <c r="M148" s="320" t="s">
        <v>980</v>
      </c>
      <c r="N148" s="321" t="s">
        <v>82</v>
      </c>
      <c r="O148" s="373"/>
      <c r="P148" s="195" t="s">
        <v>2441</v>
      </c>
      <c r="Q148" s="195"/>
      <c r="R148" s="195"/>
      <c r="S148" s="89">
        <v>1</v>
      </c>
      <c r="T148" s="195"/>
      <c r="U148">
        <v>1</v>
      </c>
      <c r="V148" s="6">
        <v>10</v>
      </c>
      <c r="Y148" t="s">
        <v>980</v>
      </c>
    </row>
    <row r="149" spans="1:26" x14ac:dyDescent="0.35">
      <c r="A149" s="357" t="s">
        <v>2347</v>
      </c>
      <c r="B149" s="357" t="s">
        <v>2388</v>
      </c>
      <c r="C149" s="357" t="s">
        <v>524</v>
      </c>
      <c r="D149" s="66">
        <v>124</v>
      </c>
      <c r="E149" s="64" t="str">
        <f t="shared" ref="E149:E150" si="11">_xlfn.CONCAT("DPC.Dbt.",D149)</f>
        <v>DPC.Dbt.124</v>
      </c>
      <c r="F149" s="321" t="s">
        <v>2410</v>
      </c>
      <c r="G149" s="321" t="s">
        <v>154</v>
      </c>
      <c r="H149" s="321" t="s">
        <v>2798</v>
      </c>
      <c r="I149" s="321" t="s">
        <v>220</v>
      </c>
      <c r="J149" s="320" t="s">
        <v>221</v>
      </c>
      <c r="K149" s="64" t="s">
        <v>980</v>
      </c>
      <c r="L149" s="321" t="s">
        <v>980</v>
      </c>
      <c r="M149" s="320" t="s">
        <v>194</v>
      </c>
      <c r="N149" s="321" t="s">
        <v>82</v>
      </c>
      <c r="O149" s="195">
        <f>Prevalences!AM96</f>
        <v>2.56464E-2</v>
      </c>
      <c r="P149" s="195" t="s">
        <v>2442</v>
      </c>
      <c r="Q149" s="195"/>
      <c r="R149" s="195"/>
      <c r="S149" s="352">
        <v>1.0149999999999999</v>
      </c>
      <c r="T149">
        <v>1</v>
      </c>
      <c r="U149" s="195"/>
      <c r="V149" s="6">
        <v>15</v>
      </c>
    </row>
    <row r="150" spans="1:26" x14ac:dyDescent="0.35">
      <c r="A150" s="357" t="s">
        <v>2347</v>
      </c>
      <c r="B150" s="357" t="s">
        <v>2388</v>
      </c>
      <c r="C150" s="357" t="s">
        <v>524</v>
      </c>
      <c r="D150" s="66">
        <v>125</v>
      </c>
      <c r="E150" s="64" t="str">
        <f t="shared" si="11"/>
        <v>DPC.Dbt.125</v>
      </c>
      <c r="F150" s="321" t="s">
        <v>2411</v>
      </c>
      <c r="G150" s="321" t="s">
        <v>154</v>
      </c>
      <c r="H150" s="321" t="s">
        <v>2800</v>
      </c>
      <c r="I150" s="321" t="s">
        <v>220</v>
      </c>
      <c r="J150" s="320" t="s">
        <v>201</v>
      </c>
      <c r="K150" s="64" t="s">
        <v>980</v>
      </c>
      <c r="L150" s="321" t="s">
        <v>980</v>
      </c>
      <c r="M150" s="320" t="s">
        <v>194</v>
      </c>
      <c r="N150" s="321" t="s">
        <v>82</v>
      </c>
      <c r="O150" s="195">
        <f>O149</f>
        <v>2.56464E-2</v>
      </c>
      <c r="P150" s="195" t="s">
        <v>1868</v>
      </c>
      <c r="Q150" s="195"/>
      <c r="R150" s="195"/>
      <c r="S150" s="89">
        <f>S149</f>
        <v>1.0149999999999999</v>
      </c>
      <c r="T150" s="195"/>
      <c r="U150">
        <v>1</v>
      </c>
      <c r="V150" s="6">
        <v>5</v>
      </c>
      <c r="Y150" t="s">
        <v>980</v>
      </c>
    </row>
    <row r="151" spans="1:26" x14ac:dyDescent="0.35">
      <c r="A151" s="357" t="s">
        <v>2347</v>
      </c>
      <c r="B151" s="357" t="s">
        <v>2388</v>
      </c>
      <c r="C151" s="357" t="s">
        <v>2404</v>
      </c>
      <c r="D151" s="66">
        <v>126</v>
      </c>
      <c r="E151" s="64" t="str">
        <f>_xlfn.CONCAT("DPC.Asth.",D151)</f>
        <v>DPC.Asth.126</v>
      </c>
      <c r="F151" s="321" t="s">
        <v>2412</v>
      </c>
      <c r="G151" s="321" t="s">
        <v>154</v>
      </c>
      <c r="H151" s="321" t="s">
        <v>2798</v>
      </c>
      <c r="I151" s="321" t="s">
        <v>220</v>
      </c>
      <c r="J151" s="320" t="s">
        <v>2579</v>
      </c>
      <c r="K151" s="64" t="s">
        <v>980</v>
      </c>
      <c r="L151" s="321" t="s">
        <v>980</v>
      </c>
      <c r="M151" s="320" t="s">
        <v>980</v>
      </c>
      <c r="N151" s="321" t="s">
        <v>82</v>
      </c>
      <c r="O151" s="145">
        <f>Prevalences!AJ359</f>
        <v>8.8999999999999996E-2</v>
      </c>
      <c r="P151" s="195" t="s">
        <v>2450</v>
      </c>
      <c r="Q151" s="346">
        <v>0.1</v>
      </c>
      <c r="R151" s="195" t="s">
        <v>2451</v>
      </c>
      <c r="S151" s="89">
        <v>1</v>
      </c>
      <c r="T151" s="5">
        <v>2</v>
      </c>
      <c r="V151" s="6">
        <v>10</v>
      </c>
      <c r="Y151" t="s">
        <v>980</v>
      </c>
    </row>
    <row r="152" spans="1:26" x14ac:dyDescent="0.35">
      <c r="A152" s="357" t="s">
        <v>2347</v>
      </c>
      <c r="B152" s="357" t="s">
        <v>2388</v>
      </c>
      <c r="C152" s="357" t="s">
        <v>2404</v>
      </c>
      <c r="D152" s="66">
        <v>127</v>
      </c>
      <c r="E152" s="64" t="str">
        <f t="shared" ref="E152:E154" si="12">_xlfn.CONCAT("DPC.Asth.",D152)</f>
        <v>DPC.Asth.127</v>
      </c>
      <c r="F152" s="321" t="s">
        <v>2413</v>
      </c>
      <c r="G152" s="321" t="s">
        <v>154</v>
      </c>
      <c r="H152" s="321" t="s">
        <v>2798</v>
      </c>
      <c r="I152" s="321" t="s">
        <v>220</v>
      </c>
      <c r="J152" s="320" t="s">
        <v>201</v>
      </c>
      <c r="K152" s="64" t="s">
        <v>980</v>
      </c>
      <c r="L152" s="321" t="s">
        <v>980</v>
      </c>
      <c r="M152" s="320" t="s">
        <v>980</v>
      </c>
      <c r="N152" s="321" t="s">
        <v>82</v>
      </c>
      <c r="O152" s="321"/>
      <c r="P152" s="321"/>
      <c r="Q152" s="195"/>
      <c r="R152" s="195"/>
      <c r="S152" s="321"/>
      <c r="T152" s="321"/>
      <c r="U152" s="321"/>
      <c r="V152" s="321"/>
      <c r="Y152" t="s">
        <v>980</v>
      </c>
      <c r="Z152" t="s">
        <v>2381</v>
      </c>
    </row>
    <row r="153" spans="1:26" x14ac:dyDescent="0.35">
      <c r="A153" s="357" t="s">
        <v>2347</v>
      </c>
      <c r="B153" s="357" t="s">
        <v>2388</v>
      </c>
      <c r="C153" s="357" t="s">
        <v>2404</v>
      </c>
      <c r="D153" s="66">
        <v>128</v>
      </c>
      <c r="E153" s="64" t="str">
        <f t="shared" si="12"/>
        <v>DPC.Asth.128</v>
      </c>
      <c r="F153" s="321" t="s">
        <v>2414</v>
      </c>
      <c r="G153" s="321" t="s">
        <v>154</v>
      </c>
      <c r="H153" s="319" t="s">
        <v>2800</v>
      </c>
      <c r="I153" s="321" t="s">
        <v>220</v>
      </c>
      <c r="J153" s="351" t="s">
        <v>2439</v>
      </c>
      <c r="K153" s="64" t="s">
        <v>980</v>
      </c>
      <c r="L153" s="321" t="s">
        <v>194</v>
      </c>
      <c r="M153" s="320" t="s">
        <v>194</v>
      </c>
      <c r="N153" s="321" t="s">
        <v>82</v>
      </c>
      <c r="O153" s="195">
        <f>Prevalences!AI172*(1-Prevalences!AA186)</f>
        <v>8.2649999999999987E-2</v>
      </c>
      <c r="P153" s="195" t="s">
        <v>1868</v>
      </c>
      <c r="Q153" s="195"/>
      <c r="R153" s="195"/>
      <c r="S153" s="352">
        <v>0.98499999999999999</v>
      </c>
      <c r="T153">
        <v>1</v>
      </c>
      <c r="U153">
        <v>1</v>
      </c>
      <c r="V153" s="6">
        <v>10</v>
      </c>
      <c r="Y153" t="s">
        <v>980</v>
      </c>
      <c r="Z153" t="s">
        <v>2452</v>
      </c>
    </row>
    <row r="154" spans="1:26" x14ac:dyDescent="0.35">
      <c r="A154" s="357" t="s">
        <v>2347</v>
      </c>
      <c r="B154" s="357" t="s">
        <v>2388</v>
      </c>
      <c r="C154" s="357" t="s">
        <v>2404</v>
      </c>
      <c r="D154" s="66">
        <v>129</v>
      </c>
      <c r="E154" s="64" t="str">
        <f t="shared" si="12"/>
        <v>DPC.Asth.129</v>
      </c>
      <c r="F154" s="321" t="s">
        <v>2415</v>
      </c>
      <c r="G154" s="321" t="s">
        <v>154</v>
      </c>
      <c r="H154" s="319" t="s">
        <v>2800</v>
      </c>
      <c r="I154" s="321" t="s">
        <v>220</v>
      </c>
      <c r="J154" s="351" t="s">
        <v>2439</v>
      </c>
      <c r="K154" s="64" t="s">
        <v>980</v>
      </c>
      <c r="L154" s="321" t="s">
        <v>194</v>
      </c>
      <c r="M154" s="320" t="s">
        <v>194</v>
      </c>
      <c r="N154" s="321" t="s">
        <v>82</v>
      </c>
      <c r="O154" s="195">
        <f>Prevalences!AI172*(Prevalences!AA186)</f>
        <v>4.3499999999999997E-3</v>
      </c>
      <c r="P154" s="195" t="s">
        <v>1868</v>
      </c>
      <c r="Q154" s="195"/>
      <c r="R154" s="195"/>
      <c r="S154" s="89">
        <f>S153</f>
        <v>0.98499999999999999</v>
      </c>
      <c r="T154">
        <v>1</v>
      </c>
      <c r="U154" s="195"/>
      <c r="V154" s="6">
        <v>10</v>
      </c>
      <c r="Y154" t="s">
        <v>980</v>
      </c>
      <c r="Z154" t="s">
        <v>2452</v>
      </c>
    </row>
    <row r="155" spans="1:26" x14ac:dyDescent="0.35">
      <c r="A155" s="357" t="s">
        <v>2347</v>
      </c>
      <c r="B155" s="357" t="s">
        <v>2388</v>
      </c>
      <c r="C155" s="357" t="s">
        <v>232</v>
      </c>
      <c r="D155" s="66">
        <v>130</v>
      </c>
      <c r="F155" s="321" t="s">
        <v>2416</v>
      </c>
      <c r="G155" s="321"/>
      <c r="K155" s="64" t="s">
        <v>980</v>
      </c>
      <c r="L155" s="321" t="s">
        <v>980</v>
      </c>
      <c r="M155" s="320" t="s">
        <v>980</v>
      </c>
      <c r="N155" s="321" t="s">
        <v>82</v>
      </c>
      <c r="O155" s="321"/>
      <c r="P155" s="321"/>
      <c r="Q155" s="195"/>
      <c r="R155" s="195"/>
      <c r="S155" s="321"/>
      <c r="T155" s="321"/>
      <c r="U155" s="321"/>
      <c r="V155" s="321"/>
      <c r="Y155" t="s">
        <v>980</v>
      </c>
    </row>
    <row r="156" spans="1:26" x14ac:dyDescent="0.35">
      <c r="A156" s="357" t="s">
        <v>2347</v>
      </c>
      <c r="B156" s="357" t="s">
        <v>2388</v>
      </c>
      <c r="C156" s="357" t="s">
        <v>232</v>
      </c>
      <c r="D156" s="66">
        <v>130</v>
      </c>
      <c r="E156" s="64" t="s">
        <v>2453</v>
      </c>
      <c r="F156" s="321" t="s">
        <v>2455</v>
      </c>
      <c r="G156" s="321" t="s">
        <v>2256</v>
      </c>
      <c r="H156" s="319" t="s">
        <v>2437</v>
      </c>
      <c r="I156" s="321" t="s">
        <v>232</v>
      </c>
      <c r="J156" s="320" t="s">
        <v>194</v>
      </c>
      <c r="K156" s="64" t="s">
        <v>980</v>
      </c>
      <c r="L156" s="321" t="s">
        <v>980</v>
      </c>
      <c r="M156" s="320" t="s">
        <v>980</v>
      </c>
      <c r="N156" s="321" t="s">
        <v>82</v>
      </c>
      <c r="O156" s="321"/>
      <c r="P156" s="321"/>
      <c r="Q156" s="195"/>
      <c r="R156" s="195"/>
      <c r="S156" s="321"/>
      <c r="T156" s="321"/>
      <c r="U156" s="321"/>
      <c r="V156" s="321"/>
      <c r="Y156" t="s">
        <v>980</v>
      </c>
      <c r="Z156" t="s">
        <v>2381</v>
      </c>
    </row>
    <row r="157" spans="1:26" x14ac:dyDescent="0.35">
      <c r="A157" s="357" t="s">
        <v>2347</v>
      </c>
      <c r="B157" s="357" t="s">
        <v>2388</v>
      </c>
      <c r="C157" s="357" t="s">
        <v>232</v>
      </c>
      <c r="D157" s="66">
        <v>130</v>
      </c>
      <c r="E157" s="64" t="s">
        <v>2454</v>
      </c>
      <c r="F157" s="321" t="s">
        <v>2456</v>
      </c>
      <c r="G157" s="321" t="s">
        <v>154</v>
      </c>
      <c r="H157" s="321" t="s">
        <v>2800</v>
      </c>
      <c r="I157" s="321" t="s">
        <v>232</v>
      </c>
      <c r="J157" s="320" t="s">
        <v>233</v>
      </c>
      <c r="K157" s="64" t="s">
        <v>980</v>
      </c>
      <c r="L157" s="321" t="s">
        <v>980</v>
      </c>
      <c r="M157" s="320" t="s">
        <v>980</v>
      </c>
      <c r="N157" s="321" t="s">
        <v>82</v>
      </c>
      <c r="O157" s="145">
        <f>Prevalences!K238</f>
        <v>0.21579999999999999</v>
      </c>
      <c r="P157" s="195" t="s">
        <v>2442</v>
      </c>
      <c r="Q157" s="195"/>
      <c r="R157" s="195"/>
      <c r="S157" s="89">
        <v>1</v>
      </c>
      <c r="T157">
        <v>1</v>
      </c>
      <c r="U157" s="336"/>
      <c r="V157" s="6">
        <v>15</v>
      </c>
    </row>
    <row r="158" spans="1:26" x14ac:dyDescent="0.35">
      <c r="A158" s="357" t="s">
        <v>2347</v>
      </c>
      <c r="B158" s="357" t="s">
        <v>2388</v>
      </c>
      <c r="C158" s="357" t="s">
        <v>232</v>
      </c>
      <c r="D158" s="66">
        <f>D155+1</f>
        <v>131</v>
      </c>
      <c r="E158" s="64" t="str">
        <f>_xlfn.CONCAT("DPC.MH.",D158)</f>
        <v>DPC.MH.131</v>
      </c>
      <c r="F158" s="321" t="s">
        <v>2418</v>
      </c>
      <c r="G158" s="321" t="s">
        <v>2256</v>
      </c>
      <c r="H158" s="319" t="s">
        <v>2437</v>
      </c>
      <c r="I158" s="321" t="s">
        <v>232</v>
      </c>
      <c r="J158" s="320" t="s">
        <v>194</v>
      </c>
      <c r="K158" s="64" t="s">
        <v>980</v>
      </c>
      <c r="L158" s="321" t="s">
        <v>980</v>
      </c>
      <c r="M158" s="320" t="s">
        <v>980</v>
      </c>
      <c r="N158" s="321" t="s">
        <v>82</v>
      </c>
      <c r="O158" s="321"/>
      <c r="P158" s="321"/>
      <c r="Q158" s="195"/>
      <c r="R158" s="195"/>
      <c r="S158" s="321"/>
      <c r="T158" s="321"/>
      <c r="U158" s="321"/>
      <c r="V158" s="321"/>
      <c r="Y158" t="s">
        <v>980</v>
      </c>
      <c r="Z158" t="s">
        <v>2381</v>
      </c>
    </row>
    <row r="159" spans="1:26" x14ac:dyDescent="0.35">
      <c r="A159" s="357" t="s">
        <v>2347</v>
      </c>
      <c r="B159" s="357" t="s">
        <v>2388</v>
      </c>
      <c r="C159" s="357" t="s">
        <v>232</v>
      </c>
      <c r="D159" s="66">
        <f t="shared" ref="D159:D162" si="13">D158+1</f>
        <v>132</v>
      </c>
      <c r="E159" s="64" t="str">
        <f t="shared" ref="E159:E162" si="14">_xlfn.CONCAT("DPC.MH.",D159)</f>
        <v>DPC.MH.132</v>
      </c>
      <c r="F159" s="321" t="s">
        <v>2417</v>
      </c>
      <c r="G159" s="321" t="s">
        <v>2256</v>
      </c>
      <c r="H159" s="319" t="s">
        <v>2437</v>
      </c>
      <c r="I159" s="321" t="s">
        <v>232</v>
      </c>
      <c r="J159" s="320" t="s">
        <v>194</v>
      </c>
      <c r="K159" s="64" t="s">
        <v>980</v>
      </c>
      <c r="L159" s="321" t="s">
        <v>980</v>
      </c>
      <c r="M159" s="320" t="s">
        <v>980</v>
      </c>
      <c r="N159" s="321" t="s">
        <v>82</v>
      </c>
      <c r="O159" s="321"/>
      <c r="P159" s="321"/>
      <c r="Q159" s="195"/>
      <c r="R159" s="195"/>
      <c r="S159" s="321"/>
      <c r="T159" s="321"/>
      <c r="U159" s="321"/>
      <c r="V159" s="321"/>
      <c r="Y159" t="s">
        <v>980</v>
      </c>
      <c r="Z159" t="s">
        <v>2381</v>
      </c>
    </row>
    <row r="160" spans="1:26" x14ac:dyDescent="0.35">
      <c r="A160" s="357" t="s">
        <v>2347</v>
      </c>
      <c r="B160" s="357" t="s">
        <v>2388</v>
      </c>
      <c r="C160" s="357" t="s">
        <v>232</v>
      </c>
      <c r="D160" s="66">
        <f t="shared" si="13"/>
        <v>133</v>
      </c>
      <c r="E160" s="64" t="str">
        <f t="shared" si="14"/>
        <v>DPC.MH.133</v>
      </c>
      <c r="F160" s="321" t="s">
        <v>2419</v>
      </c>
      <c r="G160" s="321" t="s">
        <v>154</v>
      </c>
      <c r="H160" s="321" t="s">
        <v>2800</v>
      </c>
      <c r="I160" s="321" t="s">
        <v>232</v>
      </c>
      <c r="J160" s="320" t="s">
        <v>233</v>
      </c>
      <c r="K160" s="64" t="s">
        <v>980</v>
      </c>
      <c r="L160" s="321" t="s">
        <v>980</v>
      </c>
      <c r="M160" s="320" t="s">
        <v>980</v>
      </c>
      <c r="N160" s="321" t="s">
        <v>82</v>
      </c>
      <c r="O160" s="373"/>
      <c r="P160" s="195" t="s">
        <v>2442</v>
      </c>
      <c r="Q160" s="195"/>
      <c r="R160" s="195"/>
      <c r="S160" s="89">
        <v>1</v>
      </c>
      <c r="T160">
        <v>1</v>
      </c>
      <c r="U160" s="336"/>
      <c r="V160" s="6">
        <v>15</v>
      </c>
      <c r="Z160" t="s">
        <v>2457</v>
      </c>
    </row>
    <row r="161" spans="1:26" x14ac:dyDescent="0.35">
      <c r="A161" s="357" t="s">
        <v>2347</v>
      </c>
      <c r="B161" s="357" t="s">
        <v>2388</v>
      </c>
      <c r="C161" s="357" t="s">
        <v>232</v>
      </c>
      <c r="D161" s="66">
        <f t="shared" si="13"/>
        <v>134</v>
      </c>
      <c r="E161" s="64" t="str">
        <f t="shared" si="14"/>
        <v>DPC.MH.134</v>
      </c>
      <c r="F161" s="321" t="s">
        <v>2420</v>
      </c>
      <c r="G161" s="321" t="s">
        <v>2256</v>
      </c>
      <c r="H161" s="319" t="s">
        <v>2437</v>
      </c>
      <c r="I161" s="321" t="s">
        <v>232</v>
      </c>
      <c r="J161" s="320" t="s">
        <v>194</v>
      </c>
      <c r="K161" s="64" t="s">
        <v>980</v>
      </c>
      <c r="L161" s="321" t="s">
        <v>980</v>
      </c>
      <c r="M161" s="320" t="s">
        <v>980</v>
      </c>
      <c r="N161" s="321" t="s">
        <v>82</v>
      </c>
      <c r="O161" s="321"/>
      <c r="P161" s="321"/>
      <c r="Q161" s="195"/>
      <c r="R161" s="195"/>
      <c r="S161" s="321"/>
      <c r="T161" s="321"/>
      <c r="U161" s="321"/>
      <c r="V161" s="321"/>
      <c r="Y161" t="s">
        <v>980</v>
      </c>
      <c r="Z161" t="s">
        <v>2381</v>
      </c>
    </row>
    <row r="162" spans="1:26" x14ac:dyDescent="0.35">
      <c r="A162" s="357" t="s">
        <v>2347</v>
      </c>
      <c r="B162" s="357" t="s">
        <v>2388</v>
      </c>
      <c r="C162" s="357" t="s">
        <v>232</v>
      </c>
      <c r="D162" s="66">
        <f t="shared" si="13"/>
        <v>135</v>
      </c>
      <c r="E162" s="64" t="str">
        <f t="shared" si="14"/>
        <v>DPC.MH.135</v>
      </c>
      <c r="F162" s="321" t="s">
        <v>2421</v>
      </c>
      <c r="G162" s="321" t="s">
        <v>154</v>
      </c>
      <c r="H162" s="321" t="s">
        <v>2800</v>
      </c>
      <c r="I162" s="321" t="s">
        <v>232</v>
      </c>
      <c r="J162" s="320" t="s">
        <v>201</v>
      </c>
      <c r="K162" s="64" t="s">
        <v>980</v>
      </c>
      <c r="L162" s="321" t="s">
        <v>980</v>
      </c>
      <c r="M162" s="320" t="s">
        <v>980</v>
      </c>
      <c r="N162" s="321" t="s">
        <v>82</v>
      </c>
      <c r="O162" s="373"/>
      <c r="P162" s="321" t="s">
        <v>2201</v>
      </c>
      <c r="Q162" s="195"/>
      <c r="R162" s="195"/>
      <c r="S162" s="89">
        <v>1</v>
      </c>
      <c r="T162">
        <v>1</v>
      </c>
      <c r="U162" s="321"/>
      <c r="V162" s="6">
        <v>15</v>
      </c>
      <c r="Y162" t="s">
        <v>980</v>
      </c>
    </row>
    <row r="163" spans="1:26" x14ac:dyDescent="0.35">
      <c r="A163" s="357" t="s">
        <v>2347</v>
      </c>
      <c r="B163" s="357" t="s">
        <v>2388</v>
      </c>
      <c r="C163" s="357" t="s">
        <v>2405</v>
      </c>
      <c r="D163" s="66">
        <v>136</v>
      </c>
      <c r="E163" s="64" t="str">
        <f>_xlfn.CONCAT("DPC.Oph.",D163)</f>
        <v>DPC.Oph.136</v>
      </c>
      <c r="F163" s="321" t="s">
        <v>2422</v>
      </c>
      <c r="G163" s="321" t="s">
        <v>154</v>
      </c>
      <c r="H163" s="321" t="s">
        <v>2798</v>
      </c>
      <c r="I163" s="319" t="s">
        <v>220</v>
      </c>
      <c r="J163" s="320" t="s">
        <v>201</v>
      </c>
      <c r="K163" s="64" t="s">
        <v>980</v>
      </c>
      <c r="L163" s="321" t="s">
        <v>980</v>
      </c>
      <c r="M163" s="320" t="s">
        <v>980</v>
      </c>
      <c r="N163" s="321" t="s">
        <v>82</v>
      </c>
      <c r="O163" s="145">
        <f>Prevalences!AN391/1000000</f>
        <v>4.8212E-4</v>
      </c>
      <c r="P163" s="321" t="s">
        <v>2590</v>
      </c>
      <c r="Q163" s="195"/>
      <c r="R163" s="195"/>
      <c r="S163" s="89">
        <f>1+Prevalences!AN393</f>
        <v>1.0311999999999999</v>
      </c>
      <c r="T163">
        <v>1</v>
      </c>
      <c r="U163" s="321"/>
      <c r="V163" s="6">
        <v>10</v>
      </c>
      <c r="Y163" t="s">
        <v>980</v>
      </c>
      <c r="Z163" t="s">
        <v>2602</v>
      </c>
    </row>
    <row r="164" spans="1:26" x14ac:dyDescent="0.35">
      <c r="A164" s="357" t="s">
        <v>2347</v>
      </c>
      <c r="B164" s="357" t="s">
        <v>2388</v>
      </c>
      <c r="C164" s="357" t="s">
        <v>2405</v>
      </c>
      <c r="D164" s="66">
        <f>D163+1</f>
        <v>137</v>
      </c>
      <c r="E164" s="64" t="str">
        <f t="shared" ref="E164:E168" si="15">_xlfn.CONCAT("DPC.Oph.",D164)</f>
        <v>DPC.Oph.137</v>
      </c>
      <c r="F164" s="321" t="s">
        <v>2423</v>
      </c>
      <c r="G164" s="321" t="s">
        <v>154</v>
      </c>
      <c r="H164" s="321" t="s">
        <v>2437</v>
      </c>
      <c r="I164" s="319" t="s">
        <v>220</v>
      </c>
      <c r="J164" s="320" t="s">
        <v>194</v>
      </c>
      <c r="K164" s="64" t="s">
        <v>980</v>
      </c>
      <c r="L164" s="321" t="s">
        <v>980</v>
      </c>
      <c r="M164" s="320" t="s">
        <v>980</v>
      </c>
      <c r="N164" s="321" t="s">
        <v>82</v>
      </c>
      <c r="O164" s="321"/>
      <c r="P164" s="321"/>
      <c r="Q164" s="195"/>
      <c r="R164" s="195"/>
      <c r="S164" s="321"/>
      <c r="T164" s="321"/>
      <c r="U164" s="321"/>
      <c r="V164" s="321"/>
      <c r="Y164" t="s">
        <v>980</v>
      </c>
      <c r="Z164" t="s">
        <v>2381</v>
      </c>
    </row>
    <row r="165" spans="1:26" x14ac:dyDescent="0.35">
      <c r="A165" s="357" t="s">
        <v>2347</v>
      </c>
      <c r="B165" s="357" t="s">
        <v>2388</v>
      </c>
      <c r="C165" s="357" t="s">
        <v>2405</v>
      </c>
      <c r="D165" s="66">
        <f t="shared" ref="D165:D168" si="16">D164+1</f>
        <v>138</v>
      </c>
      <c r="E165" s="64" t="str">
        <f t="shared" si="15"/>
        <v>DPC.Oph.138</v>
      </c>
      <c r="F165" s="321" t="s">
        <v>2424</v>
      </c>
      <c r="G165" s="321" t="s">
        <v>154</v>
      </c>
      <c r="H165" s="319" t="s">
        <v>2798</v>
      </c>
      <c r="I165" s="319" t="s">
        <v>220</v>
      </c>
      <c r="J165" s="320" t="s">
        <v>2439</v>
      </c>
      <c r="K165" s="64" t="s">
        <v>980</v>
      </c>
      <c r="L165" s="321" t="s">
        <v>980</v>
      </c>
      <c r="M165" s="320" t="s">
        <v>194</v>
      </c>
      <c r="N165" s="321" t="s">
        <v>82</v>
      </c>
      <c r="O165" s="321"/>
      <c r="P165" s="321"/>
      <c r="Q165" s="195"/>
      <c r="R165" s="195"/>
      <c r="S165" s="321"/>
      <c r="T165" s="321"/>
      <c r="U165" s="321"/>
      <c r="V165" s="321"/>
      <c r="Y165" t="s">
        <v>980</v>
      </c>
      <c r="Z165" t="s">
        <v>2381</v>
      </c>
    </row>
    <row r="166" spans="1:26" x14ac:dyDescent="0.35">
      <c r="A166" s="357" t="s">
        <v>2347</v>
      </c>
      <c r="B166" s="357" t="s">
        <v>2388</v>
      </c>
      <c r="C166" s="357" t="s">
        <v>2405</v>
      </c>
      <c r="D166" s="66">
        <f t="shared" si="16"/>
        <v>139</v>
      </c>
      <c r="E166" s="64" t="str">
        <f t="shared" si="15"/>
        <v>DPC.Oph.139</v>
      </c>
      <c r="F166" s="321" t="s">
        <v>2425</v>
      </c>
      <c r="G166" s="321" t="s">
        <v>154</v>
      </c>
      <c r="H166" s="321" t="s">
        <v>2798</v>
      </c>
      <c r="I166" s="319" t="s">
        <v>220</v>
      </c>
      <c r="J166" s="320" t="s">
        <v>201</v>
      </c>
      <c r="K166" s="64" t="s">
        <v>980</v>
      </c>
      <c r="L166" s="321" t="s">
        <v>980</v>
      </c>
      <c r="M166" s="320" t="s">
        <v>194</v>
      </c>
      <c r="N166" s="321" t="s">
        <v>82</v>
      </c>
      <c r="O166" s="145">
        <f>1/5</f>
        <v>0.2</v>
      </c>
      <c r="P166" s="321" t="s">
        <v>2592</v>
      </c>
      <c r="Q166" s="195"/>
      <c r="R166" s="195"/>
      <c r="S166" s="89">
        <v>1</v>
      </c>
      <c r="T166">
        <v>1</v>
      </c>
      <c r="U166" s="321"/>
      <c r="V166" s="6">
        <v>15</v>
      </c>
      <c r="Y166" t="s">
        <v>980</v>
      </c>
    </row>
    <row r="167" spans="1:26" x14ac:dyDescent="0.35">
      <c r="A167" s="357" t="s">
        <v>2347</v>
      </c>
      <c r="B167" s="357" t="s">
        <v>2388</v>
      </c>
      <c r="C167" s="357" t="s">
        <v>2405</v>
      </c>
      <c r="D167" s="66">
        <f t="shared" si="16"/>
        <v>140</v>
      </c>
      <c r="E167" s="64" t="str">
        <f t="shared" si="15"/>
        <v>DPC.Oph.140</v>
      </c>
      <c r="F167" s="321" t="s">
        <v>2426</v>
      </c>
      <c r="G167" s="321" t="s">
        <v>154</v>
      </c>
      <c r="H167" s="321" t="s">
        <v>2798</v>
      </c>
      <c r="I167" s="319" t="s">
        <v>220</v>
      </c>
      <c r="J167" s="320" t="s">
        <v>221</v>
      </c>
      <c r="K167" s="64" t="s">
        <v>980</v>
      </c>
      <c r="L167" s="321" t="s">
        <v>980</v>
      </c>
      <c r="M167" s="320" t="s">
        <v>980</v>
      </c>
      <c r="N167" s="321" t="s">
        <v>82</v>
      </c>
      <c r="O167" s="321"/>
      <c r="P167" s="321"/>
      <c r="Q167" s="195"/>
      <c r="R167" s="195"/>
      <c r="S167" s="89">
        <v>1</v>
      </c>
      <c r="T167">
        <v>1</v>
      </c>
      <c r="U167" s="321"/>
      <c r="V167" s="6">
        <v>15</v>
      </c>
      <c r="Y167" t="s">
        <v>980</v>
      </c>
      <c r="Z167" t="s">
        <v>2593</v>
      </c>
    </row>
    <row r="168" spans="1:26" x14ac:dyDescent="0.35">
      <c r="A168" s="357" t="s">
        <v>2347</v>
      </c>
      <c r="B168" s="357" t="s">
        <v>2388</v>
      </c>
      <c r="C168" s="357" t="s">
        <v>2405</v>
      </c>
      <c r="D168" s="66">
        <f t="shared" si="16"/>
        <v>141</v>
      </c>
      <c r="E168" s="64" t="str">
        <f t="shared" si="15"/>
        <v>DPC.Oph.141</v>
      </c>
      <c r="F168" s="321" t="s">
        <v>2427</v>
      </c>
      <c r="G168" s="321" t="s">
        <v>154</v>
      </c>
      <c r="H168" s="321" t="s">
        <v>2800</v>
      </c>
      <c r="I168" s="319" t="s">
        <v>220</v>
      </c>
      <c r="J168" s="320" t="s">
        <v>2598</v>
      </c>
      <c r="K168" s="64" t="s">
        <v>980</v>
      </c>
      <c r="L168" s="321" t="s">
        <v>194</v>
      </c>
      <c r="M168" s="320" t="s">
        <v>194</v>
      </c>
      <c r="N168" s="321" t="s">
        <v>82</v>
      </c>
      <c r="O168" s="145">
        <f>Prevalences!AJ417</f>
        <v>0.155</v>
      </c>
      <c r="P168" s="321" t="s">
        <v>2201</v>
      </c>
      <c r="Q168" s="195"/>
      <c r="R168" s="195"/>
      <c r="S168" s="352">
        <v>0.98499999999999999</v>
      </c>
      <c r="T168">
        <v>1</v>
      </c>
      <c r="U168" s="321"/>
      <c r="V168" s="6">
        <v>15</v>
      </c>
      <c r="Y168" t="s">
        <v>980</v>
      </c>
    </row>
    <row r="169" spans="1:26" x14ac:dyDescent="0.35">
      <c r="A169" s="357" t="s">
        <v>2347</v>
      </c>
      <c r="B169" s="357" t="s">
        <v>2388</v>
      </c>
      <c r="C169" s="357" t="s">
        <v>2406</v>
      </c>
      <c r="E169" s="64" t="s">
        <v>2603</v>
      </c>
      <c r="F169" s="356" t="s">
        <v>2604</v>
      </c>
      <c r="G169" s="321" t="s">
        <v>154</v>
      </c>
      <c r="H169" s="321" t="s">
        <v>2800</v>
      </c>
      <c r="I169" s="321" t="s">
        <v>214</v>
      </c>
      <c r="J169" s="320" t="s">
        <v>212</v>
      </c>
      <c r="K169" s="64" t="s">
        <v>980</v>
      </c>
      <c r="L169" s="321" t="s">
        <v>980</v>
      </c>
      <c r="M169" s="320" t="s">
        <v>194</v>
      </c>
      <c r="N169" s="374" t="s">
        <v>82</v>
      </c>
      <c r="O169" s="145">
        <f>Prevalences!B464</f>
        <v>1.8782608695652177E-3</v>
      </c>
      <c r="P169" s="321" t="s">
        <v>2201</v>
      </c>
      <c r="Q169" s="346">
        <v>0.25</v>
      </c>
      <c r="R169" s="195" t="s">
        <v>2607</v>
      </c>
      <c r="S169" s="352">
        <v>1</v>
      </c>
      <c r="T169">
        <v>1</v>
      </c>
      <c r="U169" s="321"/>
      <c r="V169" s="6">
        <v>7</v>
      </c>
      <c r="W169" s="321"/>
      <c r="X169" s="321"/>
    </row>
    <row r="170" spans="1:26" x14ac:dyDescent="0.35">
      <c r="A170" s="357" t="s">
        <v>2347</v>
      </c>
      <c r="B170" s="357" t="s">
        <v>2388</v>
      </c>
      <c r="C170" s="357" t="s">
        <v>2406</v>
      </c>
      <c r="E170" s="64" t="s">
        <v>2605</v>
      </c>
      <c r="F170" s="356" t="s">
        <v>2606</v>
      </c>
      <c r="G170" s="321" t="s">
        <v>154</v>
      </c>
      <c r="H170" s="321" t="s">
        <v>2800</v>
      </c>
      <c r="I170" s="321" t="s">
        <v>214</v>
      </c>
      <c r="J170" s="320" t="s">
        <v>212</v>
      </c>
      <c r="K170" s="64" t="s">
        <v>980</v>
      </c>
      <c r="L170" s="321" t="s">
        <v>194</v>
      </c>
      <c r="M170" s="320" t="s">
        <v>194</v>
      </c>
      <c r="N170" s="374" t="s">
        <v>82</v>
      </c>
      <c r="O170" s="145">
        <f>Prevalences!B465</f>
        <v>2.156521739130435E-3</v>
      </c>
      <c r="P170" s="321" t="s">
        <v>2201</v>
      </c>
      <c r="Q170" s="346">
        <v>0.25</v>
      </c>
      <c r="R170" s="195" t="s">
        <v>2607</v>
      </c>
      <c r="S170" s="352">
        <v>1</v>
      </c>
      <c r="T170">
        <v>1</v>
      </c>
      <c r="U170" s="321"/>
      <c r="V170" s="6">
        <v>15</v>
      </c>
      <c r="W170" s="321"/>
      <c r="X170" s="321"/>
    </row>
    <row r="171" spans="1:26" x14ac:dyDescent="0.35">
      <c r="A171" s="357" t="s">
        <v>2347</v>
      </c>
      <c r="B171" s="357" t="s">
        <v>2388</v>
      </c>
      <c r="C171" s="357" t="s">
        <v>2406</v>
      </c>
      <c r="D171" s="66">
        <v>142</v>
      </c>
      <c r="F171" s="321" t="s">
        <v>2428</v>
      </c>
      <c r="G171" s="321" t="s">
        <v>154</v>
      </c>
      <c r="H171" s="321" t="s">
        <v>2800</v>
      </c>
      <c r="I171" s="321" t="s">
        <v>214</v>
      </c>
      <c r="J171" s="320" t="s">
        <v>212</v>
      </c>
      <c r="K171" s="64" t="s">
        <v>980</v>
      </c>
      <c r="L171" s="321" t="s">
        <v>980</v>
      </c>
      <c r="M171" s="320" t="s">
        <v>194</v>
      </c>
      <c r="N171" s="321" t="s">
        <v>82</v>
      </c>
      <c r="O171" s="321"/>
      <c r="P171" s="321"/>
      <c r="Q171" s="195"/>
      <c r="R171" s="195"/>
      <c r="S171" s="321"/>
      <c r="T171" s="321"/>
      <c r="U171" s="321"/>
      <c r="V171" s="321"/>
      <c r="Y171" t="s">
        <v>980</v>
      </c>
      <c r="Z171" t="s">
        <v>2618</v>
      </c>
    </row>
    <row r="172" spans="1:26" x14ac:dyDescent="0.35">
      <c r="A172" s="357" t="s">
        <v>2347</v>
      </c>
      <c r="B172" s="357" t="s">
        <v>2388</v>
      </c>
      <c r="C172" s="357" t="s">
        <v>2406</v>
      </c>
      <c r="D172" s="66">
        <f>D171+1</f>
        <v>143</v>
      </c>
      <c r="F172" s="321" t="s">
        <v>2429</v>
      </c>
      <c r="G172" s="321" t="s">
        <v>154</v>
      </c>
      <c r="H172" s="321" t="s">
        <v>2800</v>
      </c>
      <c r="I172" s="321" t="s">
        <v>214</v>
      </c>
      <c r="J172" s="320" t="s">
        <v>212</v>
      </c>
      <c r="K172" s="64" t="s">
        <v>980</v>
      </c>
      <c r="L172" s="321" t="s">
        <v>980</v>
      </c>
      <c r="M172" s="320" t="s">
        <v>194</v>
      </c>
      <c r="N172" s="321" t="s">
        <v>82</v>
      </c>
      <c r="O172" s="321"/>
      <c r="P172" s="321"/>
      <c r="Q172" s="195"/>
      <c r="R172" s="195"/>
      <c r="S172" s="321"/>
      <c r="T172" s="321"/>
      <c r="U172" s="321"/>
      <c r="V172" s="321"/>
      <c r="Y172" t="s">
        <v>980</v>
      </c>
      <c r="Z172" t="s">
        <v>2618</v>
      </c>
    </row>
    <row r="173" spans="1:26" x14ac:dyDescent="0.35">
      <c r="A173" s="357" t="s">
        <v>2347</v>
      </c>
      <c r="B173" s="357" t="s">
        <v>2388</v>
      </c>
      <c r="C173" s="357" t="s">
        <v>2406</v>
      </c>
      <c r="D173" s="66">
        <f t="shared" ref="D173:D180" si="17">D172+1</f>
        <v>144</v>
      </c>
      <c r="F173" s="321" t="s">
        <v>2458</v>
      </c>
      <c r="G173" s="321" t="s">
        <v>154</v>
      </c>
      <c r="H173" s="321" t="s">
        <v>2800</v>
      </c>
      <c r="I173" s="321" t="s">
        <v>214</v>
      </c>
      <c r="J173" s="320" t="s">
        <v>212</v>
      </c>
      <c r="K173" s="64" t="s">
        <v>980</v>
      </c>
      <c r="L173" s="321" t="s">
        <v>980</v>
      </c>
      <c r="M173" s="320" t="s">
        <v>194</v>
      </c>
      <c r="N173" s="321" t="s">
        <v>82</v>
      </c>
      <c r="O173" s="321"/>
      <c r="P173" s="321"/>
      <c r="Q173" s="195"/>
      <c r="R173" s="195"/>
      <c r="S173" s="321"/>
      <c r="T173" s="321"/>
      <c r="U173" s="321"/>
      <c r="V173" s="321"/>
      <c r="Y173" t="s">
        <v>980</v>
      </c>
      <c r="Z173" t="s">
        <v>2618</v>
      </c>
    </row>
    <row r="174" spans="1:26" x14ac:dyDescent="0.35">
      <c r="A174" s="357" t="s">
        <v>2347</v>
      </c>
      <c r="B174" s="357" t="s">
        <v>2388</v>
      </c>
      <c r="C174" s="357" t="s">
        <v>2406</v>
      </c>
      <c r="D174" s="66">
        <f t="shared" si="17"/>
        <v>145</v>
      </c>
      <c r="F174" s="321" t="s">
        <v>2430</v>
      </c>
      <c r="G174" s="321" t="s">
        <v>154</v>
      </c>
      <c r="H174" s="321" t="s">
        <v>2800</v>
      </c>
      <c r="I174" s="321" t="s">
        <v>214</v>
      </c>
      <c r="J174" s="320" t="s">
        <v>212</v>
      </c>
      <c r="K174" s="64" t="s">
        <v>980</v>
      </c>
      <c r="L174" s="321" t="s">
        <v>194</v>
      </c>
      <c r="M174" s="320" t="s">
        <v>194</v>
      </c>
      <c r="N174" s="321" t="s">
        <v>82</v>
      </c>
      <c r="O174" s="321"/>
      <c r="P174" s="321"/>
      <c r="Q174" s="195"/>
      <c r="R174" s="195"/>
      <c r="S174" s="321"/>
      <c r="T174" s="321"/>
      <c r="U174" s="321"/>
      <c r="V174" s="321"/>
      <c r="Y174" t="s">
        <v>980</v>
      </c>
      <c r="Z174" t="s">
        <v>2618</v>
      </c>
    </row>
    <row r="175" spans="1:26" x14ac:dyDescent="0.35">
      <c r="A175" s="357" t="s">
        <v>2347</v>
      </c>
      <c r="B175" s="357" t="s">
        <v>2388</v>
      </c>
      <c r="C175" s="357" t="s">
        <v>2406</v>
      </c>
      <c r="D175" s="66">
        <f t="shared" si="17"/>
        <v>146</v>
      </c>
      <c r="F175" s="321" t="s">
        <v>2431</v>
      </c>
      <c r="G175" s="321" t="s">
        <v>2256</v>
      </c>
      <c r="H175" s="321" t="s">
        <v>2437</v>
      </c>
      <c r="I175" s="321" t="s">
        <v>214</v>
      </c>
      <c r="J175" s="320" t="s">
        <v>194</v>
      </c>
      <c r="K175" s="64" t="s">
        <v>980</v>
      </c>
      <c r="L175" s="321" t="s">
        <v>980</v>
      </c>
      <c r="M175" s="320" t="s">
        <v>980</v>
      </c>
      <c r="N175" s="195" t="s">
        <v>82</v>
      </c>
      <c r="P175" s="195"/>
      <c r="Q175" s="195"/>
      <c r="R175" s="195"/>
      <c r="S175" s="195"/>
      <c r="T175" s="195"/>
      <c r="U175" s="195"/>
      <c r="V175" s="195"/>
      <c r="W175" s="195"/>
      <c r="X175" s="195"/>
      <c r="Y175" t="s">
        <v>980</v>
      </c>
      <c r="Z175" t="s">
        <v>2381</v>
      </c>
    </row>
    <row r="176" spans="1:26" x14ac:dyDescent="0.35">
      <c r="A176" s="357" t="s">
        <v>2347</v>
      </c>
      <c r="B176" s="357" t="s">
        <v>2388</v>
      </c>
      <c r="C176" s="357" t="s">
        <v>2406</v>
      </c>
      <c r="D176" s="66">
        <f t="shared" si="17"/>
        <v>147</v>
      </c>
      <c r="F176" s="321" t="s">
        <v>2432</v>
      </c>
      <c r="G176" s="321" t="s">
        <v>154</v>
      </c>
      <c r="H176" s="321" t="s">
        <v>2800</v>
      </c>
      <c r="I176" s="321" t="s">
        <v>214</v>
      </c>
      <c r="J176" s="320" t="s">
        <v>212</v>
      </c>
      <c r="K176" s="64" t="s">
        <v>980</v>
      </c>
      <c r="L176" s="321" t="s">
        <v>980</v>
      </c>
      <c r="M176" s="320" t="s">
        <v>194</v>
      </c>
      <c r="N176" s="321" t="s">
        <v>82</v>
      </c>
      <c r="O176" s="321"/>
      <c r="P176" s="321"/>
      <c r="Q176" s="195"/>
      <c r="R176" s="195"/>
      <c r="S176" s="321"/>
      <c r="T176" s="321"/>
      <c r="U176" s="321"/>
      <c r="V176" s="321"/>
      <c r="Y176" t="s">
        <v>980</v>
      </c>
      <c r="Z176" t="s">
        <v>2618</v>
      </c>
    </row>
    <row r="177" spans="1:26" x14ac:dyDescent="0.35">
      <c r="A177" s="357" t="s">
        <v>2347</v>
      </c>
      <c r="B177" s="357" t="s">
        <v>2388</v>
      </c>
      <c r="C177" s="357" t="s">
        <v>2406</v>
      </c>
      <c r="D177" s="66">
        <f t="shared" si="17"/>
        <v>148</v>
      </c>
      <c r="F177" s="321" t="s">
        <v>2433</v>
      </c>
      <c r="G177" s="321" t="s">
        <v>154</v>
      </c>
      <c r="H177" s="321" t="s">
        <v>2800</v>
      </c>
      <c r="I177" s="321" t="s">
        <v>214</v>
      </c>
      <c r="J177" s="320" t="s">
        <v>212</v>
      </c>
      <c r="K177" s="64" t="s">
        <v>980</v>
      </c>
      <c r="L177" s="321" t="s">
        <v>194</v>
      </c>
      <c r="M177" s="320" t="s">
        <v>194</v>
      </c>
      <c r="N177" s="321" t="s">
        <v>82</v>
      </c>
      <c r="O177" s="321"/>
      <c r="P177" s="321"/>
      <c r="Q177" s="195"/>
      <c r="R177" s="195"/>
      <c r="S177" s="321"/>
      <c r="T177" s="321"/>
      <c r="U177" s="321"/>
      <c r="V177" s="321"/>
      <c r="Y177" t="s">
        <v>980</v>
      </c>
      <c r="Z177" t="s">
        <v>2618</v>
      </c>
    </row>
    <row r="178" spans="1:26" x14ac:dyDescent="0.35">
      <c r="A178" s="357" t="s">
        <v>2347</v>
      </c>
      <c r="B178" s="357" t="s">
        <v>2388</v>
      </c>
      <c r="C178" s="357" t="s">
        <v>2406</v>
      </c>
      <c r="D178" s="66">
        <f t="shared" si="17"/>
        <v>149</v>
      </c>
      <c r="F178" s="321" t="s">
        <v>2434</v>
      </c>
      <c r="G178" s="321" t="s">
        <v>154</v>
      </c>
      <c r="H178" s="321" t="s">
        <v>2800</v>
      </c>
      <c r="I178" s="321" t="s">
        <v>214</v>
      </c>
      <c r="J178" s="320" t="s">
        <v>212</v>
      </c>
      <c r="K178" s="64" t="s">
        <v>980</v>
      </c>
      <c r="L178" s="321" t="s">
        <v>194</v>
      </c>
      <c r="M178" s="320" t="s">
        <v>194</v>
      </c>
      <c r="N178" s="321" t="s">
        <v>82</v>
      </c>
      <c r="O178" s="321"/>
      <c r="P178" s="321"/>
      <c r="Q178" s="195"/>
      <c r="R178" s="195"/>
      <c r="S178" s="321"/>
      <c r="T178" s="321"/>
      <c r="U178" s="321"/>
      <c r="V178" s="321"/>
      <c r="Y178" t="s">
        <v>980</v>
      </c>
      <c r="Z178" t="s">
        <v>2618</v>
      </c>
    </row>
    <row r="179" spans="1:26" x14ac:dyDescent="0.35">
      <c r="A179" s="357" t="s">
        <v>2347</v>
      </c>
      <c r="B179" s="357" t="s">
        <v>2388</v>
      </c>
      <c r="C179" s="357" t="s">
        <v>2406</v>
      </c>
      <c r="D179" s="66">
        <f t="shared" si="17"/>
        <v>150</v>
      </c>
      <c r="F179" s="321" t="s">
        <v>2435</v>
      </c>
      <c r="G179" s="321" t="s">
        <v>154</v>
      </c>
      <c r="H179" s="319" t="s">
        <v>2437</v>
      </c>
      <c r="I179" s="321" t="s">
        <v>214</v>
      </c>
      <c r="J179" s="320" t="s">
        <v>194</v>
      </c>
      <c r="K179" s="64" t="s">
        <v>980</v>
      </c>
      <c r="L179" s="321" t="s">
        <v>980</v>
      </c>
      <c r="M179" s="320" t="s">
        <v>194</v>
      </c>
      <c r="N179" s="195" t="s">
        <v>82</v>
      </c>
      <c r="P179" s="195"/>
      <c r="Q179" s="195"/>
      <c r="R179" s="195"/>
      <c r="S179" s="195"/>
      <c r="T179" s="195"/>
      <c r="U179" s="195"/>
      <c r="V179" s="195"/>
      <c r="W179" s="195"/>
      <c r="X179" s="195"/>
      <c r="Y179" t="s">
        <v>980</v>
      </c>
      <c r="Z179" t="s">
        <v>2344</v>
      </c>
    </row>
    <row r="180" spans="1:26" x14ac:dyDescent="0.35">
      <c r="A180" s="357" t="s">
        <v>2347</v>
      </c>
      <c r="B180" s="357" t="s">
        <v>2388</v>
      </c>
      <c r="C180" s="357" t="s">
        <v>2406</v>
      </c>
      <c r="D180" s="66">
        <f t="shared" si="17"/>
        <v>151</v>
      </c>
      <c r="F180" s="321" t="s">
        <v>2436</v>
      </c>
      <c r="G180" s="321" t="s">
        <v>154</v>
      </c>
      <c r="H180" s="321" t="s">
        <v>2800</v>
      </c>
      <c r="I180" s="321" t="s">
        <v>214</v>
      </c>
      <c r="J180" s="320" t="s">
        <v>212</v>
      </c>
      <c r="K180" s="64" t="s">
        <v>980</v>
      </c>
      <c r="L180" s="321" t="s">
        <v>980</v>
      </c>
      <c r="M180" s="320" t="s">
        <v>194</v>
      </c>
      <c r="N180" s="321" t="s">
        <v>82</v>
      </c>
      <c r="O180" s="321"/>
      <c r="P180" s="321"/>
      <c r="Q180" s="195"/>
      <c r="R180" s="195"/>
      <c r="S180" s="321"/>
      <c r="T180" s="321"/>
      <c r="U180" s="321"/>
      <c r="V180" s="321"/>
      <c r="Y180" t="s">
        <v>980</v>
      </c>
      <c r="Z180" t="s">
        <v>2618</v>
      </c>
    </row>
    <row r="181" spans="1:26" x14ac:dyDescent="0.35">
      <c r="A181" s="66" t="s">
        <v>2347</v>
      </c>
      <c r="B181" s="66" t="s">
        <v>2459</v>
      </c>
      <c r="D181" s="66">
        <v>152</v>
      </c>
      <c r="E181" s="64" t="str">
        <f>_xlfn.CONCAT("DPC.OutPt.",D181)</f>
        <v>DPC.OutPt.152</v>
      </c>
      <c r="F181" s="356" t="s">
        <v>2460</v>
      </c>
      <c r="G181" s="356" t="s">
        <v>154</v>
      </c>
      <c r="H181" s="356" t="s">
        <v>2800</v>
      </c>
      <c r="I181" s="356" t="s">
        <v>220</v>
      </c>
      <c r="J181" s="320" t="s">
        <v>201</v>
      </c>
      <c r="K181" s="64" t="s">
        <v>980</v>
      </c>
      <c r="L181" s="356" t="s">
        <v>194</v>
      </c>
      <c r="M181" s="320" t="s">
        <v>194</v>
      </c>
      <c r="N181" s="321" t="s">
        <v>82</v>
      </c>
      <c r="O181" s="146">
        <v>1</v>
      </c>
      <c r="P181" s="321" t="s">
        <v>2201</v>
      </c>
      <c r="Q181" s="195"/>
      <c r="R181" s="195"/>
      <c r="S181" s="89">
        <v>1</v>
      </c>
      <c r="T181">
        <v>1</v>
      </c>
      <c r="U181" s="382">
        <f>1/5</f>
        <v>0.2</v>
      </c>
      <c r="V181" s="6">
        <v>10</v>
      </c>
      <c r="Y181" t="s">
        <v>980</v>
      </c>
      <c r="Z181" t="s">
        <v>2790</v>
      </c>
    </row>
    <row r="182" spans="1:26" x14ac:dyDescent="0.35">
      <c r="A182" s="66" t="s">
        <v>2347</v>
      </c>
      <c r="D182" s="66">
        <v>153</v>
      </c>
      <c r="E182" s="344"/>
      <c r="F182" s="345" t="s">
        <v>2461</v>
      </c>
      <c r="N182" t="s">
        <v>82</v>
      </c>
    </row>
    <row r="183" spans="1:26" x14ac:dyDescent="0.35">
      <c r="A183" s="66" t="s">
        <v>2347</v>
      </c>
      <c r="D183" s="66">
        <v>154</v>
      </c>
      <c r="E183" s="344"/>
      <c r="F183" s="345" t="s">
        <v>2461</v>
      </c>
      <c r="N183" t="s">
        <v>82</v>
      </c>
    </row>
    <row r="184" spans="1:26" x14ac:dyDescent="0.35">
      <c r="A184" s="66" t="s">
        <v>2347</v>
      </c>
      <c r="D184" s="66">
        <v>155</v>
      </c>
      <c r="E184" s="344"/>
      <c r="F184" s="345" t="s">
        <v>2461</v>
      </c>
      <c r="N184" t="s">
        <v>82</v>
      </c>
    </row>
    <row r="185" spans="1:26" x14ac:dyDescent="0.35">
      <c r="A185" s="66" t="s">
        <v>2347</v>
      </c>
      <c r="B185" s="66" t="s">
        <v>533</v>
      </c>
      <c r="D185" s="66">
        <v>156</v>
      </c>
      <c r="E185" s="64" t="s">
        <v>2462</v>
      </c>
      <c r="F185" s="321" t="s">
        <v>2463</v>
      </c>
      <c r="G185" s="321" t="s">
        <v>193</v>
      </c>
      <c r="H185" s="356" t="s">
        <v>206</v>
      </c>
      <c r="I185" s="356" t="s">
        <v>194</v>
      </c>
      <c r="J185" s="320" t="s">
        <v>194</v>
      </c>
      <c r="K185" s="64" t="s">
        <v>980</v>
      </c>
      <c r="L185" s="321" t="s">
        <v>980</v>
      </c>
      <c r="M185" s="320" t="s">
        <v>980</v>
      </c>
      <c r="N185" s="195" t="s">
        <v>82</v>
      </c>
      <c r="P185" s="195"/>
      <c r="Q185" s="195"/>
      <c r="R185" s="195"/>
      <c r="S185" s="195"/>
      <c r="T185" s="195"/>
      <c r="U185" s="195"/>
      <c r="V185" s="195"/>
      <c r="W185" s="195"/>
      <c r="X185" s="195"/>
      <c r="Y185" t="s">
        <v>980</v>
      </c>
      <c r="Z185" t="s">
        <v>2376</v>
      </c>
    </row>
    <row r="186" spans="1:26" x14ac:dyDescent="0.35">
      <c r="A186" s="66" t="s">
        <v>2347</v>
      </c>
      <c r="B186" s="66" t="s">
        <v>533</v>
      </c>
      <c r="C186" s="66" t="s">
        <v>2464</v>
      </c>
      <c r="D186" s="66">
        <f>D185+1</f>
        <v>157</v>
      </c>
      <c r="E186" s="64" t="str">
        <f>_xlfn.CONCAT("DPC.NTD.",D186)</f>
        <v>DPC.NTD.157</v>
      </c>
      <c r="F186" s="321" t="s">
        <v>2469</v>
      </c>
      <c r="G186" s="356" t="s">
        <v>154</v>
      </c>
      <c r="H186" s="356" t="s">
        <v>2800</v>
      </c>
      <c r="I186" s="356" t="s">
        <v>533</v>
      </c>
      <c r="J186" s="320" t="s">
        <v>201</v>
      </c>
      <c r="K186" s="64" t="s">
        <v>980</v>
      </c>
      <c r="L186" s="356" t="s">
        <v>980</v>
      </c>
      <c r="M186" s="320" t="s">
        <v>980</v>
      </c>
      <c r="N186" s="321" t="s">
        <v>82</v>
      </c>
      <c r="O186" s="371">
        <f>Prevalences!C274/100000</f>
        <v>2.0800000000000001E-5</v>
      </c>
      <c r="P186" s="321" t="s">
        <v>2201</v>
      </c>
      <c r="Q186" s="321"/>
      <c r="R186" s="321"/>
      <c r="S186" s="352">
        <v>0.98</v>
      </c>
      <c r="T186">
        <v>1</v>
      </c>
      <c r="V186" s="6">
        <v>5</v>
      </c>
      <c r="Y186" t="s">
        <v>980</v>
      </c>
    </row>
    <row r="187" spans="1:26" x14ac:dyDescent="0.35">
      <c r="A187" s="66" t="s">
        <v>2347</v>
      </c>
      <c r="B187" s="66" t="s">
        <v>533</v>
      </c>
      <c r="C187" s="66" t="s">
        <v>2464</v>
      </c>
      <c r="D187" s="66">
        <f t="shared" ref="D187:D212" si="18">D186+1</f>
        <v>158</v>
      </c>
      <c r="E187" s="64" t="str">
        <f t="shared" ref="E187:E212" si="19">_xlfn.CONCAT("DPC.NTD.",D187)</f>
        <v>DPC.NTD.158</v>
      </c>
      <c r="F187" s="321" t="s">
        <v>2468</v>
      </c>
      <c r="G187" s="356" t="s">
        <v>154</v>
      </c>
      <c r="H187" s="356" t="s">
        <v>206</v>
      </c>
      <c r="I187" s="319" t="s">
        <v>533</v>
      </c>
      <c r="J187" s="320" t="s">
        <v>194</v>
      </c>
      <c r="K187" s="64" t="s">
        <v>194</v>
      </c>
      <c r="L187" s="319" t="s">
        <v>194</v>
      </c>
      <c r="M187" s="320" t="s">
        <v>194</v>
      </c>
      <c r="N187" s="321" t="s">
        <v>82</v>
      </c>
      <c r="P187" s="321"/>
      <c r="Q187" s="321"/>
      <c r="R187" s="321"/>
      <c r="T187" s="321"/>
      <c r="U187" s="321"/>
      <c r="W187" s="321"/>
      <c r="X187" s="321"/>
      <c r="Y187" t="s">
        <v>980</v>
      </c>
      <c r="Z187" t="s">
        <v>2343</v>
      </c>
    </row>
    <row r="188" spans="1:26" x14ac:dyDescent="0.35">
      <c r="A188" s="66" t="s">
        <v>2347</v>
      </c>
      <c r="B188" s="66" t="s">
        <v>533</v>
      </c>
      <c r="C188" s="66" t="s">
        <v>2464</v>
      </c>
      <c r="D188" s="66">
        <f t="shared" si="18"/>
        <v>159</v>
      </c>
      <c r="E188" s="64" t="str">
        <f t="shared" si="19"/>
        <v>DPC.NTD.159</v>
      </c>
      <c r="F188" s="356" t="s">
        <v>2471</v>
      </c>
      <c r="G188" s="356" t="s">
        <v>2256</v>
      </c>
      <c r="H188" s="356" t="s">
        <v>206</v>
      </c>
      <c r="I188" s="319" t="s">
        <v>533</v>
      </c>
      <c r="J188" s="320" t="s">
        <v>212</v>
      </c>
      <c r="K188" s="64" t="s">
        <v>980</v>
      </c>
      <c r="L188" s="321" t="s">
        <v>980</v>
      </c>
      <c r="M188" s="320" t="s">
        <v>980</v>
      </c>
      <c r="N188" s="321" t="s">
        <v>82</v>
      </c>
      <c r="O188" s="342">
        <f>1/Prevalences!B451</f>
        <v>0.21739130434782611</v>
      </c>
      <c r="P188" s="195" t="s">
        <v>2375</v>
      </c>
      <c r="Q188" s="347"/>
      <c r="R188" s="347"/>
      <c r="T188" s="195"/>
      <c r="U188" s="347">
        <v>1</v>
      </c>
      <c r="V188" s="347">
        <v>5</v>
      </c>
      <c r="W188" s="347"/>
      <c r="X188" s="347"/>
      <c r="Y188" t="s">
        <v>980</v>
      </c>
      <c r="Z188" s="337" t="s">
        <v>2374</v>
      </c>
    </row>
    <row r="189" spans="1:26" x14ac:dyDescent="0.35">
      <c r="A189" s="66" t="s">
        <v>2347</v>
      </c>
      <c r="B189" s="66" t="s">
        <v>533</v>
      </c>
      <c r="C189" s="66" t="s">
        <v>2464</v>
      </c>
      <c r="D189" s="66">
        <f t="shared" si="18"/>
        <v>160</v>
      </c>
      <c r="E189" s="64" t="str">
        <f t="shared" si="19"/>
        <v>DPC.NTD.160</v>
      </c>
      <c r="F189" s="321" t="s">
        <v>2481</v>
      </c>
      <c r="G189" s="356" t="s">
        <v>2256</v>
      </c>
      <c r="H189" s="356" t="s">
        <v>206</v>
      </c>
      <c r="I189" s="319" t="s">
        <v>533</v>
      </c>
      <c r="J189" s="320" t="s">
        <v>194</v>
      </c>
      <c r="K189" s="64" t="s">
        <v>980</v>
      </c>
      <c r="L189" s="321" t="s">
        <v>980</v>
      </c>
      <c r="M189" s="320" t="s">
        <v>980</v>
      </c>
      <c r="N189" s="195" t="s">
        <v>82</v>
      </c>
      <c r="P189" s="195"/>
      <c r="Q189" s="195"/>
      <c r="R189" s="195"/>
      <c r="S189" s="195"/>
      <c r="T189" s="195"/>
      <c r="U189" s="195"/>
      <c r="V189" s="195"/>
      <c r="W189" s="346"/>
      <c r="X189" s="195"/>
      <c r="Y189" t="s">
        <v>980</v>
      </c>
      <c r="Z189" s="5" t="s">
        <v>2381</v>
      </c>
    </row>
    <row r="190" spans="1:26" x14ac:dyDescent="0.35">
      <c r="A190" s="66" t="s">
        <v>2347</v>
      </c>
      <c r="B190" s="66" t="s">
        <v>533</v>
      </c>
      <c r="C190" s="66" t="s">
        <v>411</v>
      </c>
      <c r="D190" s="66">
        <f t="shared" si="18"/>
        <v>161</v>
      </c>
      <c r="E190" s="64" t="str">
        <f t="shared" si="19"/>
        <v>DPC.NTD.161</v>
      </c>
      <c r="F190" s="356" t="s">
        <v>2470</v>
      </c>
      <c r="G190" s="356" t="s">
        <v>154</v>
      </c>
      <c r="H190" s="356" t="s">
        <v>206</v>
      </c>
      <c r="I190" s="319" t="s">
        <v>533</v>
      </c>
      <c r="J190" s="320" t="s">
        <v>194</v>
      </c>
      <c r="K190" s="64" t="s">
        <v>194</v>
      </c>
      <c r="L190" s="321" t="s">
        <v>194</v>
      </c>
      <c r="M190" s="320" t="s">
        <v>194</v>
      </c>
      <c r="N190" s="321" t="s">
        <v>82</v>
      </c>
      <c r="P190" s="321"/>
      <c r="Q190" s="321"/>
      <c r="R190" s="321"/>
      <c r="T190" s="321"/>
      <c r="U190" s="321"/>
      <c r="W190" s="321"/>
      <c r="X190" s="321"/>
      <c r="Y190" t="s">
        <v>980</v>
      </c>
      <c r="Z190" t="s">
        <v>2343</v>
      </c>
    </row>
    <row r="191" spans="1:26" x14ac:dyDescent="0.35">
      <c r="A191" s="66" t="s">
        <v>2347</v>
      </c>
      <c r="B191" s="66" t="s">
        <v>533</v>
      </c>
      <c r="C191" s="66" t="s">
        <v>411</v>
      </c>
      <c r="D191" s="66">
        <f t="shared" si="18"/>
        <v>162</v>
      </c>
      <c r="E191" s="64" t="str">
        <f t="shared" si="19"/>
        <v>DPC.NTD.162</v>
      </c>
      <c r="F191" s="356" t="s">
        <v>2480</v>
      </c>
      <c r="G191" s="356" t="s">
        <v>2256</v>
      </c>
      <c r="H191" s="356" t="s">
        <v>206</v>
      </c>
      <c r="I191" s="319" t="s">
        <v>533</v>
      </c>
      <c r="J191" s="320" t="s">
        <v>194</v>
      </c>
      <c r="K191" s="64" t="s">
        <v>980</v>
      </c>
      <c r="L191" s="321" t="s">
        <v>980</v>
      </c>
      <c r="M191" s="320" t="s">
        <v>980</v>
      </c>
      <c r="N191" s="195" t="s">
        <v>82</v>
      </c>
      <c r="P191" s="195"/>
      <c r="Q191" s="195"/>
      <c r="R191" s="195"/>
      <c r="S191" s="195"/>
      <c r="T191" s="195"/>
      <c r="U191" s="195"/>
      <c r="V191" s="195"/>
      <c r="W191" s="346"/>
      <c r="X191" s="195"/>
      <c r="Y191" t="s">
        <v>980</v>
      </c>
      <c r="Z191" s="5" t="s">
        <v>2381</v>
      </c>
    </row>
    <row r="192" spans="1:26" x14ac:dyDescent="0.35">
      <c r="A192" s="66" t="s">
        <v>2347</v>
      </c>
      <c r="B192" s="66" t="s">
        <v>533</v>
      </c>
      <c r="C192" s="66" t="s">
        <v>415</v>
      </c>
      <c r="D192" s="66">
        <f t="shared" si="18"/>
        <v>163</v>
      </c>
      <c r="E192" s="64" t="str">
        <f t="shared" si="19"/>
        <v>DPC.NTD.163</v>
      </c>
      <c r="F192" s="356" t="s">
        <v>2478</v>
      </c>
      <c r="G192" s="356" t="s">
        <v>2256</v>
      </c>
      <c r="H192" s="356" t="s">
        <v>206</v>
      </c>
      <c r="I192" s="319" t="s">
        <v>533</v>
      </c>
      <c r="J192" s="320" t="s">
        <v>194</v>
      </c>
      <c r="K192" s="64" t="s">
        <v>980</v>
      </c>
      <c r="L192" s="321" t="s">
        <v>980</v>
      </c>
      <c r="M192" s="320" t="s">
        <v>980</v>
      </c>
      <c r="N192" s="195" t="s">
        <v>82</v>
      </c>
      <c r="P192" s="195"/>
      <c r="Q192" s="195"/>
      <c r="R192" s="195"/>
      <c r="S192" s="195"/>
      <c r="T192" s="195"/>
      <c r="U192" s="195"/>
      <c r="V192" s="195"/>
      <c r="W192" s="346"/>
      <c r="X192" s="195"/>
      <c r="Y192" t="s">
        <v>980</v>
      </c>
      <c r="Z192" s="5" t="s">
        <v>2381</v>
      </c>
    </row>
    <row r="193" spans="1:26" x14ac:dyDescent="0.35">
      <c r="A193" s="66" t="s">
        <v>2347</v>
      </c>
      <c r="B193" s="66" t="s">
        <v>533</v>
      </c>
      <c r="C193" s="66" t="s">
        <v>415</v>
      </c>
      <c r="D193" s="66">
        <f t="shared" si="18"/>
        <v>164</v>
      </c>
      <c r="E193" s="64" t="str">
        <f t="shared" si="19"/>
        <v>DPC.NTD.164</v>
      </c>
      <c r="F193" s="356" t="s">
        <v>2472</v>
      </c>
      <c r="G193" s="356" t="s">
        <v>2256</v>
      </c>
      <c r="H193" s="356" t="s">
        <v>206</v>
      </c>
      <c r="I193" s="319" t="s">
        <v>533</v>
      </c>
      <c r="J193" s="320" t="s">
        <v>194</v>
      </c>
      <c r="K193" s="64" t="s">
        <v>980</v>
      </c>
      <c r="L193" s="321" t="s">
        <v>980</v>
      </c>
      <c r="M193" s="320" t="s">
        <v>980</v>
      </c>
      <c r="N193" s="195" t="s">
        <v>82</v>
      </c>
      <c r="P193" s="195"/>
      <c r="Q193" s="195"/>
      <c r="R193" s="195"/>
      <c r="S193" s="195"/>
      <c r="T193" s="195"/>
      <c r="U193" s="195"/>
      <c r="V193" s="195"/>
      <c r="W193" s="346"/>
      <c r="X193" s="195"/>
      <c r="Y193" t="s">
        <v>980</v>
      </c>
      <c r="Z193" s="5" t="s">
        <v>2381</v>
      </c>
    </row>
    <row r="194" spans="1:26" x14ac:dyDescent="0.35">
      <c r="A194" s="66" t="s">
        <v>2347</v>
      </c>
      <c r="B194" s="66" t="s">
        <v>533</v>
      </c>
      <c r="C194" s="66" t="s">
        <v>415</v>
      </c>
      <c r="D194" s="66">
        <f t="shared" si="18"/>
        <v>165</v>
      </c>
      <c r="E194" s="64" t="str">
        <f t="shared" si="19"/>
        <v>DPC.NTD.165</v>
      </c>
      <c r="F194" s="356" t="s">
        <v>2473</v>
      </c>
      <c r="G194" s="356" t="s">
        <v>154</v>
      </c>
      <c r="H194" s="356" t="s">
        <v>2800</v>
      </c>
      <c r="I194" s="319" t="s">
        <v>533</v>
      </c>
      <c r="J194" s="320" t="s">
        <v>201</v>
      </c>
      <c r="K194" s="64" t="s">
        <v>980</v>
      </c>
      <c r="L194" s="321" t="s">
        <v>980</v>
      </c>
      <c r="M194" s="320" t="s">
        <v>194</v>
      </c>
      <c r="N194" s="291" t="s">
        <v>82</v>
      </c>
      <c r="O194" s="145">
        <f>Prevalences!AD469</f>
        <v>1.0375000000000001E-2</v>
      </c>
      <c r="P194" s="321" t="s">
        <v>2201</v>
      </c>
      <c r="Q194" s="195"/>
      <c r="R194" s="195"/>
      <c r="S194" s="352">
        <v>0.98</v>
      </c>
      <c r="T194">
        <v>1</v>
      </c>
      <c r="V194" s="6">
        <v>5</v>
      </c>
      <c r="Y194" t="s">
        <v>980</v>
      </c>
    </row>
    <row r="195" spans="1:26" x14ac:dyDescent="0.35">
      <c r="A195" s="66" t="s">
        <v>2347</v>
      </c>
      <c r="B195" s="66" t="s">
        <v>533</v>
      </c>
      <c r="C195" s="66" t="s">
        <v>415</v>
      </c>
      <c r="D195" s="66">
        <f t="shared" si="18"/>
        <v>166</v>
      </c>
      <c r="E195" s="64" t="str">
        <f t="shared" si="19"/>
        <v>DPC.NTD.166</v>
      </c>
      <c r="F195" s="356" t="s">
        <v>2474</v>
      </c>
      <c r="G195" s="356" t="s">
        <v>154</v>
      </c>
      <c r="H195" s="356" t="s">
        <v>2800</v>
      </c>
      <c r="I195" s="319" t="s">
        <v>533</v>
      </c>
      <c r="J195" s="320" t="s">
        <v>201</v>
      </c>
      <c r="K195" s="64" t="s">
        <v>980</v>
      </c>
      <c r="L195" s="321" t="s">
        <v>194</v>
      </c>
      <c r="M195" s="320" t="s">
        <v>194</v>
      </c>
      <c r="N195" s="195" t="s">
        <v>82</v>
      </c>
      <c r="O195" s="373"/>
      <c r="P195" s="321" t="s">
        <v>2201</v>
      </c>
      <c r="Q195" s="195"/>
      <c r="R195" s="195"/>
      <c r="S195" s="303">
        <f>S194</f>
        <v>0.98</v>
      </c>
      <c r="T195">
        <v>1</v>
      </c>
      <c r="V195" s="341">
        <v>30</v>
      </c>
      <c r="Y195" t="s">
        <v>980</v>
      </c>
    </row>
    <row r="196" spans="1:26" x14ac:dyDescent="0.35">
      <c r="A196" s="66" t="s">
        <v>2347</v>
      </c>
      <c r="B196" s="66" t="s">
        <v>533</v>
      </c>
      <c r="C196" s="66" t="s">
        <v>415</v>
      </c>
      <c r="D196" s="66">
        <f t="shared" si="18"/>
        <v>167</v>
      </c>
      <c r="E196" s="64" t="str">
        <f t="shared" si="19"/>
        <v>DPC.NTD.167</v>
      </c>
      <c r="F196" s="356" t="s">
        <v>2475</v>
      </c>
      <c r="G196" s="356" t="s">
        <v>2256</v>
      </c>
      <c r="H196" s="356" t="s">
        <v>206</v>
      </c>
      <c r="I196" s="319" t="s">
        <v>533</v>
      </c>
      <c r="J196" s="320" t="s">
        <v>194</v>
      </c>
      <c r="K196" s="64" t="s">
        <v>194</v>
      </c>
      <c r="L196" s="321" t="s">
        <v>194</v>
      </c>
      <c r="M196" s="320" t="s">
        <v>194</v>
      </c>
      <c r="N196" s="321" t="s">
        <v>82</v>
      </c>
      <c r="P196" s="321"/>
      <c r="Q196" s="321"/>
      <c r="R196" s="321"/>
      <c r="T196" s="321"/>
      <c r="U196" s="321"/>
      <c r="W196" s="321"/>
      <c r="X196" s="321"/>
      <c r="Y196" t="s">
        <v>980</v>
      </c>
      <c r="Z196" t="s">
        <v>2343</v>
      </c>
    </row>
    <row r="197" spans="1:26" x14ac:dyDescent="0.35">
      <c r="A197" s="66" t="s">
        <v>2347</v>
      </c>
      <c r="B197" s="66" t="s">
        <v>533</v>
      </c>
      <c r="C197" s="66" t="s">
        <v>415</v>
      </c>
      <c r="D197" s="66">
        <f t="shared" si="18"/>
        <v>168</v>
      </c>
      <c r="E197" s="64" t="str">
        <f t="shared" si="19"/>
        <v>DPC.NTD.168</v>
      </c>
      <c r="F197" s="356" t="s">
        <v>2476</v>
      </c>
      <c r="G197" s="356" t="s">
        <v>2256</v>
      </c>
      <c r="H197" s="356" t="s">
        <v>206</v>
      </c>
      <c r="I197" s="319" t="s">
        <v>533</v>
      </c>
      <c r="J197" s="320" t="s">
        <v>194</v>
      </c>
      <c r="K197" s="64" t="s">
        <v>980</v>
      </c>
      <c r="L197" s="321" t="s">
        <v>980</v>
      </c>
      <c r="M197" s="320" t="s">
        <v>980</v>
      </c>
      <c r="N197" s="195" t="s">
        <v>82</v>
      </c>
      <c r="P197" s="195"/>
      <c r="Q197" s="195"/>
      <c r="R197" s="195"/>
      <c r="S197" s="195"/>
      <c r="T197" s="195"/>
      <c r="U197" s="195"/>
      <c r="V197" s="195"/>
      <c r="W197" s="195"/>
      <c r="X197" s="195"/>
      <c r="Y197" t="s">
        <v>980</v>
      </c>
      <c r="Z197" s="5" t="s">
        <v>2381</v>
      </c>
    </row>
    <row r="198" spans="1:26" x14ac:dyDescent="0.35">
      <c r="A198" s="66" t="s">
        <v>2347</v>
      </c>
      <c r="B198" s="66" t="s">
        <v>533</v>
      </c>
      <c r="C198" s="66" t="s">
        <v>2465</v>
      </c>
      <c r="D198" s="66">
        <f t="shared" si="18"/>
        <v>169</v>
      </c>
      <c r="E198" s="64" t="str">
        <f t="shared" si="19"/>
        <v>DPC.NTD.169</v>
      </c>
      <c r="F198" s="356" t="s">
        <v>2477</v>
      </c>
      <c r="G198" s="356" t="s">
        <v>2256</v>
      </c>
      <c r="H198" s="356" t="s">
        <v>206</v>
      </c>
      <c r="I198" s="319" t="s">
        <v>533</v>
      </c>
      <c r="J198" s="320" t="s">
        <v>194</v>
      </c>
      <c r="K198" s="64" t="s">
        <v>980</v>
      </c>
      <c r="L198" s="321" t="s">
        <v>980</v>
      </c>
      <c r="M198" s="320" t="s">
        <v>980</v>
      </c>
      <c r="N198" s="195" t="s">
        <v>82</v>
      </c>
      <c r="P198" s="195"/>
      <c r="Q198" s="195"/>
      <c r="R198" s="195"/>
      <c r="S198" s="195"/>
      <c r="T198" s="195"/>
      <c r="U198" s="195"/>
      <c r="V198" s="195"/>
      <c r="W198" s="195"/>
      <c r="X198" s="195"/>
      <c r="Y198" t="s">
        <v>980</v>
      </c>
      <c r="Z198" s="5" t="s">
        <v>2381</v>
      </c>
    </row>
    <row r="199" spans="1:26" x14ac:dyDescent="0.35">
      <c r="A199" s="66" t="s">
        <v>2347</v>
      </c>
      <c r="B199" s="66" t="s">
        <v>533</v>
      </c>
      <c r="C199" s="66" t="s">
        <v>2465</v>
      </c>
      <c r="D199" s="66">
        <f t="shared" si="18"/>
        <v>170</v>
      </c>
      <c r="E199" s="64" t="str">
        <f t="shared" si="19"/>
        <v>DPC.NTD.170</v>
      </c>
      <c r="F199" s="356" t="s">
        <v>2482</v>
      </c>
      <c r="G199" s="356" t="s">
        <v>2256</v>
      </c>
      <c r="H199" s="356" t="s">
        <v>206</v>
      </c>
      <c r="I199" s="319" t="s">
        <v>533</v>
      </c>
      <c r="J199" s="320" t="s">
        <v>194</v>
      </c>
      <c r="K199" s="64" t="s">
        <v>194</v>
      </c>
      <c r="L199" s="321" t="s">
        <v>194</v>
      </c>
      <c r="M199" s="320" t="s">
        <v>194</v>
      </c>
      <c r="N199" s="321" t="s">
        <v>82</v>
      </c>
      <c r="P199" s="321"/>
      <c r="Q199" s="321"/>
      <c r="R199" s="321"/>
      <c r="T199" s="321"/>
      <c r="U199" s="321"/>
      <c r="W199" s="321"/>
      <c r="X199" s="321"/>
      <c r="Y199" t="s">
        <v>980</v>
      </c>
      <c r="Z199" t="s">
        <v>2343</v>
      </c>
    </row>
    <row r="200" spans="1:26" x14ac:dyDescent="0.35">
      <c r="A200" s="66" t="s">
        <v>2347</v>
      </c>
      <c r="B200" s="66" t="s">
        <v>533</v>
      </c>
      <c r="C200" s="66" t="s">
        <v>2465</v>
      </c>
      <c r="D200" s="66">
        <f t="shared" si="18"/>
        <v>171</v>
      </c>
      <c r="E200" s="64" t="str">
        <f t="shared" si="19"/>
        <v>DPC.NTD.171</v>
      </c>
      <c r="F200" s="356" t="s">
        <v>2483</v>
      </c>
      <c r="G200" s="356" t="s">
        <v>2256</v>
      </c>
      <c r="H200" s="356" t="s">
        <v>206</v>
      </c>
      <c r="I200" s="319" t="s">
        <v>533</v>
      </c>
      <c r="J200" s="320" t="s">
        <v>212</v>
      </c>
      <c r="K200" s="64" t="s">
        <v>980</v>
      </c>
      <c r="L200" s="321" t="s">
        <v>980</v>
      </c>
      <c r="M200" s="320" t="s">
        <v>980</v>
      </c>
      <c r="N200" s="321" t="s">
        <v>82</v>
      </c>
      <c r="O200" s="342">
        <f>1/Prevalences!B451</f>
        <v>0.21739130434782611</v>
      </c>
      <c r="P200" s="195" t="s">
        <v>2375</v>
      </c>
      <c r="Q200" s="347"/>
      <c r="R200" s="388"/>
      <c r="T200" s="195"/>
      <c r="U200" s="347">
        <v>1</v>
      </c>
      <c r="V200" s="347">
        <v>5</v>
      </c>
      <c r="W200" s="347"/>
      <c r="X200" s="347"/>
      <c r="Y200" t="s">
        <v>980</v>
      </c>
      <c r="Z200" s="337" t="s">
        <v>2374</v>
      </c>
    </row>
    <row r="201" spans="1:26" x14ac:dyDescent="0.35">
      <c r="A201" s="66" t="s">
        <v>2347</v>
      </c>
      <c r="B201" s="66" t="s">
        <v>533</v>
      </c>
      <c r="C201" s="66" t="s">
        <v>2466</v>
      </c>
      <c r="D201" s="66">
        <f t="shared" si="18"/>
        <v>172</v>
      </c>
      <c r="E201" s="64" t="str">
        <f t="shared" si="19"/>
        <v>DPC.NTD.172</v>
      </c>
      <c r="F201" s="356" t="s">
        <v>2484</v>
      </c>
      <c r="G201" s="356" t="s">
        <v>2256</v>
      </c>
      <c r="H201" s="356" t="s">
        <v>206</v>
      </c>
      <c r="I201" s="319" t="s">
        <v>533</v>
      </c>
      <c r="J201" s="320" t="s">
        <v>194</v>
      </c>
      <c r="K201" s="64" t="s">
        <v>980</v>
      </c>
      <c r="L201" s="321" t="s">
        <v>980</v>
      </c>
      <c r="M201" s="320" t="s">
        <v>980</v>
      </c>
      <c r="N201" s="195" t="s">
        <v>82</v>
      </c>
      <c r="P201" s="195"/>
      <c r="Q201" s="195"/>
      <c r="R201" s="195"/>
      <c r="S201" s="195"/>
      <c r="T201" s="195"/>
      <c r="U201" s="195"/>
      <c r="V201" s="195"/>
      <c r="W201" s="195"/>
      <c r="X201" s="195"/>
      <c r="Y201" t="s">
        <v>980</v>
      </c>
      <c r="Z201" s="5" t="s">
        <v>2381</v>
      </c>
    </row>
    <row r="202" spans="1:26" x14ac:dyDescent="0.35">
      <c r="A202" s="66" t="s">
        <v>2347</v>
      </c>
      <c r="B202" s="66" t="s">
        <v>533</v>
      </c>
      <c r="C202" s="66" t="s">
        <v>2466</v>
      </c>
      <c r="D202" s="66">
        <f t="shared" si="18"/>
        <v>173</v>
      </c>
      <c r="E202" s="64" t="str">
        <f t="shared" si="19"/>
        <v>DPC.NTD.173</v>
      </c>
      <c r="F202" s="356" t="s">
        <v>2485</v>
      </c>
      <c r="G202" s="356" t="s">
        <v>2256</v>
      </c>
      <c r="H202" s="356" t="s">
        <v>206</v>
      </c>
      <c r="I202" s="319" t="s">
        <v>533</v>
      </c>
      <c r="J202" s="320" t="s">
        <v>209</v>
      </c>
      <c r="K202" s="64" t="s">
        <v>194</v>
      </c>
      <c r="L202" s="321" t="s">
        <v>194</v>
      </c>
      <c r="M202" s="320" t="s">
        <v>194</v>
      </c>
      <c r="N202" s="321" t="s">
        <v>82</v>
      </c>
      <c r="P202" s="321"/>
      <c r="Q202" s="321"/>
      <c r="R202" s="321"/>
      <c r="T202" s="321"/>
      <c r="U202" s="321"/>
      <c r="W202" s="321"/>
      <c r="X202" s="321"/>
      <c r="Y202" t="s">
        <v>980</v>
      </c>
      <c r="Z202" t="s">
        <v>2343</v>
      </c>
    </row>
    <row r="203" spans="1:26" x14ac:dyDescent="0.35">
      <c r="A203" s="66" t="s">
        <v>2347</v>
      </c>
      <c r="B203" s="66" t="s">
        <v>533</v>
      </c>
      <c r="C203" s="66" t="s">
        <v>2466</v>
      </c>
      <c r="D203" s="66">
        <f t="shared" si="18"/>
        <v>174</v>
      </c>
      <c r="E203" s="64" t="str">
        <f t="shared" si="19"/>
        <v>DPC.NTD.174</v>
      </c>
      <c r="F203" s="356" t="s">
        <v>2486</v>
      </c>
      <c r="G203" s="356" t="s">
        <v>154</v>
      </c>
      <c r="H203" s="356" t="s">
        <v>2800</v>
      </c>
      <c r="I203" s="319" t="s">
        <v>533</v>
      </c>
      <c r="J203" s="320" t="s">
        <v>253</v>
      </c>
      <c r="K203" s="64" t="s">
        <v>980</v>
      </c>
      <c r="L203" s="321" t="s">
        <v>980</v>
      </c>
      <c r="M203" s="320" t="s">
        <v>194</v>
      </c>
      <c r="N203" s="321" t="s">
        <v>82</v>
      </c>
      <c r="O203" s="145">
        <f>Prevalences!B470</f>
        <v>0.33</v>
      </c>
      <c r="P203" s="321" t="s">
        <v>2201</v>
      </c>
      <c r="Q203" s="195"/>
      <c r="R203" s="195"/>
      <c r="S203" s="352">
        <v>0.98</v>
      </c>
      <c r="T203">
        <v>1</v>
      </c>
      <c r="V203" s="6">
        <v>5</v>
      </c>
      <c r="Y203" t="s">
        <v>980</v>
      </c>
    </row>
    <row r="204" spans="1:26" x14ac:dyDescent="0.35">
      <c r="A204" s="66" t="s">
        <v>2347</v>
      </c>
      <c r="B204" s="66" t="s">
        <v>533</v>
      </c>
      <c r="C204" s="66" t="s">
        <v>2245</v>
      </c>
      <c r="D204" s="66">
        <f t="shared" si="18"/>
        <v>175</v>
      </c>
      <c r="E204" s="64" t="str">
        <f t="shared" si="19"/>
        <v>DPC.NTD.175</v>
      </c>
      <c r="F204" s="356" t="s">
        <v>2479</v>
      </c>
      <c r="G204" s="356" t="s">
        <v>2256</v>
      </c>
      <c r="H204" s="356" t="s">
        <v>206</v>
      </c>
      <c r="I204" s="319" t="s">
        <v>533</v>
      </c>
      <c r="J204" s="320" t="s">
        <v>194</v>
      </c>
      <c r="K204" s="64" t="s">
        <v>980</v>
      </c>
      <c r="L204" s="321" t="s">
        <v>980</v>
      </c>
      <c r="M204" s="320" t="s">
        <v>980</v>
      </c>
      <c r="N204" s="195" t="s">
        <v>82</v>
      </c>
      <c r="P204" s="195"/>
      <c r="Q204" s="195"/>
      <c r="R204" s="195"/>
      <c r="S204" s="195"/>
      <c r="T204" s="195"/>
      <c r="U204" s="195"/>
      <c r="V204" s="195"/>
      <c r="W204" s="195"/>
      <c r="X204" s="195"/>
      <c r="Y204" t="s">
        <v>980</v>
      </c>
      <c r="Z204" s="5" t="s">
        <v>2381</v>
      </c>
    </row>
    <row r="205" spans="1:26" x14ac:dyDescent="0.35">
      <c r="A205" s="66" t="s">
        <v>2347</v>
      </c>
      <c r="B205" s="66" t="s">
        <v>533</v>
      </c>
      <c r="C205" s="66" t="s">
        <v>2245</v>
      </c>
      <c r="D205" s="66">
        <f t="shared" si="18"/>
        <v>176</v>
      </c>
      <c r="E205" s="64" t="str">
        <f t="shared" si="19"/>
        <v>DPC.NTD.176</v>
      </c>
      <c r="F205" s="356" t="s">
        <v>2487</v>
      </c>
      <c r="G205" s="356" t="s">
        <v>2256</v>
      </c>
      <c r="H205" s="356" t="s">
        <v>206</v>
      </c>
      <c r="I205" s="319" t="s">
        <v>533</v>
      </c>
      <c r="J205" s="320" t="s">
        <v>194</v>
      </c>
      <c r="K205" s="64" t="s">
        <v>194</v>
      </c>
      <c r="L205" s="321" t="s">
        <v>194</v>
      </c>
      <c r="M205" s="320" t="s">
        <v>194</v>
      </c>
      <c r="N205" s="321" t="s">
        <v>82</v>
      </c>
      <c r="P205" s="321"/>
      <c r="Q205" s="321"/>
      <c r="R205" s="321"/>
      <c r="T205" s="321"/>
      <c r="U205" s="321"/>
      <c r="W205" s="321"/>
      <c r="X205" s="321"/>
      <c r="Y205" t="s">
        <v>980</v>
      </c>
      <c r="Z205" t="s">
        <v>2343</v>
      </c>
    </row>
    <row r="206" spans="1:26" x14ac:dyDescent="0.35">
      <c r="A206" s="66" t="s">
        <v>2347</v>
      </c>
      <c r="B206" s="66" t="s">
        <v>533</v>
      </c>
      <c r="C206" s="66" t="s">
        <v>2245</v>
      </c>
      <c r="D206" s="66">
        <f t="shared" si="18"/>
        <v>177</v>
      </c>
      <c r="E206" s="64" t="str">
        <f t="shared" si="19"/>
        <v>DPC.NTD.177</v>
      </c>
      <c r="F206" s="356" t="s">
        <v>2488</v>
      </c>
      <c r="G206" s="356" t="s">
        <v>154</v>
      </c>
      <c r="H206" s="356" t="s">
        <v>2800</v>
      </c>
      <c r="I206" s="319" t="s">
        <v>533</v>
      </c>
      <c r="J206" s="320" t="s">
        <v>201</v>
      </c>
      <c r="K206" s="64" t="s">
        <v>980</v>
      </c>
      <c r="L206" s="321" t="s">
        <v>980</v>
      </c>
      <c r="M206" s="320" t="s">
        <v>194</v>
      </c>
      <c r="N206" s="321" t="s">
        <v>82</v>
      </c>
      <c r="O206" s="145">
        <f>Prevalences!AI240</f>
        <v>0.14499999999999999</v>
      </c>
      <c r="P206" s="321" t="s">
        <v>2201</v>
      </c>
      <c r="Q206" s="195"/>
      <c r="R206" s="195"/>
      <c r="S206" s="352">
        <v>0.98</v>
      </c>
      <c r="T206">
        <v>1</v>
      </c>
      <c r="V206" s="6">
        <v>5</v>
      </c>
      <c r="Y206" t="s">
        <v>980</v>
      </c>
    </row>
    <row r="207" spans="1:26" x14ac:dyDescent="0.35">
      <c r="A207" s="66" t="s">
        <v>2347</v>
      </c>
      <c r="B207" s="66" t="s">
        <v>533</v>
      </c>
      <c r="C207" s="66" t="s">
        <v>2467</v>
      </c>
      <c r="D207" s="66">
        <f t="shared" si="18"/>
        <v>178</v>
      </c>
      <c r="E207" s="64" t="str">
        <f t="shared" si="19"/>
        <v>DPC.NTD.178</v>
      </c>
      <c r="F207" s="356" t="s">
        <v>2489</v>
      </c>
      <c r="G207" s="356" t="s">
        <v>2256</v>
      </c>
      <c r="H207" s="356" t="s">
        <v>206</v>
      </c>
      <c r="I207" s="319" t="s">
        <v>533</v>
      </c>
      <c r="J207" s="320" t="s">
        <v>194</v>
      </c>
      <c r="K207" s="64" t="s">
        <v>194</v>
      </c>
      <c r="L207" s="321" t="s">
        <v>194</v>
      </c>
      <c r="M207" s="320" t="s">
        <v>194</v>
      </c>
      <c r="N207" s="321" t="s">
        <v>82</v>
      </c>
      <c r="P207" s="321"/>
      <c r="Q207" s="321"/>
      <c r="R207" s="321"/>
      <c r="T207" s="321"/>
      <c r="U207" s="321"/>
      <c r="W207" s="321"/>
      <c r="X207" s="321"/>
      <c r="Y207" t="s">
        <v>980</v>
      </c>
      <c r="Z207" t="s">
        <v>2343</v>
      </c>
    </row>
    <row r="208" spans="1:26" x14ac:dyDescent="0.35">
      <c r="A208" s="66" t="s">
        <v>2347</v>
      </c>
      <c r="B208" s="66" t="s">
        <v>533</v>
      </c>
      <c r="C208" s="66" t="s">
        <v>2467</v>
      </c>
      <c r="D208" s="66">
        <f t="shared" si="18"/>
        <v>179</v>
      </c>
      <c r="E208" s="64" t="str">
        <f t="shared" si="19"/>
        <v>DPC.NTD.179</v>
      </c>
      <c r="F208" s="356" t="s">
        <v>2490</v>
      </c>
      <c r="G208" s="356" t="s">
        <v>154</v>
      </c>
      <c r="H208" s="356" t="s">
        <v>2800</v>
      </c>
      <c r="I208" s="319" t="s">
        <v>533</v>
      </c>
      <c r="J208" s="320" t="s">
        <v>212</v>
      </c>
      <c r="K208" s="64" t="s">
        <v>980</v>
      </c>
      <c r="L208" s="321" t="s">
        <v>980</v>
      </c>
      <c r="M208" s="320" t="s">
        <v>980</v>
      </c>
      <c r="N208" s="321" t="s">
        <v>82</v>
      </c>
      <c r="O208" s="347">
        <v>0</v>
      </c>
      <c r="P208" s="321" t="s">
        <v>2631</v>
      </c>
      <c r="Q208" s="195"/>
      <c r="R208" s="195"/>
      <c r="S208" s="352">
        <v>0.95</v>
      </c>
      <c r="T208">
        <v>1</v>
      </c>
      <c r="V208" s="6">
        <v>5</v>
      </c>
      <c r="Y208" t="s">
        <v>980</v>
      </c>
    </row>
    <row r="209" spans="1:26" x14ac:dyDescent="0.35">
      <c r="A209" s="66" t="s">
        <v>2347</v>
      </c>
      <c r="B209" s="66" t="s">
        <v>533</v>
      </c>
      <c r="C209" s="66" t="s">
        <v>2467</v>
      </c>
      <c r="D209" s="66">
        <f t="shared" si="18"/>
        <v>180</v>
      </c>
      <c r="E209" s="64" t="str">
        <f t="shared" si="19"/>
        <v>DPC.NTD.180</v>
      </c>
      <c r="F209" s="356" t="s">
        <v>2491</v>
      </c>
      <c r="G209" s="356" t="s">
        <v>2256</v>
      </c>
      <c r="H209" s="356" t="s">
        <v>206</v>
      </c>
      <c r="I209" s="319" t="s">
        <v>533</v>
      </c>
      <c r="J209" s="320" t="s">
        <v>194</v>
      </c>
      <c r="K209" s="64" t="s">
        <v>980</v>
      </c>
      <c r="L209" s="321" t="s">
        <v>980</v>
      </c>
      <c r="M209" s="320" t="s">
        <v>980</v>
      </c>
      <c r="N209" s="195" t="s">
        <v>82</v>
      </c>
      <c r="P209" s="195"/>
      <c r="Q209" s="195"/>
      <c r="R209" s="195"/>
      <c r="S209" s="195"/>
      <c r="T209" s="195"/>
      <c r="U209" s="195"/>
      <c r="V209" s="195"/>
      <c r="W209" s="195"/>
      <c r="X209" s="195"/>
      <c r="Y209" t="s">
        <v>980</v>
      </c>
      <c r="Z209" s="5" t="s">
        <v>2381</v>
      </c>
    </row>
    <row r="210" spans="1:26" x14ac:dyDescent="0.35">
      <c r="A210" s="66" t="s">
        <v>2347</v>
      </c>
      <c r="B210" s="66" t="s">
        <v>533</v>
      </c>
      <c r="C210" s="66" t="s">
        <v>2467</v>
      </c>
      <c r="D210" s="66">
        <f>D209+1</f>
        <v>181</v>
      </c>
      <c r="E210" s="64" t="str">
        <f t="shared" si="19"/>
        <v>DPC.NTD.181</v>
      </c>
      <c r="F210" s="356" t="s">
        <v>2492</v>
      </c>
      <c r="G210" s="321" t="s">
        <v>193</v>
      </c>
      <c r="H210" s="356" t="s">
        <v>206</v>
      </c>
      <c r="I210" s="319" t="s">
        <v>533</v>
      </c>
      <c r="J210" s="320" t="s">
        <v>194</v>
      </c>
      <c r="K210" s="64" t="s">
        <v>980</v>
      </c>
      <c r="L210" s="321" t="s">
        <v>980</v>
      </c>
      <c r="M210" s="320" t="s">
        <v>980</v>
      </c>
      <c r="N210" s="195" t="s">
        <v>82</v>
      </c>
      <c r="P210" s="195"/>
      <c r="Q210" s="195"/>
      <c r="R210" s="195"/>
      <c r="S210" s="195"/>
      <c r="T210" s="195"/>
      <c r="U210" s="195"/>
      <c r="V210" s="195"/>
      <c r="W210" s="195"/>
      <c r="X210" s="195"/>
      <c r="Y210" t="s">
        <v>980</v>
      </c>
      <c r="Z210" s="5" t="s">
        <v>2376</v>
      </c>
    </row>
    <row r="211" spans="1:26" x14ac:dyDescent="0.35">
      <c r="A211" s="66" t="s">
        <v>2347</v>
      </c>
      <c r="B211" s="66" t="s">
        <v>533</v>
      </c>
      <c r="C211" s="66" t="s">
        <v>2493</v>
      </c>
      <c r="D211" s="66">
        <f t="shared" si="18"/>
        <v>182</v>
      </c>
      <c r="E211" s="64" t="str">
        <f t="shared" si="19"/>
        <v>DPC.NTD.182</v>
      </c>
      <c r="F211" s="356" t="s">
        <v>2494</v>
      </c>
      <c r="G211" s="356" t="s">
        <v>2256</v>
      </c>
      <c r="H211" s="356" t="s">
        <v>206</v>
      </c>
      <c r="I211" s="319" t="s">
        <v>533</v>
      </c>
      <c r="J211" s="320" t="s">
        <v>194</v>
      </c>
      <c r="K211" s="64" t="s">
        <v>980</v>
      </c>
      <c r="L211" s="321" t="s">
        <v>980</v>
      </c>
      <c r="M211" s="320" t="s">
        <v>980</v>
      </c>
      <c r="N211" s="195" t="s">
        <v>82</v>
      </c>
      <c r="P211" s="195"/>
      <c r="Q211" s="195"/>
      <c r="R211" s="195"/>
      <c r="S211" s="195"/>
      <c r="T211" s="195"/>
      <c r="U211" s="195"/>
      <c r="V211" s="195"/>
      <c r="W211" s="195"/>
      <c r="X211" s="195"/>
      <c r="Y211" t="s">
        <v>980</v>
      </c>
      <c r="Z211" s="5" t="s">
        <v>2381</v>
      </c>
    </row>
    <row r="212" spans="1:26" x14ac:dyDescent="0.35">
      <c r="A212" s="66" t="s">
        <v>2347</v>
      </c>
      <c r="B212" s="66" t="s">
        <v>533</v>
      </c>
      <c r="C212" s="66" t="s">
        <v>2493</v>
      </c>
      <c r="D212" s="66">
        <f t="shared" si="18"/>
        <v>183</v>
      </c>
      <c r="E212" s="64" t="str">
        <f t="shared" si="19"/>
        <v>DPC.NTD.183</v>
      </c>
      <c r="F212" s="356" t="s">
        <v>2501</v>
      </c>
      <c r="G212" s="356" t="s">
        <v>154</v>
      </c>
      <c r="H212" s="356" t="s">
        <v>2800</v>
      </c>
      <c r="I212" s="319" t="s">
        <v>533</v>
      </c>
      <c r="J212" s="320" t="s">
        <v>212</v>
      </c>
      <c r="K212" s="64" t="s">
        <v>980</v>
      </c>
      <c r="L212" s="321" t="s">
        <v>980</v>
      </c>
      <c r="M212" s="320" t="s">
        <v>980</v>
      </c>
      <c r="N212" s="374" t="s">
        <v>82</v>
      </c>
      <c r="O212" s="145">
        <f>1/57/28</f>
        <v>6.2656641604010022E-4</v>
      </c>
      <c r="P212" s="321" t="s">
        <v>2630</v>
      </c>
      <c r="Q212" s="195"/>
      <c r="R212" s="195"/>
      <c r="S212" s="352">
        <v>0.98</v>
      </c>
      <c r="T212">
        <v>1</v>
      </c>
      <c r="V212" s="6">
        <v>5</v>
      </c>
      <c r="Y212" t="s">
        <v>980</v>
      </c>
    </row>
    <row r="213" spans="1:26" x14ac:dyDescent="0.35">
      <c r="A213" s="66" t="s">
        <v>2495</v>
      </c>
      <c r="D213" s="66" t="s">
        <v>2497</v>
      </c>
      <c r="E213" s="64" t="s">
        <v>2636</v>
      </c>
      <c r="F213" s="356" t="s">
        <v>2496</v>
      </c>
      <c r="G213" s="356" t="s">
        <v>2256</v>
      </c>
      <c r="H213" s="319" t="s">
        <v>194</v>
      </c>
      <c r="I213" s="319" t="s">
        <v>194</v>
      </c>
      <c r="J213" s="320" t="s">
        <v>212</v>
      </c>
      <c r="K213" s="64" t="s">
        <v>980</v>
      </c>
      <c r="L213" s="321" t="s">
        <v>980</v>
      </c>
      <c r="M213" s="320" t="s">
        <v>194</v>
      </c>
      <c r="N213" t="s">
        <v>82</v>
      </c>
      <c r="W213" s="5">
        <v>7</v>
      </c>
      <c r="Z213" s="234" t="s">
        <v>2500</v>
      </c>
    </row>
    <row r="214" spans="1:26" x14ac:dyDescent="0.35">
      <c r="A214" s="66" t="s">
        <v>2498</v>
      </c>
      <c r="D214" s="66" t="s">
        <v>2499</v>
      </c>
      <c r="E214" s="64" t="s">
        <v>2637</v>
      </c>
      <c r="F214" s="356" t="s">
        <v>2496</v>
      </c>
      <c r="G214" s="319" t="s">
        <v>2256</v>
      </c>
      <c r="H214" s="319" t="s">
        <v>194</v>
      </c>
      <c r="I214" s="319" t="s">
        <v>194</v>
      </c>
      <c r="J214" s="320" t="s">
        <v>212</v>
      </c>
      <c r="K214" s="64" t="s">
        <v>980</v>
      </c>
      <c r="L214" s="321" t="s">
        <v>980</v>
      </c>
      <c r="M214" s="320" t="s">
        <v>194</v>
      </c>
      <c r="N214" t="s">
        <v>82</v>
      </c>
      <c r="W214" s="5">
        <v>7</v>
      </c>
    </row>
    <row r="215" spans="1:26" x14ac:dyDescent="0.35">
      <c r="A215" s="64"/>
      <c r="E215" s="64" t="s">
        <v>2821</v>
      </c>
      <c r="F215" s="319" t="s">
        <v>2821</v>
      </c>
      <c r="G215" s="356" t="s">
        <v>193</v>
      </c>
      <c r="H215" s="319" t="s">
        <v>194</v>
      </c>
      <c r="I215" s="319" t="s">
        <v>194</v>
      </c>
      <c r="J215" s="320" t="s">
        <v>212</v>
      </c>
      <c r="K215" s="64" t="s">
        <v>980</v>
      </c>
      <c r="L215" s="321" t="s">
        <v>980</v>
      </c>
      <c r="M215" s="320" t="s">
        <v>980</v>
      </c>
      <c r="N215" s="58" t="s">
        <v>82</v>
      </c>
      <c r="O215" s="58">
        <v>0.1</v>
      </c>
      <c r="P215" s="58" t="s">
        <v>2070</v>
      </c>
      <c r="Q215" s="139"/>
      <c r="R215" s="139"/>
      <c r="S215" s="130">
        <v>0.98</v>
      </c>
      <c r="T215" s="58">
        <v>1</v>
      </c>
      <c r="U215" s="58"/>
      <c r="V215" s="275">
        <f>'Work time'!AD53*10*60</f>
        <v>53.832494807158753</v>
      </c>
    </row>
    <row r="216" spans="1:26" x14ac:dyDescent="0.35">
      <c r="A216" s="64"/>
      <c r="E216" s="64" t="s">
        <v>1958</v>
      </c>
      <c r="F216" s="319" t="s">
        <v>1958</v>
      </c>
      <c r="G216" s="356" t="s">
        <v>193</v>
      </c>
      <c r="H216" s="319" t="s">
        <v>194</v>
      </c>
      <c r="I216" s="319" t="s">
        <v>194</v>
      </c>
      <c r="J216" s="320" t="s">
        <v>212</v>
      </c>
      <c r="K216" s="64" t="s">
        <v>980</v>
      </c>
      <c r="L216" s="321" t="s">
        <v>980</v>
      </c>
      <c r="M216" s="320" t="s">
        <v>980</v>
      </c>
      <c r="N216" s="58" t="s">
        <v>82</v>
      </c>
      <c r="O216" s="58">
        <v>0.1</v>
      </c>
      <c r="P216" s="58" t="s">
        <v>2070</v>
      </c>
      <c r="Q216" s="139"/>
      <c r="R216" s="139"/>
      <c r="S216" s="58">
        <v>1</v>
      </c>
      <c r="T216" s="58">
        <v>1</v>
      </c>
      <c r="V216" s="6">
        <f>'Work time'!AD55*10*60</f>
        <v>45.844447190612613</v>
      </c>
    </row>
    <row r="217" spans="1:26" x14ac:dyDescent="0.35">
      <c r="E217" s="66" t="s">
        <v>2781</v>
      </c>
      <c r="F217" s="66" t="s">
        <v>2781</v>
      </c>
      <c r="N217" t="s">
        <v>82</v>
      </c>
      <c r="X217">
        <v>1E-3</v>
      </c>
    </row>
    <row r="218" spans="1:26" x14ac:dyDescent="0.35">
      <c r="E218" s="64" t="s">
        <v>2804</v>
      </c>
      <c r="F218" s="319" t="s">
        <v>2806</v>
      </c>
      <c r="G218" s="321" t="s">
        <v>193</v>
      </c>
      <c r="H218" s="321" t="s">
        <v>194</v>
      </c>
      <c r="I218" s="321" t="s">
        <v>194</v>
      </c>
      <c r="J218" s="320" t="s">
        <v>212</v>
      </c>
      <c r="K218" s="394" t="s">
        <v>980</v>
      </c>
      <c r="L218" s="321" t="s">
        <v>980</v>
      </c>
      <c r="M218" s="320" t="s">
        <v>980</v>
      </c>
      <c r="N218" s="321" t="s">
        <v>82</v>
      </c>
      <c r="O218" s="195">
        <f>O215/2</f>
        <v>0.05</v>
      </c>
      <c r="P218" t="str">
        <f t="shared" ref="P218:Z218" si="20">IF(P215="","",P215)</f>
        <v>time per 10 people</v>
      </c>
      <c r="Q218" t="str">
        <f t="shared" si="20"/>
        <v/>
      </c>
      <c r="R218" t="str">
        <f t="shared" si="20"/>
        <v/>
      </c>
      <c r="S218">
        <f t="shared" si="20"/>
        <v>0.98</v>
      </c>
      <c r="T218">
        <f t="shared" si="20"/>
        <v>1</v>
      </c>
      <c r="U218" t="str">
        <f t="shared" si="20"/>
        <v/>
      </c>
      <c r="V218">
        <f t="shared" si="20"/>
        <v>53.832494807158753</v>
      </c>
      <c r="W218" t="str">
        <f t="shared" si="20"/>
        <v/>
      </c>
      <c r="X218" t="str">
        <f t="shared" si="20"/>
        <v/>
      </c>
      <c r="Y218" t="str">
        <f t="shared" si="20"/>
        <v/>
      </c>
      <c r="Z218" t="str">
        <f t="shared" si="20"/>
        <v/>
      </c>
    </row>
    <row r="219" spans="1:26" x14ac:dyDescent="0.35">
      <c r="E219" s="64" t="s">
        <v>2805</v>
      </c>
      <c r="F219" s="319" t="s">
        <v>2807</v>
      </c>
      <c r="G219" s="321" t="s">
        <v>193</v>
      </c>
      <c r="H219" s="321" t="s">
        <v>194</v>
      </c>
      <c r="I219" s="321" t="s">
        <v>194</v>
      </c>
      <c r="J219" s="320" t="s">
        <v>212</v>
      </c>
      <c r="K219" s="394" t="s">
        <v>980</v>
      </c>
      <c r="L219" s="321" t="s">
        <v>980</v>
      </c>
      <c r="M219" s="320" t="s">
        <v>980</v>
      </c>
      <c r="N219" s="321" t="s">
        <v>82</v>
      </c>
      <c r="O219" s="195">
        <f>O215/2</f>
        <v>0.05</v>
      </c>
      <c r="P219" t="str">
        <f t="shared" ref="P219:Z219" si="21">IF(P215="","",P215)</f>
        <v>time per 10 people</v>
      </c>
      <c r="Q219" t="str">
        <f t="shared" si="21"/>
        <v/>
      </c>
      <c r="R219" t="str">
        <f t="shared" si="21"/>
        <v/>
      </c>
      <c r="S219">
        <f t="shared" si="21"/>
        <v>0.98</v>
      </c>
      <c r="T219">
        <f t="shared" si="21"/>
        <v>1</v>
      </c>
      <c r="U219" t="str">
        <f t="shared" si="21"/>
        <v/>
      </c>
      <c r="V219">
        <f t="shared" si="21"/>
        <v>53.832494807158753</v>
      </c>
      <c r="W219" t="str">
        <f t="shared" si="21"/>
        <v/>
      </c>
      <c r="X219" t="str">
        <f t="shared" si="21"/>
        <v/>
      </c>
      <c r="Y219" t="str">
        <f t="shared" si="21"/>
        <v/>
      </c>
      <c r="Z219" t="str">
        <f t="shared" si="21"/>
        <v/>
      </c>
    </row>
    <row r="220" spans="1:26" x14ac:dyDescent="0.35">
      <c r="E220" s="64" t="s">
        <v>2822</v>
      </c>
      <c r="F220" s="321" t="s">
        <v>2828</v>
      </c>
      <c r="G220" s="321" t="s">
        <v>193</v>
      </c>
      <c r="H220" s="321" t="s">
        <v>194</v>
      </c>
      <c r="I220" s="321" t="s">
        <v>194</v>
      </c>
      <c r="J220" s="320" t="s">
        <v>194</v>
      </c>
      <c r="N220" s="321" t="s">
        <v>82</v>
      </c>
      <c r="W220" s="3">
        <f>'Work time'!AE61</f>
        <v>4.5120000000000005</v>
      </c>
    </row>
    <row r="221" spans="1:26" x14ac:dyDescent="0.35">
      <c r="E221" s="64" t="s">
        <v>2823</v>
      </c>
      <c r="F221" s="321" t="s">
        <v>2829</v>
      </c>
      <c r="G221" s="321" t="s">
        <v>193</v>
      </c>
      <c r="H221" s="321" t="s">
        <v>194</v>
      </c>
      <c r="I221" s="321" t="s">
        <v>194</v>
      </c>
      <c r="J221" s="320" t="s">
        <v>194</v>
      </c>
      <c r="N221" s="321" t="s">
        <v>82</v>
      </c>
      <c r="W221" s="3">
        <f>W220</f>
        <v>4.5120000000000005</v>
      </c>
    </row>
    <row r="222" spans="1:26" x14ac:dyDescent="0.35">
      <c r="E222" s="64" t="s">
        <v>2824</v>
      </c>
      <c r="F222" s="321" t="s">
        <v>2830</v>
      </c>
      <c r="G222" s="321" t="s">
        <v>193</v>
      </c>
      <c r="H222" s="321" t="s">
        <v>194</v>
      </c>
      <c r="I222" s="321" t="s">
        <v>194</v>
      </c>
      <c r="J222" s="320" t="s">
        <v>194</v>
      </c>
      <c r="N222" s="321" t="s">
        <v>82</v>
      </c>
      <c r="W222" s="3">
        <f t="shared" ref="W222:W225" si="22">W221</f>
        <v>4.5120000000000005</v>
      </c>
    </row>
    <row r="223" spans="1:26" x14ac:dyDescent="0.35">
      <c r="E223" s="64" t="s">
        <v>2825</v>
      </c>
      <c r="F223" s="321" t="s">
        <v>2831</v>
      </c>
      <c r="G223" s="321" t="s">
        <v>193</v>
      </c>
      <c r="H223" s="321" t="s">
        <v>194</v>
      </c>
      <c r="I223" s="321" t="s">
        <v>194</v>
      </c>
      <c r="J223" s="320" t="s">
        <v>194</v>
      </c>
      <c r="N223" s="321" t="s">
        <v>82</v>
      </c>
      <c r="W223" s="3">
        <f t="shared" si="22"/>
        <v>4.5120000000000005</v>
      </c>
    </row>
    <row r="224" spans="1:26" x14ac:dyDescent="0.35">
      <c r="E224" s="64" t="s">
        <v>2826</v>
      </c>
      <c r="F224" s="321" t="s">
        <v>2832</v>
      </c>
      <c r="G224" s="321" t="s">
        <v>193</v>
      </c>
      <c r="H224" s="321" t="s">
        <v>194</v>
      </c>
      <c r="I224" s="321" t="s">
        <v>194</v>
      </c>
      <c r="J224" s="320" t="s">
        <v>194</v>
      </c>
      <c r="N224" s="321" t="s">
        <v>82</v>
      </c>
      <c r="W224" s="3">
        <f t="shared" si="22"/>
        <v>4.5120000000000005</v>
      </c>
    </row>
    <row r="225" spans="5:23" x14ac:dyDescent="0.35">
      <c r="E225" s="64" t="s">
        <v>2827</v>
      </c>
      <c r="F225" s="321" t="s">
        <v>2833</v>
      </c>
      <c r="G225" s="321" t="s">
        <v>193</v>
      </c>
      <c r="H225" s="321" t="s">
        <v>194</v>
      </c>
      <c r="I225" s="321" t="s">
        <v>194</v>
      </c>
      <c r="J225" s="320" t="s">
        <v>194</v>
      </c>
      <c r="N225" s="321" t="s">
        <v>82</v>
      </c>
      <c r="W225" s="3">
        <f t="shared" si="22"/>
        <v>4.5120000000000005</v>
      </c>
    </row>
  </sheetData>
  <autoFilter ref="A1:Z217"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I2:I46 I76:I154 I226:I545 I156:I217</xm:sqref>
        </x14:dataValidation>
        <x14:dataValidation type="list" allowBlank="1" showInputMessage="1" showErrorMessage="1" xr:uid="{925A0EEB-9365-4265-BCAA-8FCF4189DF40}">
          <x14:formula1>
            <xm:f>lookups!$B$2:$B$9</xm:f>
          </x14:formula1>
          <xm:sqref>H2:H154 H226:H446 H156:H217</xm:sqref>
        </x14:dataValidation>
        <x14:dataValidation type="list" allowBlank="1" showInputMessage="1" showErrorMessage="1" xr:uid="{C319048F-06A6-4121-9C15-D4FC96370093}">
          <x14:formula1>
            <xm:f>lookups!$F$2:$F$24</xm:f>
          </x14:formula1>
          <xm:sqref>J2:J154 J156:J1048576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804</v>
      </c>
    </row>
    <row r="4" spans="2:17" x14ac:dyDescent="0.35">
      <c r="B4" t="s">
        <v>805</v>
      </c>
    </row>
    <row r="21" spans="12:20" x14ac:dyDescent="0.35">
      <c r="M21" t="s">
        <v>806</v>
      </c>
    </row>
    <row r="22" spans="12:20" x14ac:dyDescent="0.35">
      <c r="M22" t="s">
        <v>807</v>
      </c>
      <c r="N22" t="s">
        <v>808</v>
      </c>
      <c r="O22" t="s">
        <v>809</v>
      </c>
    </row>
    <row r="23" spans="12:20" x14ac:dyDescent="0.35">
      <c r="L23" t="s">
        <v>810</v>
      </c>
      <c r="M23">
        <v>34.5</v>
      </c>
      <c r="N23">
        <v>10</v>
      </c>
      <c r="O23" s="54">
        <f>T27</f>
        <v>9.1462182718789392E-2</v>
      </c>
    </row>
    <row r="24" spans="12:20" x14ac:dyDescent="0.35">
      <c r="L24" t="s">
        <v>811</v>
      </c>
      <c r="M24">
        <v>40.5</v>
      </c>
      <c r="N24">
        <v>10</v>
      </c>
      <c r="O24" s="54">
        <f>T28</f>
        <v>0.19550000000000001</v>
      </c>
    </row>
    <row r="25" spans="12:20" x14ac:dyDescent="0.35">
      <c r="L25" t="s">
        <v>812</v>
      </c>
      <c r="M25">
        <v>25.25</v>
      </c>
      <c r="N25">
        <v>10</v>
      </c>
      <c r="O25" s="54">
        <f>T29</f>
        <v>8.569319554422225E-2</v>
      </c>
      <c r="Q25" t="s">
        <v>813</v>
      </c>
    </row>
    <row r="26" spans="12:20" x14ac:dyDescent="0.35">
      <c r="L26" t="s">
        <v>814</v>
      </c>
      <c r="M26">
        <v>38.5</v>
      </c>
      <c r="N26">
        <v>10</v>
      </c>
      <c r="O26" s="54">
        <f>T30</f>
        <v>9.1462182718789392E-2</v>
      </c>
      <c r="R26" t="s">
        <v>815</v>
      </c>
      <c r="S26" t="s">
        <v>816</v>
      </c>
      <c r="T26" t="s">
        <v>809</v>
      </c>
    </row>
    <row r="27" spans="12:20" x14ac:dyDescent="0.35">
      <c r="L27" t="s">
        <v>817</v>
      </c>
      <c r="M27">
        <v>29.75</v>
      </c>
      <c r="N27">
        <v>4</v>
      </c>
      <c r="O27" s="54">
        <f>T31</f>
        <v>1</v>
      </c>
      <c r="Q27" t="s">
        <v>810</v>
      </c>
      <c r="R27" s="110">
        <v>12568982</v>
      </c>
      <c r="S27" s="110">
        <v>1265315</v>
      </c>
      <c r="T27" s="61">
        <f>S27/SUM(R27:S27)</f>
        <v>9.1462182718789392E-2</v>
      </c>
    </row>
    <row r="28" spans="12:20" x14ac:dyDescent="0.3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35">
      <c r="Q29" t="s">
        <v>812</v>
      </c>
      <c r="R29" s="110">
        <v>13625000</v>
      </c>
      <c r="S29" s="110">
        <v>1277000</v>
      </c>
      <c r="T29" s="61">
        <f>S29/SUM(R29:S29)</f>
        <v>8.569319554422225E-2</v>
      </c>
    </row>
    <row r="30" spans="12:20" x14ac:dyDescent="0.35">
      <c r="Q30" t="s">
        <v>814</v>
      </c>
      <c r="R30" s="110">
        <v>12568982</v>
      </c>
      <c r="S30" s="110">
        <v>1265315</v>
      </c>
      <c r="T30" s="61">
        <f>S30/SUM(R30:S30)</f>
        <v>9.1462182718789392E-2</v>
      </c>
    </row>
    <row r="31" spans="12:20" x14ac:dyDescent="0.35">
      <c r="Q31" t="s">
        <v>819</v>
      </c>
      <c r="T31" s="54">
        <v>1</v>
      </c>
    </row>
    <row r="37" spans="20:33" x14ac:dyDescent="0.35">
      <c r="Z37" t="s">
        <v>820</v>
      </c>
    </row>
    <row r="38" spans="20:33" x14ac:dyDescent="0.35">
      <c r="Y38">
        <v>32</v>
      </c>
      <c r="Z38" t="s">
        <v>821</v>
      </c>
    </row>
    <row r="40" spans="20:33" ht="15" thickBot="1" x14ac:dyDescent="0.4"/>
    <row r="41" spans="20:33" x14ac:dyDescent="0.35">
      <c r="T41" s="92"/>
      <c r="U41" s="404" t="s">
        <v>822</v>
      </c>
      <c r="V41" s="405"/>
      <c r="W41" s="406"/>
      <c r="X41" s="97"/>
      <c r="Y41" s="404" t="s">
        <v>820</v>
      </c>
      <c r="Z41" s="405"/>
      <c r="AA41" s="406"/>
      <c r="AC41" s="92"/>
      <c r="AD41" s="405" t="s">
        <v>820</v>
      </c>
      <c r="AE41" s="405"/>
      <c r="AF41" s="406"/>
    </row>
    <row r="42" spans="20:33" ht="15" thickBot="1" x14ac:dyDescent="0.4">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3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 t="shared" ref="AD43:AF46" si="2">SUMIFS(Y$43:Y$53,$X$43:$X$53,$AC43)</f>
        <v>12.064</v>
      </c>
      <c r="AE43" s="65">
        <f t="shared" si="2"/>
        <v>6.976</v>
      </c>
      <c r="AF43" s="70">
        <f t="shared" si="2"/>
        <v>13.983999999999998</v>
      </c>
      <c r="AG43" t="s">
        <v>826</v>
      </c>
    </row>
    <row r="44" spans="20:33" x14ac:dyDescent="0.35">
      <c r="T44" s="64" t="s">
        <v>827</v>
      </c>
      <c r="U44" s="98">
        <v>9.2999999999999999E-2</v>
      </c>
      <c r="V44" s="68">
        <v>0.10100000000000001</v>
      </c>
      <c r="W44" s="69">
        <v>0.09</v>
      </c>
      <c r="X44" t="s">
        <v>828</v>
      </c>
      <c r="Y44" s="100">
        <f t="shared" ref="Y44:Y53" si="3">$Y$38*U44</f>
        <v>2.976</v>
      </c>
      <c r="Z44" s="65">
        <f t="shared" si="0"/>
        <v>3.2320000000000002</v>
      </c>
      <c r="AA44" s="70">
        <f t="shared" si="1"/>
        <v>2.88</v>
      </c>
      <c r="AC44" s="64" t="s">
        <v>828</v>
      </c>
      <c r="AD44" s="65">
        <f t="shared" si="2"/>
        <v>8.7680000000000007</v>
      </c>
      <c r="AE44" s="65">
        <f t="shared" si="2"/>
        <v>13.952</v>
      </c>
      <c r="AF44" s="70">
        <f t="shared" si="2"/>
        <v>6.88</v>
      </c>
      <c r="AG44" t="s">
        <v>829</v>
      </c>
    </row>
    <row r="45" spans="20:33" x14ac:dyDescent="0.35">
      <c r="T45" s="64" t="s">
        <v>830</v>
      </c>
      <c r="U45" s="98">
        <v>8.0000000000000002E-3</v>
      </c>
      <c r="V45" s="68">
        <v>1.0999999999999999E-2</v>
      </c>
      <c r="W45" s="103">
        <v>7.0000000000000001E-3</v>
      </c>
      <c r="X45" t="s">
        <v>828</v>
      </c>
      <c r="Y45" s="100">
        <f t="shared" si="3"/>
        <v>0.25600000000000001</v>
      </c>
      <c r="Z45" s="65">
        <f t="shared" si="0"/>
        <v>0.35199999999999998</v>
      </c>
      <c r="AA45" s="70">
        <f t="shared" si="1"/>
        <v>0.224</v>
      </c>
      <c r="AC45" s="64" t="s">
        <v>831</v>
      </c>
      <c r="AD45" s="65">
        <f t="shared" si="2"/>
        <v>6.1760000000000002</v>
      </c>
      <c r="AE45" s="65">
        <f t="shared" si="2"/>
        <v>6.4960000000000004</v>
      </c>
      <c r="AF45" s="70">
        <f t="shared" si="2"/>
        <v>6.0160000000000009</v>
      </c>
      <c r="AG45" t="s">
        <v>832</v>
      </c>
    </row>
    <row r="46" spans="20:33" ht="15" thickBot="1" x14ac:dyDescent="0.4">
      <c r="T46" s="64" t="s">
        <v>833</v>
      </c>
      <c r="U46" s="98">
        <v>0.13200000000000001</v>
      </c>
      <c r="V46" s="68">
        <v>0.13600000000000001</v>
      </c>
      <c r="W46" s="69">
        <v>0.13</v>
      </c>
      <c r="X46" t="s">
        <v>831</v>
      </c>
      <c r="Y46" s="100">
        <f t="shared" si="3"/>
        <v>4.2240000000000002</v>
      </c>
      <c r="Z46" s="65">
        <f t="shared" si="0"/>
        <v>4.3520000000000003</v>
      </c>
      <c r="AA46" s="70">
        <f t="shared" si="1"/>
        <v>4.16</v>
      </c>
      <c r="AC46" s="93" t="s">
        <v>834</v>
      </c>
      <c r="AD46" s="94">
        <f t="shared" si="2"/>
        <v>4.96</v>
      </c>
      <c r="AE46" s="94">
        <f t="shared" si="2"/>
        <v>4.6079999999999997</v>
      </c>
      <c r="AF46" s="109">
        <f t="shared" si="2"/>
        <v>5.12</v>
      </c>
    </row>
    <row r="47" spans="20:33" ht="15" thickBot="1" x14ac:dyDescent="0.4">
      <c r="T47" s="64" t="s">
        <v>835</v>
      </c>
      <c r="U47" s="98">
        <v>1.2999999999999999E-2</v>
      </c>
      <c r="V47" s="68">
        <v>4.0000000000000001E-3</v>
      </c>
      <c r="W47" s="103">
        <v>1.6E-2</v>
      </c>
      <c r="X47" t="s">
        <v>831</v>
      </c>
      <c r="Y47" s="100">
        <f t="shared" si="3"/>
        <v>0.41599999999999998</v>
      </c>
      <c r="Z47" s="65">
        <f t="shared" si="0"/>
        <v>0.128</v>
      </c>
      <c r="AA47" s="70">
        <f t="shared" si="1"/>
        <v>0.51200000000000001</v>
      </c>
    </row>
    <row r="48" spans="20:33" ht="15" thickBot="1" x14ac:dyDescent="0.4">
      <c r="T48" s="64" t="s">
        <v>836</v>
      </c>
      <c r="U48" s="98">
        <v>3.2000000000000001E-2</v>
      </c>
      <c r="V48" s="68">
        <v>3.6999999999999998E-2</v>
      </c>
      <c r="W48" s="69">
        <v>0.03</v>
      </c>
      <c r="X48" t="s">
        <v>831</v>
      </c>
      <c r="Y48" s="100">
        <f t="shared" si="3"/>
        <v>1.024</v>
      </c>
      <c r="Z48" s="65">
        <f t="shared" si="0"/>
        <v>1.1839999999999999</v>
      </c>
      <c r="AA48" s="70">
        <f t="shared" si="1"/>
        <v>0.96</v>
      </c>
      <c r="AC48" s="111"/>
      <c r="AD48" s="112"/>
      <c r="AE48" s="112" t="s">
        <v>343</v>
      </c>
      <c r="AF48" s="113" t="s">
        <v>344</v>
      </c>
    </row>
    <row r="49" spans="20:33" x14ac:dyDescent="0.35">
      <c r="T49" s="64" t="s">
        <v>837</v>
      </c>
      <c r="U49" s="98">
        <v>1.6E-2</v>
      </c>
      <c r="V49" s="68">
        <v>2.5999999999999999E-2</v>
      </c>
      <c r="W49" s="103">
        <v>1.2E-2</v>
      </c>
      <c r="X49" t="s">
        <v>831</v>
      </c>
      <c r="Y49" s="100">
        <f t="shared" si="3"/>
        <v>0.51200000000000001</v>
      </c>
      <c r="Z49" s="65">
        <f t="shared" si="0"/>
        <v>0.83199999999999996</v>
      </c>
      <c r="AA49" s="70">
        <f t="shared" si="1"/>
        <v>0.38400000000000001</v>
      </c>
      <c r="AC49" s="64" t="s">
        <v>838</v>
      </c>
      <c r="AE49" s="105">
        <v>47.5</v>
      </c>
      <c r="AF49" s="106">
        <v>74.8</v>
      </c>
    </row>
    <row r="50" spans="20:33" ht="15" thickBot="1" x14ac:dyDescent="0.4">
      <c r="T50" s="64" t="s">
        <v>834</v>
      </c>
      <c r="U50" s="98">
        <v>0.155</v>
      </c>
      <c r="V50" s="68">
        <v>0.14399999999999999</v>
      </c>
      <c r="W50" s="69">
        <v>0.16</v>
      </c>
      <c r="X50" t="s">
        <v>834</v>
      </c>
      <c r="Y50" s="100">
        <f t="shared" si="3"/>
        <v>4.96</v>
      </c>
      <c r="Z50" s="65">
        <f t="shared" si="0"/>
        <v>4.6079999999999997</v>
      </c>
      <c r="AA50" s="70">
        <f t="shared" si="1"/>
        <v>5.12</v>
      </c>
      <c r="AC50" s="93" t="s">
        <v>839</v>
      </c>
      <c r="AD50" s="95"/>
      <c r="AE50" s="107">
        <f>AE49*5/60</f>
        <v>3.9583333333333335</v>
      </c>
      <c r="AF50" s="108">
        <f>AF49*5/60</f>
        <v>6.2333333333333334</v>
      </c>
    </row>
    <row r="51" spans="20:33" x14ac:dyDescent="0.35">
      <c r="T51" s="64" t="s">
        <v>840</v>
      </c>
      <c r="U51" s="98">
        <v>0.249</v>
      </c>
      <c r="V51" s="68">
        <v>0.13200000000000001</v>
      </c>
      <c r="W51" s="103">
        <v>0.29299999999999998</v>
      </c>
      <c r="X51" t="s">
        <v>825</v>
      </c>
      <c r="Y51" s="100">
        <f t="shared" si="3"/>
        <v>7.968</v>
      </c>
      <c r="Z51" s="65">
        <f t="shared" si="0"/>
        <v>4.2240000000000002</v>
      </c>
      <c r="AA51" s="70">
        <f t="shared" si="1"/>
        <v>9.3759999999999994</v>
      </c>
    </row>
    <row r="52" spans="20:33" x14ac:dyDescent="0.35">
      <c r="T52" s="64" t="s">
        <v>841</v>
      </c>
      <c r="U52" s="98">
        <v>0.13300000000000001</v>
      </c>
      <c r="V52" s="68">
        <v>0.27200000000000002</v>
      </c>
      <c r="W52" s="103">
        <v>8.2000000000000003E-2</v>
      </c>
      <c r="X52" t="s">
        <v>828</v>
      </c>
      <c r="Y52" s="100">
        <f t="shared" si="3"/>
        <v>4.2560000000000002</v>
      </c>
      <c r="Z52" s="65">
        <f t="shared" si="0"/>
        <v>8.7040000000000006</v>
      </c>
      <c r="AA52" s="70">
        <f t="shared" si="1"/>
        <v>2.6240000000000001</v>
      </c>
      <c r="AD52" t="s">
        <v>212</v>
      </c>
      <c r="AE52" t="s">
        <v>344</v>
      </c>
      <c r="AF52" t="s">
        <v>1949</v>
      </c>
    </row>
    <row r="53" spans="20:33" ht="15" thickBot="1" x14ac:dyDescent="0.4">
      <c r="T53" s="93" t="s">
        <v>842</v>
      </c>
      <c r="U53" s="99">
        <v>0.04</v>
      </c>
      <c r="V53" s="102">
        <v>5.1999999999999998E-2</v>
      </c>
      <c r="W53" s="104">
        <v>3.5999999999999997E-2</v>
      </c>
      <c r="X53" s="95" t="s">
        <v>828</v>
      </c>
      <c r="Y53" s="101">
        <f t="shared" si="3"/>
        <v>1.28</v>
      </c>
      <c r="Z53" s="94">
        <f t="shared" si="0"/>
        <v>1.6639999999999999</v>
      </c>
      <c r="AA53" s="109">
        <f t="shared" si="1"/>
        <v>1.1519999999999999</v>
      </c>
      <c r="AC53" t="s">
        <v>834</v>
      </c>
      <c r="AD53" s="3">
        <f>(AD46*48*AD58)/AC58</f>
        <v>8.9720824678597919E-2</v>
      </c>
      <c r="AE53" s="3">
        <f>(AF46*48*AD58)/AC58</f>
        <v>9.2615044829520432E-2</v>
      </c>
      <c r="AF53" t="s">
        <v>1955</v>
      </c>
    </row>
    <row r="54" spans="20:33" x14ac:dyDescent="0.35">
      <c r="T54" t="s">
        <v>1956</v>
      </c>
      <c r="AC54" t="s">
        <v>1947</v>
      </c>
      <c r="AD54" s="3">
        <f>Y47+Y48+Y49</f>
        <v>1.952</v>
      </c>
      <c r="AE54" s="3">
        <f>AA47+AA48+AA49</f>
        <v>1.8559999999999999</v>
      </c>
      <c r="AF54" t="s">
        <v>1953</v>
      </c>
    </row>
    <row r="55" spans="20:33" ht="15" thickBot="1" x14ac:dyDescent="0.4">
      <c r="T55" t="s">
        <v>1957</v>
      </c>
      <c r="AC55" t="s">
        <v>1948</v>
      </c>
      <c r="AD55" s="3">
        <f>(Y46*48*AD58)/AC58</f>
        <v>7.6407411984354356E-2</v>
      </c>
      <c r="AE55" s="3">
        <f>(AA46*48*AD58)/AC58</f>
        <v>7.5249723923985351E-2</v>
      </c>
      <c r="AF55" t="s">
        <v>1955</v>
      </c>
    </row>
    <row r="56" spans="20:33" x14ac:dyDescent="0.35">
      <c r="Y56" s="404" t="s">
        <v>820</v>
      </c>
      <c r="Z56" s="405"/>
      <c r="AA56" s="406"/>
    </row>
    <row r="57" spans="20:33" ht="15" thickBot="1" x14ac:dyDescent="0.4">
      <c r="X57" t="s">
        <v>2808</v>
      </c>
      <c r="Y57" s="93" t="s">
        <v>212</v>
      </c>
      <c r="Z57" s="95" t="s">
        <v>343</v>
      </c>
      <c r="AA57" s="96" t="s">
        <v>344</v>
      </c>
      <c r="AC57" t="s">
        <v>1950</v>
      </c>
      <c r="AD57" t="s">
        <v>1951</v>
      </c>
    </row>
    <row r="58" spans="20:33" x14ac:dyDescent="0.35">
      <c r="X58" s="92" t="s">
        <v>827</v>
      </c>
      <c r="Y58" s="396">
        <f>Y44</f>
        <v>2.976</v>
      </c>
      <c r="Z58" s="396">
        <f t="shared" ref="Z58:AA58" si="4">Z44</f>
        <v>3.2320000000000002</v>
      </c>
      <c r="AA58" s="397">
        <f t="shared" si="4"/>
        <v>2.88</v>
      </c>
      <c r="AC58" s="6">
        <f>SUM('Pop M'!I481:AC481)*1000+SUM('Pop F'!I481:AC481)*1000</f>
        <v>100835453</v>
      </c>
      <c r="AD58" s="6">
        <v>38000</v>
      </c>
      <c r="AE58" t="s">
        <v>1952</v>
      </c>
    </row>
    <row r="59" spans="20:33" x14ac:dyDescent="0.35">
      <c r="X59" s="64" t="s">
        <v>836</v>
      </c>
      <c r="Y59" s="398">
        <f>Y48</f>
        <v>1.024</v>
      </c>
      <c r="Z59" s="398">
        <f t="shared" ref="Z59:AA59" si="5">Z48</f>
        <v>1.1839999999999999</v>
      </c>
      <c r="AA59" s="399">
        <f t="shared" si="5"/>
        <v>0.96</v>
      </c>
    </row>
    <row r="60" spans="20:33" ht="15" thickBot="1" x14ac:dyDescent="0.4">
      <c r="X60" s="93" t="s">
        <v>837</v>
      </c>
      <c r="Y60" s="400">
        <f>Y49</f>
        <v>0.51200000000000001</v>
      </c>
      <c r="Z60" s="400">
        <f t="shared" ref="Z60:AA60" si="6">Z49</f>
        <v>0.83199999999999996</v>
      </c>
      <c r="AA60" s="401">
        <f t="shared" si="6"/>
        <v>0.38400000000000001</v>
      </c>
      <c r="AE60" t="s">
        <v>2816</v>
      </c>
      <c r="AF60" t="s">
        <v>2817</v>
      </c>
    </row>
    <row r="61" spans="20:33" ht="15" thickBot="1" x14ac:dyDescent="0.4">
      <c r="X61" s="321" t="s">
        <v>2809</v>
      </c>
      <c r="Y61" s="395">
        <f>SUM(Y58:Y60)</f>
        <v>4.5120000000000005</v>
      </c>
      <c r="Z61" s="395">
        <f>SUM(Z58:Z60)</f>
        <v>5.2480000000000002</v>
      </c>
      <c r="AA61" s="395">
        <f>SUM(AA58:AA60)</f>
        <v>4.2240000000000002</v>
      </c>
      <c r="AD61" t="s">
        <v>2818</v>
      </c>
      <c r="AE61" s="3">
        <f>Y61</f>
        <v>4.5120000000000005</v>
      </c>
      <c r="AF61" s="3">
        <f>AA61</f>
        <v>4.2240000000000002</v>
      </c>
      <c r="AG61" t="s">
        <v>1953</v>
      </c>
    </row>
    <row r="62" spans="20:33" x14ac:dyDescent="0.35">
      <c r="Y62" s="404" t="s">
        <v>820</v>
      </c>
      <c r="Z62" s="405"/>
      <c r="AA62" s="406"/>
    </row>
    <row r="63" spans="20:33" ht="15" thickBot="1" x14ac:dyDescent="0.4">
      <c r="X63" t="s">
        <v>2810</v>
      </c>
      <c r="Y63" s="93" t="s">
        <v>212</v>
      </c>
      <c r="Z63" s="95" t="s">
        <v>343</v>
      </c>
      <c r="AA63" s="96" t="s">
        <v>344</v>
      </c>
      <c r="AD63" t="s">
        <v>2813</v>
      </c>
      <c r="AE63" s="195">
        <f>(Y66*48*AD58)/AC58</f>
        <v>7.6986256014538859E-2</v>
      </c>
      <c r="AF63" s="195">
        <f>(AA66*48*AD58)/AC58</f>
        <v>4.7465210475129221E-2</v>
      </c>
      <c r="AG63" t="s">
        <v>2815</v>
      </c>
    </row>
    <row r="64" spans="20:33" x14ac:dyDescent="0.35">
      <c r="X64" s="92" t="s">
        <v>834</v>
      </c>
      <c r="Y64" s="396">
        <f>Y50</f>
        <v>4.96</v>
      </c>
      <c r="Z64" s="97">
        <f t="shared" ref="Z64:AA64" si="7">Z50</f>
        <v>4.6079999999999997</v>
      </c>
      <c r="AA64" s="318">
        <f t="shared" si="7"/>
        <v>5.12</v>
      </c>
      <c r="AB64" t="s">
        <v>2820</v>
      </c>
      <c r="AE64" s="195"/>
      <c r="AF64" s="195"/>
    </row>
    <row r="65" spans="24:33" x14ac:dyDescent="0.35">
      <c r="X65" s="64" t="str">
        <f>T45</f>
        <v>mapping &amp; mobilization</v>
      </c>
      <c r="Y65" s="398">
        <f>Y45</f>
        <v>0.25600000000000001</v>
      </c>
      <c r="Z65" s="319">
        <f t="shared" ref="Z65:AA65" si="8">Z45</f>
        <v>0.35199999999999998</v>
      </c>
      <c r="AA65" s="320">
        <f t="shared" si="8"/>
        <v>0.224</v>
      </c>
      <c r="AB65" t="s">
        <v>2819</v>
      </c>
      <c r="AD65" t="s">
        <v>2814</v>
      </c>
      <c r="AE65" s="195">
        <f>(Y72*48*AD58)/AC58</f>
        <v>8.3932384376752905E-2</v>
      </c>
      <c r="AF65" s="195">
        <f>(AA72*48*AD58)/AC58</f>
        <v>8.4511228406937408E-2</v>
      </c>
      <c r="AG65" t="s">
        <v>2815</v>
      </c>
    </row>
    <row r="66" spans="24:33" ht="15" thickBot="1" x14ac:dyDescent="0.4">
      <c r="X66" s="93" t="s">
        <v>841</v>
      </c>
      <c r="Y66" s="400">
        <f>Y52</f>
        <v>4.2560000000000002</v>
      </c>
      <c r="Z66" s="95">
        <f t="shared" ref="Z66:AA66" si="9">Z52</f>
        <v>8.7040000000000006</v>
      </c>
      <c r="AA66" s="96">
        <f t="shared" si="9"/>
        <v>2.6240000000000001</v>
      </c>
      <c r="AB66" t="s">
        <v>2819</v>
      </c>
    </row>
    <row r="67" spans="24:33" ht="15" thickBot="1" x14ac:dyDescent="0.4">
      <c r="X67" s="321" t="s">
        <v>2812</v>
      </c>
      <c r="Y67" s="395">
        <f>SUM(Y64:Y66)</f>
        <v>9.4720000000000013</v>
      </c>
      <c r="Z67" s="395">
        <f>SUM(Z64:Z66)</f>
        <v>13.664000000000001</v>
      </c>
      <c r="AA67" s="395">
        <f>SUM(AA64:AA66)</f>
        <v>7.968</v>
      </c>
    </row>
    <row r="68" spans="24:33" x14ac:dyDescent="0.35">
      <c r="Y68" s="404" t="s">
        <v>820</v>
      </c>
      <c r="Z68" s="405"/>
      <c r="AA68" s="406"/>
    </row>
    <row r="69" spans="24:33" ht="15" thickBot="1" x14ac:dyDescent="0.4">
      <c r="X69" t="s">
        <v>2811</v>
      </c>
      <c r="Y69" s="64" t="s">
        <v>212</v>
      </c>
      <c r="Z69" s="319" t="s">
        <v>343</v>
      </c>
      <c r="AA69" s="320" t="s">
        <v>344</v>
      </c>
    </row>
    <row r="70" spans="24:33" x14ac:dyDescent="0.35">
      <c r="X70" s="92" t="s">
        <v>833</v>
      </c>
      <c r="Y70" s="396">
        <f>Y46</f>
        <v>4.2240000000000002</v>
      </c>
      <c r="Z70" s="396">
        <f>Z46</f>
        <v>4.3520000000000003</v>
      </c>
      <c r="AA70" s="397">
        <f>AA46</f>
        <v>4.16</v>
      </c>
    </row>
    <row r="71" spans="24:33" ht="15" thickBot="1" x14ac:dyDescent="0.4">
      <c r="X71" s="402" t="str">
        <f>T47</f>
        <v>commodities + supplies</v>
      </c>
      <c r="Y71" s="400">
        <f>Y47</f>
        <v>0.41599999999999998</v>
      </c>
      <c r="Z71" s="400">
        <f t="shared" ref="Z71:AA71" si="10">Z47</f>
        <v>0.128</v>
      </c>
      <c r="AA71" s="401">
        <f t="shared" si="10"/>
        <v>0.51200000000000001</v>
      </c>
    </row>
    <row r="72" spans="24:33" x14ac:dyDescent="0.3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zoomScale="70" zoomScaleNormal="70" zoomScaleSheetLayoutView="100" workbookViewId="0">
      <selection activeCell="K14" sqref="K14"/>
    </sheetView>
  </sheetViews>
  <sheetFormatPr defaultColWidth="8.7265625" defaultRowHeight="15.5" x14ac:dyDescent="0.35"/>
  <cols>
    <col min="1" max="1" width="11.6328125" style="202" customWidth="1"/>
    <col min="2" max="2" width="12.54296875" style="202" customWidth="1"/>
    <col min="3" max="108" width="17.1796875" style="202" customWidth="1"/>
    <col min="109" max="16384" width="8.7265625" style="202"/>
  </cols>
  <sheetData>
    <row r="1" spans="1:14" s="280" customFormat="1" ht="46.5" x14ac:dyDescent="0.35">
      <c r="B1" s="280" t="s">
        <v>933</v>
      </c>
      <c r="C1" s="280" t="s">
        <v>933</v>
      </c>
      <c r="D1" s="280" t="s">
        <v>1784</v>
      </c>
      <c r="E1" s="280" t="s">
        <v>1782</v>
      </c>
      <c r="F1" s="280" t="s">
        <v>1780</v>
      </c>
      <c r="G1" s="280" t="s">
        <v>1778</v>
      </c>
      <c r="H1" s="280" t="s">
        <v>1776</v>
      </c>
      <c r="I1" s="280" t="s">
        <v>1774</v>
      </c>
      <c r="J1" s="280" t="s">
        <v>1772</v>
      </c>
    </row>
    <row r="2" spans="1:14" x14ac:dyDescent="0.35">
      <c r="A2" s="407" t="s">
        <v>82</v>
      </c>
      <c r="B2" s="202" t="s">
        <v>928</v>
      </c>
      <c r="C2" s="202" t="s">
        <v>1792</v>
      </c>
      <c r="D2" s="202" t="s">
        <v>118</v>
      </c>
      <c r="E2" s="202" t="s">
        <v>118</v>
      </c>
      <c r="F2" s="202" t="s">
        <v>118</v>
      </c>
      <c r="G2" s="202" t="s">
        <v>118</v>
      </c>
      <c r="H2" s="202" t="s">
        <v>118</v>
      </c>
      <c r="I2" s="202" t="s">
        <v>118</v>
      </c>
      <c r="J2" s="202" t="s">
        <v>118</v>
      </c>
    </row>
    <row r="3" spans="1:14" x14ac:dyDescent="0.35">
      <c r="A3" s="407"/>
      <c r="B3" s="202" t="s">
        <v>599</v>
      </c>
      <c r="C3" s="202" t="s">
        <v>1791</v>
      </c>
      <c r="D3" s="203">
        <v>72</v>
      </c>
      <c r="E3" s="203">
        <v>195</v>
      </c>
      <c r="F3" s="203">
        <v>202</v>
      </c>
      <c r="G3" s="203">
        <v>162</v>
      </c>
      <c r="H3" s="203">
        <v>119</v>
      </c>
      <c r="I3" s="203">
        <v>49</v>
      </c>
      <c r="J3" s="203">
        <v>14</v>
      </c>
    </row>
    <row r="4" spans="1:14" x14ac:dyDescent="0.35">
      <c r="A4" s="407"/>
      <c r="B4" s="202" t="s">
        <v>599</v>
      </c>
      <c r="C4" s="202" t="s">
        <v>1790</v>
      </c>
      <c r="D4" s="202">
        <v>80</v>
      </c>
      <c r="E4" s="202">
        <v>200</v>
      </c>
      <c r="F4" s="202">
        <v>214</v>
      </c>
      <c r="G4" s="202">
        <v>190</v>
      </c>
      <c r="H4" s="202">
        <v>138</v>
      </c>
      <c r="I4" s="202">
        <v>69</v>
      </c>
      <c r="J4" s="202">
        <v>22</v>
      </c>
      <c r="M4" s="202" t="s">
        <v>1786</v>
      </c>
      <c r="N4" s="202" t="s">
        <v>1785</v>
      </c>
    </row>
    <row r="5" spans="1:14" x14ac:dyDescent="0.35">
      <c r="A5" s="407"/>
      <c r="B5" s="202" t="s">
        <v>599</v>
      </c>
      <c r="C5" s="202" t="s">
        <v>1789</v>
      </c>
      <c r="D5" s="202">
        <v>79</v>
      </c>
      <c r="E5" s="202">
        <v>206</v>
      </c>
      <c r="F5" s="202">
        <v>237</v>
      </c>
      <c r="G5" s="202">
        <v>194</v>
      </c>
      <c r="H5" s="202">
        <v>147</v>
      </c>
      <c r="I5" s="202">
        <v>69</v>
      </c>
      <c r="J5" s="202">
        <v>28</v>
      </c>
      <c r="M5" s="202" t="s">
        <v>1784</v>
      </c>
      <c r="N5" s="202" t="s">
        <v>1783</v>
      </c>
    </row>
    <row r="6" spans="1:14" x14ac:dyDescent="0.35">
      <c r="A6" s="407"/>
      <c r="B6" s="202" t="s">
        <v>599</v>
      </c>
      <c r="C6" s="202" t="s">
        <v>1788</v>
      </c>
      <c r="D6" s="202">
        <v>104</v>
      </c>
      <c r="E6" s="202">
        <v>228</v>
      </c>
      <c r="F6" s="202">
        <v>241</v>
      </c>
      <c r="G6" s="202">
        <v>231</v>
      </c>
      <c r="H6" s="202">
        <v>160</v>
      </c>
      <c r="I6" s="202">
        <v>84</v>
      </c>
      <c r="J6" s="202">
        <v>34</v>
      </c>
      <c r="M6" s="202" t="s">
        <v>1782</v>
      </c>
      <c r="N6" s="202" t="s">
        <v>1781</v>
      </c>
    </row>
    <row r="7" spans="1:14" x14ac:dyDescent="0.35">
      <c r="A7" s="407"/>
      <c r="B7" s="202" t="s">
        <v>599</v>
      </c>
      <c r="C7" s="202" t="s">
        <v>1787</v>
      </c>
      <c r="D7" s="202">
        <v>100</v>
      </c>
      <c r="E7" s="202">
        <v>235</v>
      </c>
      <c r="F7" s="202">
        <v>251</v>
      </c>
      <c r="G7" s="202">
        <v>243</v>
      </c>
      <c r="H7" s="202">
        <v>168</v>
      </c>
      <c r="I7" s="202">
        <v>89</v>
      </c>
      <c r="J7" s="202">
        <v>19</v>
      </c>
      <c r="M7" s="202" t="s">
        <v>1780</v>
      </c>
      <c r="N7" s="202" t="s">
        <v>1779</v>
      </c>
    </row>
    <row r="8" spans="1:14" x14ac:dyDescent="0.35">
      <c r="A8" s="407"/>
      <c r="M8" s="202" t="s">
        <v>1778</v>
      </c>
      <c r="N8" s="202" t="s">
        <v>1777</v>
      </c>
    </row>
    <row r="9" spans="1:14" x14ac:dyDescent="0.35">
      <c r="A9" s="407"/>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35">
      <c r="A10" s="407"/>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35">
      <c r="A11" s="407"/>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35">
      <c r="A12" s="407"/>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35">
      <c r="A13" s="407"/>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407"/>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407"/>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933</v>
      </c>
      <c r="C16" t="s">
        <v>933</v>
      </c>
    </row>
    <row r="17" spans="1:19" customFormat="1" x14ac:dyDescent="0.35">
      <c r="A17" s="408"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35">
      <c r="A18" s="408"/>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35">
      <c r="A19" s="408"/>
      <c r="B19" t="s">
        <v>599</v>
      </c>
      <c r="C19" t="s">
        <v>1790</v>
      </c>
      <c r="D19">
        <v>20</v>
      </c>
      <c r="E19">
        <v>113</v>
      </c>
      <c r="F19">
        <v>120</v>
      </c>
      <c r="G19">
        <v>112</v>
      </c>
      <c r="H19">
        <v>77</v>
      </c>
      <c r="I19">
        <v>14</v>
      </c>
      <c r="J19">
        <v>0</v>
      </c>
      <c r="K19" s="202"/>
      <c r="L19" s="202"/>
      <c r="M19" s="202"/>
      <c r="O19" s="202"/>
      <c r="P19" s="202"/>
      <c r="R19" s="202"/>
      <c r="S19" s="202"/>
    </row>
    <row r="20" spans="1:19" customFormat="1" x14ac:dyDescent="0.35">
      <c r="A20" s="408"/>
      <c r="B20" t="s">
        <v>599</v>
      </c>
      <c r="C20" t="s">
        <v>1789</v>
      </c>
      <c r="D20">
        <v>27</v>
      </c>
      <c r="E20">
        <v>124</v>
      </c>
      <c r="F20">
        <v>158</v>
      </c>
      <c r="G20">
        <v>100</v>
      </c>
      <c r="H20">
        <v>75</v>
      </c>
      <c r="I20">
        <v>21</v>
      </c>
      <c r="J20">
        <v>22</v>
      </c>
      <c r="K20" s="202"/>
      <c r="L20" s="202"/>
      <c r="M20" s="202"/>
      <c r="O20" s="202"/>
      <c r="P20" s="202"/>
      <c r="R20" s="202"/>
      <c r="S20" s="202"/>
    </row>
    <row r="21" spans="1:19" customFormat="1" x14ac:dyDescent="0.35">
      <c r="A21" s="408"/>
      <c r="B21" t="s">
        <v>599</v>
      </c>
      <c r="C21" t="s">
        <v>1788</v>
      </c>
      <c r="D21">
        <v>35</v>
      </c>
      <c r="E21">
        <v>105</v>
      </c>
      <c r="F21">
        <v>133</v>
      </c>
      <c r="G21">
        <v>101</v>
      </c>
      <c r="H21">
        <v>58</v>
      </c>
      <c r="I21">
        <v>28</v>
      </c>
      <c r="J21">
        <v>14</v>
      </c>
      <c r="K21" s="202"/>
      <c r="L21" s="202"/>
      <c r="M21" s="202"/>
      <c r="O21" s="202"/>
      <c r="P21" s="202"/>
      <c r="R21" s="202"/>
      <c r="S21" s="202"/>
    </row>
    <row r="22" spans="1:19" customFormat="1" x14ac:dyDescent="0.35">
      <c r="A22" s="408"/>
      <c r="B22" t="s">
        <v>599</v>
      </c>
      <c r="C22" t="s">
        <v>1787</v>
      </c>
      <c r="D22">
        <v>50</v>
      </c>
      <c r="E22">
        <v>139</v>
      </c>
      <c r="F22">
        <v>142</v>
      </c>
      <c r="G22">
        <v>155</v>
      </c>
      <c r="H22">
        <v>92</v>
      </c>
      <c r="I22">
        <v>17</v>
      </c>
      <c r="J22">
        <v>5</v>
      </c>
      <c r="K22" s="202"/>
      <c r="L22" s="202"/>
      <c r="M22" s="202"/>
      <c r="O22" s="202"/>
      <c r="P22" s="202"/>
      <c r="R22" s="202"/>
      <c r="S22" s="202"/>
    </row>
    <row r="23" spans="1:19" x14ac:dyDescent="0.35">
      <c r="A23" s="408"/>
      <c r="M23" s="202" t="s">
        <v>1778</v>
      </c>
      <c r="N23" s="202" t="s">
        <v>1777</v>
      </c>
    </row>
    <row r="24" spans="1:19" x14ac:dyDescent="0.35">
      <c r="A24" s="408"/>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35">
      <c r="A25" s="408"/>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35">
      <c r="A26" s="408"/>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35">
      <c r="A27" s="408"/>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35">
      <c r="A28" s="408"/>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408" t="s">
        <v>84</v>
      </c>
      <c r="B32" t="s">
        <v>928</v>
      </c>
      <c r="C32" t="s">
        <v>1792</v>
      </c>
      <c r="D32" t="s">
        <v>84</v>
      </c>
      <c r="E32" t="s">
        <v>84</v>
      </c>
      <c r="F32" t="s">
        <v>84</v>
      </c>
      <c r="G32" t="s">
        <v>84</v>
      </c>
      <c r="H32" t="s">
        <v>84</v>
      </c>
      <c r="I32" t="s">
        <v>84</v>
      </c>
      <c r="J32" t="s">
        <v>84</v>
      </c>
    </row>
    <row r="33" spans="1:14" x14ac:dyDescent="0.35">
      <c r="A33" s="408"/>
      <c r="B33" t="s">
        <v>599</v>
      </c>
      <c r="C33" t="s">
        <v>1791</v>
      </c>
      <c r="D33" s="59">
        <v>83</v>
      </c>
      <c r="E33" s="59">
        <v>219</v>
      </c>
      <c r="F33" s="59">
        <v>225</v>
      </c>
      <c r="G33" s="59">
        <v>175</v>
      </c>
      <c r="H33" s="59">
        <v>123</v>
      </c>
      <c r="I33" s="59">
        <v>54</v>
      </c>
      <c r="J33" s="59">
        <v>19</v>
      </c>
    </row>
    <row r="34" spans="1:14" x14ac:dyDescent="0.35">
      <c r="A34" s="408"/>
      <c r="B34" t="s">
        <v>599</v>
      </c>
      <c r="C34" t="s">
        <v>1790</v>
      </c>
      <c r="D34">
        <v>98</v>
      </c>
      <c r="E34">
        <v>230</v>
      </c>
      <c r="F34">
        <v>243</v>
      </c>
      <c r="G34">
        <v>210</v>
      </c>
      <c r="H34">
        <v>153</v>
      </c>
      <c r="I34">
        <v>80</v>
      </c>
      <c r="J34">
        <v>27</v>
      </c>
    </row>
    <row r="35" spans="1:14" x14ac:dyDescent="0.35">
      <c r="A35" s="408"/>
      <c r="B35" t="s">
        <v>599</v>
      </c>
      <c r="C35" t="s">
        <v>1789</v>
      </c>
      <c r="D35">
        <v>100</v>
      </c>
      <c r="E35">
        <v>235</v>
      </c>
      <c r="F35">
        <v>263</v>
      </c>
      <c r="G35">
        <v>221</v>
      </c>
      <c r="H35">
        <v>167</v>
      </c>
      <c r="I35">
        <v>78</v>
      </c>
      <c r="J35">
        <v>29</v>
      </c>
    </row>
    <row r="36" spans="1:14" x14ac:dyDescent="0.35">
      <c r="A36" s="408"/>
      <c r="B36" t="s">
        <v>599</v>
      </c>
      <c r="C36" t="s">
        <v>1788</v>
      </c>
      <c r="D36">
        <v>122</v>
      </c>
      <c r="E36">
        <v>260</v>
      </c>
      <c r="F36">
        <v>261</v>
      </c>
      <c r="G36">
        <v>253</v>
      </c>
      <c r="H36">
        <v>178</v>
      </c>
      <c r="I36">
        <v>94</v>
      </c>
      <c r="J36">
        <v>38</v>
      </c>
    </row>
    <row r="37" spans="1:14" x14ac:dyDescent="0.35">
      <c r="A37" s="408"/>
      <c r="B37" t="s">
        <v>599</v>
      </c>
      <c r="C37" t="s">
        <v>1787</v>
      </c>
      <c r="D37">
        <v>114</v>
      </c>
      <c r="E37">
        <v>256</v>
      </c>
      <c r="F37">
        <v>278</v>
      </c>
      <c r="G37">
        <v>259</v>
      </c>
      <c r="H37">
        <v>183</v>
      </c>
      <c r="I37">
        <v>99</v>
      </c>
      <c r="J37">
        <v>21</v>
      </c>
    </row>
    <row r="38" spans="1:14" x14ac:dyDescent="0.35">
      <c r="A38" s="408"/>
      <c r="M38" s="202" t="s">
        <v>1778</v>
      </c>
      <c r="N38" s="202" t="s">
        <v>1777</v>
      </c>
    </row>
    <row r="39" spans="1:14" x14ac:dyDescent="0.35">
      <c r="A39" s="408"/>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35">
      <c r="A40" s="408"/>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35">
      <c r="A41" s="408"/>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35">
      <c r="A42" s="408"/>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35">
      <c r="A43" s="408"/>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408"/>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408"/>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928</v>
      </c>
      <c r="B64" t="s">
        <v>1792</v>
      </c>
      <c r="C64" t="s">
        <v>1981</v>
      </c>
      <c r="D64" t="s">
        <v>1784</v>
      </c>
      <c r="E64" t="s">
        <v>1782</v>
      </c>
      <c r="F64" t="s">
        <v>1780</v>
      </c>
      <c r="G64" t="s">
        <v>1778</v>
      </c>
      <c r="H64" t="s">
        <v>1776</v>
      </c>
      <c r="I64" t="s">
        <v>1774</v>
      </c>
      <c r="J64" t="s">
        <v>1772</v>
      </c>
    </row>
    <row r="65" spans="1:10" x14ac:dyDescent="0.35">
      <c r="A65" t="s">
        <v>599</v>
      </c>
      <c r="B65" t="s">
        <v>1791</v>
      </c>
      <c r="C65" t="s">
        <v>118</v>
      </c>
      <c r="D65">
        <v>72</v>
      </c>
      <c r="E65">
        <v>195</v>
      </c>
      <c r="F65">
        <v>202</v>
      </c>
      <c r="G65">
        <v>162</v>
      </c>
      <c r="H65">
        <v>119</v>
      </c>
      <c r="I65">
        <v>49</v>
      </c>
      <c r="J65">
        <v>14</v>
      </c>
    </row>
    <row r="66" spans="1:10" x14ac:dyDescent="0.35">
      <c r="A66" t="s">
        <v>599</v>
      </c>
      <c r="B66" t="s">
        <v>1791</v>
      </c>
      <c r="C66" t="s">
        <v>1982</v>
      </c>
      <c r="D66">
        <v>71</v>
      </c>
      <c r="E66">
        <v>166</v>
      </c>
      <c r="F66">
        <v>168</v>
      </c>
      <c r="G66">
        <v>184</v>
      </c>
      <c r="H66">
        <v>128</v>
      </c>
      <c r="I66">
        <v>70</v>
      </c>
      <c r="J66" t="s">
        <v>933</v>
      </c>
    </row>
    <row r="67" spans="1:10" x14ac:dyDescent="0.35">
      <c r="A67" t="s">
        <v>599</v>
      </c>
      <c r="B67" t="s">
        <v>1791</v>
      </c>
      <c r="C67" t="s">
        <v>1983</v>
      </c>
      <c r="D67">
        <v>204</v>
      </c>
      <c r="E67">
        <v>299</v>
      </c>
      <c r="F67">
        <v>278</v>
      </c>
      <c r="G67">
        <v>149</v>
      </c>
      <c r="H67">
        <v>112</v>
      </c>
      <c r="I67" t="s">
        <v>933</v>
      </c>
      <c r="J67" t="s">
        <v>933</v>
      </c>
    </row>
    <row r="68" spans="1:10" x14ac:dyDescent="0.35">
      <c r="A68" t="s">
        <v>599</v>
      </c>
      <c r="B68" t="s">
        <v>1791</v>
      </c>
      <c r="C68" t="s">
        <v>1984</v>
      </c>
      <c r="D68">
        <v>42</v>
      </c>
      <c r="E68">
        <v>157</v>
      </c>
      <c r="F68">
        <v>195</v>
      </c>
      <c r="G68">
        <v>144</v>
      </c>
      <c r="H68">
        <v>118</v>
      </c>
      <c r="I68">
        <v>46</v>
      </c>
      <c r="J68" t="s">
        <v>933</v>
      </c>
    </row>
    <row r="69" spans="1:10" x14ac:dyDescent="0.35">
      <c r="A69" t="s">
        <v>599</v>
      </c>
      <c r="B69" t="s">
        <v>1791</v>
      </c>
      <c r="C69" t="s">
        <v>1985</v>
      </c>
      <c r="D69">
        <v>89</v>
      </c>
      <c r="E69">
        <v>235</v>
      </c>
      <c r="F69">
        <v>205</v>
      </c>
      <c r="G69">
        <v>163</v>
      </c>
      <c r="H69">
        <v>113</v>
      </c>
      <c r="I69">
        <v>54</v>
      </c>
      <c r="J69" t="s">
        <v>933</v>
      </c>
    </row>
    <row r="70" spans="1:10" x14ac:dyDescent="0.35">
      <c r="A70" t="s">
        <v>599</v>
      </c>
      <c r="B70" t="s">
        <v>1791</v>
      </c>
      <c r="C70" t="s">
        <v>1986</v>
      </c>
      <c r="D70">
        <v>95</v>
      </c>
      <c r="E70">
        <v>264</v>
      </c>
      <c r="F70">
        <v>274</v>
      </c>
      <c r="G70">
        <v>243</v>
      </c>
      <c r="H70">
        <v>194</v>
      </c>
      <c r="I70" t="s">
        <v>933</v>
      </c>
      <c r="J70" t="s">
        <v>933</v>
      </c>
    </row>
    <row r="71" spans="1:10" x14ac:dyDescent="0.35">
      <c r="A71" t="s">
        <v>599</v>
      </c>
      <c r="B71" t="s">
        <v>1791</v>
      </c>
      <c r="C71" t="s">
        <v>1987</v>
      </c>
      <c r="D71">
        <v>73</v>
      </c>
      <c r="E71">
        <v>248</v>
      </c>
      <c r="F71">
        <v>214</v>
      </c>
      <c r="G71">
        <v>169</v>
      </c>
      <c r="H71">
        <v>127</v>
      </c>
      <c r="I71">
        <v>66</v>
      </c>
      <c r="J71" t="s">
        <v>933</v>
      </c>
    </row>
    <row r="72" spans="1:10" x14ac:dyDescent="0.35">
      <c r="A72" t="s">
        <v>599</v>
      </c>
      <c r="B72" t="s">
        <v>1791</v>
      </c>
      <c r="C72" t="s">
        <v>1988</v>
      </c>
      <c r="D72">
        <v>73</v>
      </c>
      <c r="E72">
        <v>181</v>
      </c>
      <c r="F72">
        <v>214</v>
      </c>
      <c r="G72">
        <v>161</v>
      </c>
      <c r="H72">
        <v>130</v>
      </c>
      <c r="I72">
        <v>38</v>
      </c>
      <c r="J72" t="s">
        <v>933</v>
      </c>
    </row>
    <row r="73" spans="1:10" x14ac:dyDescent="0.35">
      <c r="A73" t="s">
        <v>599</v>
      </c>
      <c r="B73" t="s">
        <v>1791</v>
      </c>
      <c r="C73" t="s">
        <v>1989</v>
      </c>
      <c r="D73">
        <v>124</v>
      </c>
      <c r="E73">
        <v>161</v>
      </c>
      <c r="F73">
        <v>175</v>
      </c>
      <c r="G73">
        <v>135</v>
      </c>
      <c r="H73">
        <v>64</v>
      </c>
      <c r="I73" t="s">
        <v>933</v>
      </c>
      <c r="J73" t="s">
        <v>933</v>
      </c>
    </row>
    <row r="74" spans="1:10" x14ac:dyDescent="0.35">
      <c r="A74" t="s">
        <v>599</v>
      </c>
      <c r="B74" t="s">
        <v>1791</v>
      </c>
      <c r="C74" t="s">
        <v>1990</v>
      </c>
      <c r="D74">
        <v>78</v>
      </c>
      <c r="E74">
        <v>164</v>
      </c>
      <c r="F74">
        <v>208</v>
      </c>
      <c r="G74">
        <v>164</v>
      </c>
      <c r="H74">
        <v>72</v>
      </c>
      <c r="I74" t="s">
        <v>933</v>
      </c>
      <c r="J74" t="s">
        <v>933</v>
      </c>
    </row>
    <row r="75" spans="1:10" x14ac:dyDescent="0.35">
      <c r="A75" t="s">
        <v>599</v>
      </c>
      <c r="B75" t="s">
        <v>1791</v>
      </c>
      <c r="C75" t="s">
        <v>1991</v>
      </c>
      <c r="D75">
        <v>14</v>
      </c>
      <c r="E75">
        <v>100</v>
      </c>
      <c r="F75">
        <v>129</v>
      </c>
      <c r="G75">
        <v>113</v>
      </c>
      <c r="H75">
        <v>76</v>
      </c>
      <c r="I75" t="s">
        <v>933</v>
      </c>
      <c r="J75" t="s">
        <v>933</v>
      </c>
    </row>
    <row r="76" spans="1:10" x14ac:dyDescent="0.35">
      <c r="A76" t="s">
        <v>599</v>
      </c>
      <c r="B76" t="s">
        <v>1791</v>
      </c>
      <c r="C76" t="s">
        <v>1992</v>
      </c>
      <c r="D76">
        <v>69</v>
      </c>
      <c r="E76">
        <v>142</v>
      </c>
      <c r="F76">
        <v>170</v>
      </c>
      <c r="G76">
        <v>151</v>
      </c>
      <c r="H76">
        <v>64</v>
      </c>
      <c r="I76">
        <v>23</v>
      </c>
      <c r="J76" t="s">
        <v>933</v>
      </c>
    </row>
    <row r="77" spans="1:10" x14ac:dyDescent="0.35">
      <c r="A77" t="s">
        <v>599</v>
      </c>
      <c r="B77" t="s">
        <v>1790</v>
      </c>
      <c r="C77" t="s">
        <v>118</v>
      </c>
      <c r="D77">
        <v>80</v>
      </c>
      <c r="E77">
        <v>200</v>
      </c>
      <c r="F77">
        <v>214</v>
      </c>
      <c r="G77">
        <v>190</v>
      </c>
      <c r="H77">
        <v>138</v>
      </c>
      <c r="I77">
        <v>69</v>
      </c>
      <c r="J77">
        <v>22</v>
      </c>
    </row>
    <row r="78" spans="1:10" x14ac:dyDescent="0.35">
      <c r="A78" t="s">
        <v>599</v>
      </c>
      <c r="B78" t="s">
        <v>1790</v>
      </c>
      <c r="C78" t="s">
        <v>1982</v>
      </c>
      <c r="D78">
        <v>81</v>
      </c>
      <c r="E78">
        <v>182</v>
      </c>
      <c r="F78">
        <v>219</v>
      </c>
      <c r="G78">
        <v>207</v>
      </c>
      <c r="H78">
        <v>162</v>
      </c>
      <c r="I78">
        <v>82</v>
      </c>
      <c r="J78">
        <v>4</v>
      </c>
    </row>
    <row r="79" spans="1:10" x14ac:dyDescent="0.35">
      <c r="A79" t="s">
        <v>599</v>
      </c>
      <c r="B79" t="s">
        <v>1790</v>
      </c>
      <c r="C79" t="s">
        <v>1983</v>
      </c>
      <c r="D79">
        <v>150</v>
      </c>
      <c r="E79">
        <v>278</v>
      </c>
      <c r="F79">
        <v>245</v>
      </c>
      <c r="G79">
        <v>189</v>
      </c>
      <c r="H79">
        <v>136</v>
      </c>
      <c r="I79">
        <v>82</v>
      </c>
      <c r="J79">
        <v>20</v>
      </c>
    </row>
    <row r="80" spans="1:10" x14ac:dyDescent="0.35">
      <c r="A80" t="s">
        <v>599</v>
      </c>
      <c r="B80" t="s">
        <v>1790</v>
      </c>
      <c r="C80" t="s">
        <v>1984</v>
      </c>
      <c r="D80">
        <v>51</v>
      </c>
      <c r="E80">
        <v>155</v>
      </c>
      <c r="F80">
        <v>142</v>
      </c>
      <c r="G80">
        <v>160</v>
      </c>
      <c r="H80">
        <v>121</v>
      </c>
      <c r="I80">
        <v>89</v>
      </c>
      <c r="J80">
        <v>27</v>
      </c>
    </row>
    <row r="81" spans="1:10" x14ac:dyDescent="0.35">
      <c r="A81" t="s">
        <v>599</v>
      </c>
      <c r="B81" t="s">
        <v>1790</v>
      </c>
      <c r="C81" t="s">
        <v>1985</v>
      </c>
      <c r="D81">
        <v>112</v>
      </c>
      <c r="E81">
        <v>254</v>
      </c>
      <c r="F81">
        <v>260</v>
      </c>
      <c r="G81">
        <v>213</v>
      </c>
      <c r="H81">
        <v>154</v>
      </c>
      <c r="I81">
        <v>57</v>
      </c>
      <c r="J81">
        <v>25</v>
      </c>
    </row>
    <row r="82" spans="1:10" x14ac:dyDescent="0.35">
      <c r="A82" t="s">
        <v>599</v>
      </c>
      <c r="B82" t="s">
        <v>1790</v>
      </c>
      <c r="C82" t="s">
        <v>1986</v>
      </c>
      <c r="D82">
        <v>130</v>
      </c>
      <c r="E82">
        <v>320</v>
      </c>
      <c r="F82">
        <v>373</v>
      </c>
      <c r="G82">
        <v>320</v>
      </c>
      <c r="H82">
        <v>189</v>
      </c>
      <c r="I82">
        <v>85</v>
      </c>
      <c r="J82" t="s">
        <v>933</v>
      </c>
    </row>
    <row r="83" spans="1:10" x14ac:dyDescent="0.35">
      <c r="A83" t="s">
        <v>599</v>
      </c>
      <c r="B83" t="s">
        <v>1790</v>
      </c>
      <c r="C83" t="s">
        <v>1987</v>
      </c>
      <c r="D83">
        <v>93</v>
      </c>
      <c r="E83">
        <v>214</v>
      </c>
      <c r="F83">
        <v>215</v>
      </c>
      <c r="G83">
        <v>182</v>
      </c>
      <c r="H83">
        <v>118</v>
      </c>
      <c r="I83">
        <v>53</v>
      </c>
      <c r="J83" t="s">
        <v>933</v>
      </c>
    </row>
    <row r="84" spans="1:10" x14ac:dyDescent="0.35">
      <c r="A84" t="s">
        <v>599</v>
      </c>
      <c r="B84" t="s">
        <v>1790</v>
      </c>
      <c r="C84" t="s">
        <v>1988</v>
      </c>
      <c r="D84">
        <v>58</v>
      </c>
      <c r="E84">
        <v>185</v>
      </c>
      <c r="F84">
        <v>220</v>
      </c>
      <c r="G84">
        <v>189</v>
      </c>
      <c r="H84">
        <v>138</v>
      </c>
      <c r="I84">
        <v>68</v>
      </c>
      <c r="J84">
        <v>27</v>
      </c>
    </row>
    <row r="85" spans="1:10" x14ac:dyDescent="0.35">
      <c r="A85" t="s">
        <v>599</v>
      </c>
      <c r="B85" t="s">
        <v>1790</v>
      </c>
      <c r="C85" t="s">
        <v>1989</v>
      </c>
      <c r="D85">
        <v>98</v>
      </c>
      <c r="E85">
        <v>159</v>
      </c>
      <c r="F85">
        <v>196</v>
      </c>
      <c r="G85">
        <v>130</v>
      </c>
      <c r="H85">
        <v>96</v>
      </c>
      <c r="I85">
        <v>13</v>
      </c>
      <c r="J85" t="s">
        <v>933</v>
      </c>
    </row>
    <row r="86" spans="1:10" x14ac:dyDescent="0.35">
      <c r="A86" t="s">
        <v>599</v>
      </c>
      <c r="B86" t="s">
        <v>1790</v>
      </c>
      <c r="C86" t="s">
        <v>1990</v>
      </c>
      <c r="D86">
        <v>102</v>
      </c>
      <c r="E86">
        <v>220</v>
      </c>
      <c r="F86">
        <v>194</v>
      </c>
      <c r="G86">
        <v>185</v>
      </c>
      <c r="H86">
        <v>69</v>
      </c>
      <c r="I86">
        <v>41</v>
      </c>
      <c r="J86" t="s">
        <v>933</v>
      </c>
    </row>
    <row r="87" spans="1:10" x14ac:dyDescent="0.35">
      <c r="A87" t="s">
        <v>599</v>
      </c>
      <c r="B87" t="s">
        <v>1790</v>
      </c>
      <c r="C87" t="s">
        <v>1991</v>
      </c>
      <c r="D87">
        <v>16</v>
      </c>
      <c r="E87">
        <v>66</v>
      </c>
      <c r="F87">
        <v>114</v>
      </c>
      <c r="G87">
        <v>98</v>
      </c>
      <c r="H87">
        <v>57</v>
      </c>
      <c r="I87">
        <v>13</v>
      </c>
      <c r="J87">
        <v>0</v>
      </c>
    </row>
    <row r="88" spans="1:10" x14ac:dyDescent="0.35">
      <c r="A88" t="s">
        <v>599</v>
      </c>
      <c r="B88" t="s">
        <v>1790</v>
      </c>
      <c r="C88" t="s">
        <v>1992</v>
      </c>
      <c r="D88">
        <v>62</v>
      </c>
      <c r="E88">
        <v>184</v>
      </c>
      <c r="F88">
        <v>166</v>
      </c>
      <c r="G88">
        <v>108</v>
      </c>
      <c r="H88">
        <v>90</v>
      </c>
      <c r="I88">
        <v>9</v>
      </c>
      <c r="J88" t="s">
        <v>933</v>
      </c>
    </row>
    <row r="89" spans="1:10" x14ac:dyDescent="0.35">
      <c r="A89" t="s">
        <v>599</v>
      </c>
      <c r="B89" t="s">
        <v>1789</v>
      </c>
      <c r="C89" t="s">
        <v>118</v>
      </c>
      <c r="D89">
        <v>79</v>
      </c>
      <c r="E89">
        <v>206</v>
      </c>
      <c r="F89">
        <v>237</v>
      </c>
      <c r="G89">
        <v>194</v>
      </c>
      <c r="H89">
        <v>147</v>
      </c>
      <c r="I89">
        <v>69</v>
      </c>
      <c r="J89">
        <v>28</v>
      </c>
    </row>
    <row r="90" spans="1:10" x14ac:dyDescent="0.35">
      <c r="A90" t="s">
        <v>599</v>
      </c>
      <c r="B90" t="s">
        <v>1789</v>
      </c>
      <c r="C90" t="s">
        <v>1982</v>
      </c>
      <c r="D90">
        <v>80</v>
      </c>
      <c r="E90">
        <v>172</v>
      </c>
      <c r="F90">
        <v>231</v>
      </c>
      <c r="G90">
        <v>226</v>
      </c>
      <c r="H90">
        <v>153</v>
      </c>
      <c r="I90">
        <v>43</v>
      </c>
      <c r="J90">
        <v>8</v>
      </c>
    </row>
    <row r="91" spans="1:10" x14ac:dyDescent="0.35">
      <c r="A91" t="s">
        <v>599</v>
      </c>
      <c r="B91" t="s">
        <v>1789</v>
      </c>
      <c r="C91" t="s">
        <v>1983</v>
      </c>
      <c r="D91">
        <v>107</v>
      </c>
      <c r="E91">
        <v>238</v>
      </c>
      <c r="F91">
        <v>241</v>
      </c>
      <c r="G91">
        <v>182</v>
      </c>
      <c r="H91">
        <v>144</v>
      </c>
      <c r="I91">
        <v>44</v>
      </c>
      <c r="J91" t="s">
        <v>933</v>
      </c>
    </row>
    <row r="92" spans="1:10" x14ac:dyDescent="0.35">
      <c r="A92" t="s">
        <v>599</v>
      </c>
      <c r="B92" t="s">
        <v>1789</v>
      </c>
      <c r="C92" t="s">
        <v>1984</v>
      </c>
      <c r="D92">
        <v>61</v>
      </c>
      <c r="E92">
        <v>204</v>
      </c>
      <c r="F92">
        <v>186</v>
      </c>
      <c r="G92">
        <v>154</v>
      </c>
      <c r="H92">
        <v>137</v>
      </c>
      <c r="I92">
        <v>68</v>
      </c>
      <c r="J92">
        <v>20</v>
      </c>
    </row>
    <row r="93" spans="1:10" x14ac:dyDescent="0.35">
      <c r="A93" t="s">
        <v>599</v>
      </c>
      <c r="B93" t="s">
        <v>1789</v>
      </c>
      <c r="C93" t="s">
        <v>1985</v>
      </c>
      <c r="D93">
        <v>107</v>
      </c>
      <c r="E93">
        <v>241</v>
      </c>
      <c r="F93">
        <v>286</v>
      </c>
      <c r="G93">
        <v>221</v>
      </c>
      <c r="H93">
        <v>160</v>
      </c>
      <c r="I93">
        <v>75</v>
      </c>
      <c r="J93">
        <v>37</v>
      </c>
    </row>
    <row r="94" spans="1:10" x14ac:dyDescent="0.35">
      <c r="A94" t="s">
        <v>599</v>
      </c>
      <c r="B94" t="s">
        <v>1789</v>
      </c>
      <c r="C94" t="s">
        <v>1986</v>
      </c>
      <c r="D94">
        <v>117</v>
      </c>
      <c r="E94">
        <v>301</v>
      </c>
      <c r="F94">
        <v>320</v>
      </c>
      <c r="G94">
        <v>302</v>
      </c>
      <c r="H94">
        <v>192</v>
      </c>
      <c r="I94">
        <v>146</v>
      </c>
      <c r="J94" t="s">
        <v>933</v>
      </c>
    </row>
    <row r="95" spans="1:10" x14ac:dyDescent="0.35">
      <c r="A95" t="s">
        <v>599</v>
      </c>
      <c r="B95" t="s">
        <v>1789</v>
      </c>
      <c r="C95" t="s">
        <v>1987</v>
      </c>
      <c r="D95">
        <v>141</v>
      </c>
      <c r="E95">
        <v>225</v>
      </c>
      <c r="F95">
        <v>230</v>
      </c>
      <c r="G95">
        <v>219</v>
      </c>
      <c r="H95">
        <v>128</v>
      </c>
      <c r="I95">
        <v>73</v>
      </c>
      <c r="J95">
        <v>22</v>
      </c>
    </row>
    <row r="96" spans="1:10" x14ac:dyDescent="0.35">
      <c r="A96" t="s">
        <v>599</v>
      </c>
      <c r="B96" t="s">
        <v>1789</v>
      </c>
      <c r="C96" t="s">
        <v>1988</v>
      </c>
      <c r="D96">
        <v>65</v>
      </c>
      <c r="E96">
        <v>178</v>
      </c>
      <c r="F96">
        <v>249</v>
      </c>
      <c r="G96">
        <v>210</v>
      </c>
      <c r="H96">
        <v>160</v>
      </c>
      <c r="I96">
        <v>75</v>
      </c>
      <c r="J96">
        <v>39</v>
      </c>
    </row>
    <row r="97" spans="1:10" x14ac:dyDescent="0.35">
      <c r="A97" t="s">
        <v>599</v>
      </c>
      <c r="B97" t="s">
        <v>1789</v>
      </c>
      <c r="C97" t="s">
        <v>1989</v>
      </c>
      <c r="D97">
        <v>77</v>
      </c>
      <c r="E97">
        <v>139</v>
      </c>
      <c r="F97">
        <v>177</v>
      </c>
      <c r="G97">
        <v>165</v>
      </c>
      <c r="H97">
        <v>144</v>
      </c>
      <c r="I97">
        <v>46</v>
      </c>
      <c r="J97">
        <v>42</v>
      </c>
    </row>
    <row r="98" spans="1:10" x14ac:dyDescent="0.35">
      <c r="A98" t="s">
        <v>599</v>
      </c>
      <c r="B98" t="s">
        <v>1789</v>
      </c>
      <c r="C98" t="s">
        <v>1990</v>
      </c>
      <c r="D98">
        <v>112</v>
      </c>
      <c r="E98">
        <v>172</v>
      </c>
      <c r="F98">
        <v>197</v>
      </c>
      <c r="G98">
        <v>154</v>
      </c>
      <c r="H98">
        <v>71</v>
      </c>
      <c r="I98">
        <v>57</v>
      </c>
      <c r="J98" t="s">
        <v>933</v>
      </c>
    </row>
    <row r="99" spans="1:10" x14ac:dyDescent="0.35">
      <c r="A99" t="s">
        <v>599</v>
      </c>
      <c r="B99" t="s">
        <v>1789</v>
      </c>
      <c r="C99" t="s">
        <v>1991</v>
      </c>
      <c r="D99">
        <v>15</v>
      </c>
      <c r="E99">
        <v>88</v>
      </c>
      <c r="F99">
        <v>92</v>
      </c>
      <c r="G99">
        <v>68</v>
      </c>
      <c r="H99">
        <v>34</v>
      </c>
      <c r="I99">
        <v>4</v>
      </c>
      <c r="J99">
        <v>0</v>
      </c>
    </row>
    <row r="100" spans="1:10" x14ac:dyDescent="0.35">
      <c r="A100" t="s">
        <v>599</v>
      </c>
      <c r="B100" t="s">
        <v>1789</v>
      </c>
      <c r="C100" t="s">
        <v>1992</v>
      </c>
      <c r="D100">
        <v>51</v>
      </c>
      <c r="E100">
        <v>165</v>
      </c>
      <c r="F100">
        <v>159</v>
      </c>
      <c r="G100">
        <v>183</v>
      </c>
      <c r="H100">
        <v>101</v>
      </c>
      <c r="I100">
        <v>12</v>
      </c>
      <c r="J100" t="s">
        <v>933</v>
      </c>
    </row>
    <row r="101" spans="1:10" x14ac:dyDescent="0.35">
      <c r="A101" t="s">
        <v>599</v>
      </c>
      <c r="B101" t="s">
        <v>1788</v>
      </c>
      <c r="C101" t="s">
        <v>118</v>
      </c>
      <c r="D101">
        <v>104</v>
      </c>
      <c r="E101">
        <v>228</v>
      </c>
      <c r="F101">
        <v>241</v>
      </c>
      <c r="G101">
        <v>231</v>
      </c>
      <c r="H101">
        <v>160</v>
      </c>
      <c r="I101">
        <v>84</v>
      </c>
      <c r="J101">
        <v>34</v>
      </c>
    </row>
    <row r="102" spans="1:10" x14ac:dyDescent="0.35">
      <c r="A102" t="s">
        <v>599</v>
      </c>
      <c r="B102" t="s">
        <v>1788</v>
      </c>
      <c r="C102" t="s">
        <v>1982</v>
      </c>
      <c r="D102">
        <v>104</v>
      </c>
      <c r="E102">
        <v>236</v>
      </c>
      <c r="F102">
        <v>219</v>
      </c>
      <c r="G102">
        <v>184</v>
      </c>
      <c r="H102">
        <v>150</v>
      </c>
      <c r="I102">
        <v>106</v>
      </c>
      <c r="J102">
        <v>26</v>
      </c>
    </row>
    <row r="103" spans="1:10" x14ac:dyDescent="0.35">
      <c r="A103" t="s">
        <v>599</v>
      </c>
      <c r="B103" t="s">
        <v>1788</v>
      </c>
      <c r="C103" t="s">
        <v>1983</v>
      </c>
      <c r="D103">
        <v>113</v>
      </c>
      <c r="E103">
        <v>238</v>
      </c>
      <c r="F103">
        <v>198</v>
      </c>
      <c r="G103">
        <v>194</v>
      </c>
      <c r="H103">
        <v>128</v>
      </c>
      <c r="I103">
        <v>67</v>
      </c>
      <c r="J103" t="s">
        <v>933</v>
      </c>
    </row>
    <row r="104" spans="1:10" x14ac:dyDescent="0.35">
      <c r="A104" t="s">
        <v>599</v>
      </c>
      <c r="B104" t="s">
        <v>1788</v>
      </c>
      <c r="C104" t="s">
        <v>1984</v>
      </c>
      <c r="D104">
        <v>102</v>
      </c>
      <c r="E104">
        <v>229</v>
      </c>
      <c r="F104">
        <v>229</v>
      </c>
      <c r="G104">
        <v>207</v>
      </c>
      <c r="H104">
        <v>142</v>
      </c>
      <c r="I104">
        <v>63</v>
      </c>
      <c r="J104">
        <v>45</v>
      </c>
    </row>
    <row r="105" spans="1:10" x14ac:dyDescent="0.35">
      <c r="A105" t="s">
        <v>599</v>
      </c>
      <c r="B105" t="s">
        <v>1788</v>
      </c>
      <c r="C105" t="s">
        <v>1985</v>
      </c>
      <c r="D105">
        <v>132</v>
      </c>
      <c r="E105">
        <v>251</v>
      </c>
      <c r="F105">
        <v>270</v>
      </c>
      <c r="G105">
        <v>260</v>
      </c>
      <c r="H105">
        <v>193</v>
      </c>
      <c r="I105">
        <v>108</v>
      </c>
      <c r="J105">
        <v>22</v>
      </c>
    </row>
    <row r="106" spans="1:10" x14ac:dyDescent="0.35">
      <c r="A106" t="s">
        <v>599</v>
      </c>
      <c r="B106" t="s">
        <v>1788</v>
      </c>
      <c r="C106" t="s">
        <v>1986</v>
      </c>
      <c r="D106">
        <v>135</v>
      </c>
      <c r="E106">
        <v>308</v>
      </c>
      <c r="F106">
        <v>247</v>
      </c>
      <c r="G106">
        <v>209</v>
      </c>
      <c r="H106">
        <v>177</v>
      </c>
      <c r="I106" t="s">
        <v>933</v>
      </c>
      <c r="J106" t="s">
        <v>933</v>
      </c>
    </row>
    <row r="107" spans="1:10" x14ac:dyDescent="0.35">
      <c r="A107" t="s">
        <v>599</v>
      </c>
      <c r="B107" t="s">
        <v>1788</v>
      </c>
      <c r="C107" t="s">
        <v>1987</v>
      </c>
      <c r="D107">
        <v>123</v>
      </c>
      <c r="E107">
        <v>271</v>
      </c>
      <c r="F107">
        <v>275</v>
      </c>
      <c r="G107">
        <v>178</v>
      </c>
      <c r="H107">
        <v>111</v>
      </c>
      <c r="I107">
        <v>44</v>
      </c>
      <c r="J107" t="s">
        <v>933</v>
      </c>
    </row>
    <row r="108" spans="1:10" x14ac:dyDescent="0.35">
      <c r="A108" t="s">
        <v>599</v>
      </c>
      <c r="B108" t="s">
        <v>1788</v>
      </c>
      <c r="C108" t="s">
        <v>1988</v>
      </c>
      <c r="D108">
        <v>78</v>
      </c>
      <c r="E108">
        <v>226</v>
      </c>
      <c r="F108">
        <v>253</v>
      </c>
      <c r="G108">
        <v>267</v>
      </c>
      <c r="H108">
        <v>163</v>
      </c>
      <c r="I108">
        <v>93</v>
      </c>
      <c r="J108">
        <v>48</v>
      </c>
    </row>
    <row r="109" spans="1:10" x14ac:dyDescent="0.35">
      <c r="A109" t="s">
        <v>599</v>
      </c>
      <c r="B109" t="s">
        <v>1788</v>
      </c>
      <c r="C109" t="s">
        <v>1989</v>
      </c>
      <c r="D109">
        <v>130</v>
      </c>
      <c r="E109">
        <v>203</v>
      </c>
      <c r="F109">
        <v>153</v>
      </c>
      <c r="G109">
        <v>135</v>
      </c>
      <c r="H109">
        <v>96</v>
      </c>
      <c r="I109">
        <v>19</v>
      </c>
      <c r="J109" t="s">
        <v>933</v>
      </c>
    </row>
    <row r="110" spans="1:10" x14ac:dyDescent="0.35">
      <c r="A110" t="s">
        <v>599</v>
      </c>
      <c r="B110" t="s">
        <v>1788</v>
      </c>
      <c r="C110" t="s">
        <v>1990</v>
      </c>
      <c r="D110">
        <v>89</v>
      </c>
      <c r="E110">
        <v>189</v>
      </c>
      <c r="F110">
        <v>190</v>
      </c>
      <c r="G110">
        <v>147</v>
      </c>
      <c r="H110">
        <v>110</v>
      </c>
      <c r="I110">
        <v>30</v>
      </c>
      <c r="J110" t="s">
        <v>933</v>
      </c>
    </row>
    <row r="111" spans="1:10" x14ac:dyDescent="0.35">
      <c r="A111" t="s">
        <v>599</v>
      </c>
      <c r="B111" t="s">
        <v>1788</v>
      </c>
      <c r="C111" t="s">
        <v>1991</v>
      </c>
      <c r="D111">
        <v>17</v>
      </c>
      <c r="E111">
        <v>59</v>
      </c>
      <c r="F111">
        <v>81</v>
      </c>
      <c r="G111">
        <v>75</v>
      </c>
      <c r="H111">
        <v>26</v>
      </c>
      <c r="I111">
        <v>17</v>
      </c>
      <c r="J111">
        <v>0</v>
      </c>
    </row>
    <row r="112" spans="1:10" x14ac:dyDescent="0.35">
      <c r="A112" t="s">
        <v>599</v>
      </c>
      <c r="B112" t="s">
        <v>1788</v>
      </c>
      <c r="C112" t="s">
        <v>1992</v>
      </c>
      <c r="D112">
        <v>57</v>
      </c>
      <c r="E112">
        <v>211</v>
      </c>
      <c r="F112">
        <v>150</v>
      </c>
      <c r="G112">
        <v>172</v>
      </c>
      <c r="H112">
        <v>104</v>
      </c>
      <c r="I112">
        <v>20</v>
      </c>
      <c r="J112" t="s">
        <v>933</v>
      </c>
    </row>
    <row r="113" spans="1:10" x14ac:dyDescent="0.35">
      <c r="A113" t="s">
        <v>599</v>
      </c>
      <c r="B113" t="s">
        <v>1787</v>
      </c>
      <c r="C113" t="s">
        <v>118</v>
      </c>
      <c r="D113">
        <v>100</v>
      </c>
      <c r="E113">
        <v>235</v>
      </c>
      <c r="F113">
        <v>251</v>
      </c>
      <c r="G113">
        <v>243</v>
      </c>
      <c r="H113">
        <v>168</v>
      </c>
      <c r="I113">
        <v>89</v>
      </c>
      <c r="J113">
        <v>19</v>
      </c>
    </row>
    <row r="114" spans="1:10" x14ac:dyDescent="0.35">
      <c r="A114" t="s">
        <v>599</v>
      </c>
      <c r="B114" t="s">
        <v>1787</v>
      </c>
      <c r="C114" t="s">
        <v>1982</v>
      </c>
      <c r="D114">
        <v>99</v>
      </c>
      <c r="E114">
        <v>213</v>
      </c>
      <c r="F114">
        <v>234</v>
      </c>
      <c r="G114">
        <v>238</v>
      </c>
      <c r="H114">
        <v>183</v>
      </c>
      <c r="I114">
        <v>84</v>
      </c>
      <c r="J114">
        <v>19</v>
      </c>
    </row>
    <row r="115" spans="1:10" x14ac:dyDescent="0.35">
      <c r="A115" t="s">
        <v>599</v>
      </c>
      <c r="B115" t="s">
        <v>1787</v>
      </c>
      <c r="C115" t="s">
        <v>1983</v>
      </c>
      <c r="D115">
        <v>133</v>
      </c>
      <c r="E115">
        <v>229</v>
      </c>
      <c r="F115">
        <v>198</v>
      </c>
      <c r="G115">
        <v>171</v>
      </c>
      <c r="H115">
        <v>96</v>
      </c>
      <c r="I115">
        <v>51</v>
      </c>
      <c r="J115">
        <v>5</v>
      </c>
    </row>
    <row r="116" spans="1:10" x14ac:dyDescent="0.35">
      <c r="A116" t="s">
        <v>599</v>
      </c>
      <c r="B116" t="s">
        <v>1787</v>
      </c>
      <c r="C116" t="s">
        <v>1984</v>
      </c>
      <c r="D116">
        <v>143</v>
      </c>
      <c r="E116">
        <v>235</v>
      </c>
      <c r="F116">
        <v>230</v>
      </c>
      <c r="G116">
        <v>226</v>
      </c>
      <c r="H116">
        <v>153</v>
      </c>
      <c r="I116">
        <v>105</v>
      </c>
      <c r="J116">
        <v>12</v>
      </c>
    </row>
    <row r="117" spans="1:10" x14ac:dyDescent="0.35">
      <c r="A117" t="s">
        <v>599</v>
      </c>
      <c r="B117" t="s">
        <v>1787</v>
      </c>
      <c r="C117" t="s">
        <v>1985</v>
      </c>
      <c r="D117">
        <v>104</v>
      </c>
      <c r="E117">
        <v>263</v>
      </c>
      <c r="F117">
        <v>280</v>
      </c>
      <c r="G117">
        <v>275</v>
      </c>
      <c r="H117">
        <v>191</v>
      </c>
      <c r="I117">
        <v>83</v>
      </c>
      <c r="J117">
        <v>16</v>
      </c>
    </row>
    <row r="118" spans="1:10" x14ac:dyDescent="0.35">
      <c r="A118" t="s">
        <v>599</v>
      </c>
      <c r="B118" t="s">
        <v>1787</v>
      </c>
      <c r="C118" t="s">
        <v>1986</v>
      </c>
      <c r="D118">
        <v>128</v>
      </c>
      <c r="E118">
        <v>242</v>
      </c>
      <c r="F118">
        <v>239</v>
      </c>
      <c r="G118">
        <v>184</v>
      </c>
      <c r="H118">
        <v>124</v>
      </c>
      <c r="I118">
        <v>97</v>
      </c>
      <c r="J118" t="s">
        <v>933</v>
      </c>
    </row>
    <row r="119" spans="1:10" x14ac:dyDescent="0.35">
      <c r="A119" t="s">
        <v>599</v>
      </c>
      <c r="B119" t="s">
        <v>1787</v>
      </c>
      <c r="C119" t="s">
        <v>1987</v>
      </c>
      <c r="D119">
        <v>110</v>
      </c>
      <c r="E119">
        <v>248</v>
      </c>
      <c r="F119">
        <v>222</v>
      </c>
      <c r="G119">
        <v>188</v>
      </c>
      <c r="H119">
        <v>163</v>
      </c>
      <c r="I119">
        <v>74</v>
      </c>
      <c r="J119" t="s">
        <v>933</v>
      </c>
    </row>
    <row r="120" spans="1:10" x14ac:dyDescent="0.35">
      <c r="A120" t="s">
        <v>599</v>
      </c>
      <c r="B120" t="s">
        <v>1787</v>
      </c>
      <c r="C120" t="s">
        <v>1988</v>
      </c>
      <c r="D120">
        <v>60</v>
      </c>
      <c r="E120">
        <v>226</v>
      </c>
      <c r="F120">
        <v>265</v>
      </c>
      <c r="G120">
        <v>250</v>
      </c>
      <c r="H120">
        <v>178</v>
      </c>
      <c r="I120">
        <v>95</v>
      </c>
      <c r="J120">
        <v>38</v>
      </c>
    </row>
    <row r="121" spans="1:10" x14ac:dyDescent="0.35">
      <c r="A121" t="s">
        <v>599</v>
      </c>
      <c r="B121" t="s">
        <v>1787</v>
      </c>
      <c r="C121" t="s">
        <v>1989</v>
      </c>
      <c r="D121">
        <v>96</v>
      </c>
      <c r="E121">
        <v>212</v>
      </c>
      <c r="F121">
        <v>213</v>
      </c>
      <c r="G121">
        <v>175</v>
      </c>
      <c r="H121">
        <v>130</v>
      </c>
      <c r="I121">
        <v>35</v>
      </c>
      <c r="J121" t="s">
        <v>933</v>
      </c>
    </row>
    <row r="122" spans="1:10" x14ac:dyDescent="0.35">
      <c r="A122" t="s">
        <v>599</v>
      </c>
      <c r="B122" t="s">
        <v>1787</v>
      </c>
      <c r="C122" t="s">
        <v>1990</v>
      </c>
      <c r="D122">
        <v>86</v>
      </c>
      <c r="E122">
        <v>178</v>
      </c>
      <c r="F122">
        <v>189</v>
      </c>
      <c r="G122">
        <v>185</v>
      </c>
      <c r="H122">
        <v>152</v>
      </c>
      <c r="I122">
        <v>37</v>
      </c>
      <c r="J122">
        <v>14</v>
      </c>
    </row>
    <row r="123" spans="1:10" x14ac:dyDescent="0.35">
      <c r="A123" t="s">
        <v>599</v>
      </c>
      <c r="B123" t="s">
        <v>1787</v>
      </c>
      <c r="C123" t="s">
        <v>1991</v>
      </c>
      <c r="D123">
        <v>22</v>
      </c>
      <c r="E123">
        <v>78</v>
      </c>
      <c r="F123">
        <v>124</v>
      </c>
      <c r="G123">
        <v>93</v>
      </c>
      <c r="H123">
        <v>45</v>
      </c>
      <c r="I123">
        <v>3</v>
      </c>
      <c r="J123">
        <v>4</v>
      </c>
    </row>
    <row r="124" spans="1:10" x14ac:dyDescent="0.3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ColWidth="8.7265625" defaultRowHeight="14.5" x14ac:dyDescent="0.35"/>
  <cols>
    <col min="1" max="1" width="13.6328125" style="265" customWidth="1"/>
    <col min="2" max="5" width="13.632812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409" t="s">
        <v>2059</v>
      </c>
      <c r="B2" s="410"/>
      <c r="C2" s="410"/>
      <c r="D2" s="410"/>
      <c r="E2" s="410"/>
      <c r="F2" s="410"/>
      <c r="G2" s="410"/>
      <c r="H2" s="410"/>
      <c r="I2" s="410"/>
      <c r="J2" s="411"/>
      <c r="K2" s="409" t="s">
        <v>2060</v>
      </c>
      <c r="L2" s="410"/>
      <c r="M2" s="410"/>
      <c r="N2" s="410"/>
      <c r="O2" s="410"/>
      <c r="P2" s="411"/>
      <c r="Q2" s="409" t="s">
        <v>2061</v>
      </c>
      <c r="R2" s="410"/>
      <c r="S2" s="410"/>
      <c r="T2" s="410"/>
      <c r="U2" s="410"/>
      <c r="V2" s="410"/>
      <c r="W2" s="410"/>
      <c r="X2" s="410"/>
      <c r="Y2" s="410"/>
      <c r="Z2" s="411"/>
      <c r="AA2" s="409" t="s">
        <v>2062</v>
      </c>
      <c r="AB2" s="410"/>
      <c r="AC2" s="410"/>
      <c r="AD2" s="410"/>
      <c r="AE2" s="410"/>
      <c r="AF2" s="410"/>
      <c r="AG2" s="410"/>
      <c r="AH2" s="410"/>
      <c r="AI2" s="410"/>
      <c r="AJ2" s="411"/>
    </row>
    <row r="4" spans="1:36" x14ac:dyDescent="0.35">
      <c r="A4" s="265" t="s">
        <v>933</v>
      </c>
      <c r="B4" s="266" t="s">
        <v>933</v>
      </c>
      <c r="C4" s="266" t="s">
        <v>2027</v>
      </c>
      <c r="D4" s="266" t="s">
        <v>933</v>
      </c>
      <c r="E4" s="266" t="s">
        <v>933</v>
      </c>
      <c r="F4" s="266" t="s">
        <v>933</v>
      </c>
      <c r="G4" s="266" t="s">
        <v>933</v>
      </c>
      <c r="H4" s="266" t="s">
        <v>933</v>
      </c>
      <c r="I4" s="266" t="s">
        <v>933</v>
      </c>
    </row>
    <row r="5" spans="1:36" x14ac:dyDescent="0.35">
      <c r="A5" s="265" t="s">
        <v>933</v>
      </c>
      <c r="B5" s="266" t="s">
        <v>933</v>
      </c>
      <c r="C5" s="266" t="s">
        <v>933</v>
      </c>
      <c r="D5" s="266" t="s">
        <v>933</v>
      </c>
      <c r="E5" s="266" t="s">
        <v>933</v>
      </c>
      <c r="F5" s="266" t="s">
        <v>933</v>
      </c>
      <c r="G5" s="266" t="s">
        <v>933</v>
      </c>
      <c r="H5" s="266" t="s">
        <v>933</v>
      </c>
      <c r="I5" s="266" t="s">
        <v>933</v>
      </c>
    </row>
    <row r="6" spans="1:36" x14ac:dyDescent="0.35">
      <c r="A6" s="265" t="s">
        <v>933</v>
      </c>
      <c r="B6" s="266" t="s">
        <v>933</v>
      </c>
      <c r="C6" s="266" t="s">
        <v>2028</v>
      </c>
      <c r="D6" s="266" t="s">
        <v>933</v>
      </c>
      <c r="E6" s="266" t="s">
        <v>933</v>
      </c>
      <c r="F6" s="266" t="s">
        <v>933</v>
      </c>
      <c r="G6" s="266" t="s">
        <v>933</v>
      </c>
      <c r="H6" s="266" t="s">
        <v>933</v>
      </c>
      <c r="I6" s="266" t="s">
        <v>933</v>
      </c>
    </row>
    <row r="7" spans="1:36" x14ac:dyDescent="0.3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3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2027</v>
      </c>
      <c r="B13" s="266" t="s">
        <v>2026</v>
      </c>
    </row>
    <row r="14" spans="1:36" x14ac:dyDescent="0.35">
      <c r="A14" s="265" t="s">
        <v>2025</v>
      </c>
    </row>
    <row r="16" spans="1:36" x14ac:dyDescent="0.35">
      <c r="A16" s="265" t="s">
        <v>933</v>
      </c>
      <c r="B16" s="266" t="s">
        <v>933</v>
      </c>
      <c r="C16" s="266" t="s">
        <v>2030</v>
      </c>
      <c r="D16" s="266" t="s">
        <v>933</v>
      </c>
      <c r="E16" s="266" t="s">
        <v>933</v>
      </c>
      <c r="F16" s="266" t="s">
        <v>933</v>
      </c>
      <c r="G16" s="266" t="s">
        <v>933</v>
      </c>
      <c r="H16" s="266" t="s">
        <v>933</v>
      </c>
      <c r="I16" s="266" t="s">
        <v>933</v>
      </c>
    </row>
    <row r="17" spans="1:35" x14ac:dyDescent="0.35">
      <c r="A17" s="265" t="s">
        <v>933</v>
      </c>
      <c r="B17" s="266" t="s">
        <v>933</v>
      </c>
      <c r="C17" s="266" t="s">
        <v>933</v>
      </c>
      <c r="D17" s="266" t="s">
        <v>933</v>
      </c>
      <c r="E17" s="266" t="s">
        <v>933</v>
      </c>
      <c r="F17" s="266" t="s">
        <v>933</v>
      </c>
      <c r="G17" s="266" t="s">
        <v>933</v>
      </c>
      <c r="H17" s="266" t="s">
        <v>933</v>
      </c>
      <c r="I17" s="266" t="s">
        <v>933</v>
      </c>
    </row>
    <row r="18" spans="1:35" x14ac:dyDescent="0.35">
      <c r="A18" s="265" t="s">
        <v>933</v>
      </c>
      <c r="B18" s="266" t="s">
        <v>933</v>
      </c>
      <c r="C18" s="266" t="s">
        <v>2028</v>
      </c>
      <c r="D18" s="266" t="s">
        <v>933</v>
      </c>
      <c r="E18" s="266" t="s">
        <v>933</v>
      </c>
      <c r="F18" s="266" t="s">
        <v>933</v>
      </c>
      <c r="G18" s="266" t="s">
        <v>933</v>
      </c>
      <c r="H18" s="266" t="s">
        <v>933</v>
      </c>
      <c r="I18" s="266" t="s">
        <v>933</v>
      </c>
    </row>
    <row r="19" spans="1:35" x14ac:dyDescent="0.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2030</v>
      </c>
      <c r="B25" s="266" t="s">
        <v>2029</v>
      </c>
    </row>
    <row r="26" spans="1:35" x14ac:dyDescent="0.35">
      <c r="A26" s="265" t="s">
        <v>2025</v>
      </c>
    </row>
    <row r="28" spans="1:35" x14ac:dyDescent="0.35">
      <c r="A28" s="265" t="s">
        <v>933</v>
      </c>
      <c r="B28" s="266" t="s">
        <v>933</v>
      </c>
      <c r="C28" s="266" t="s">
        <v>2007</v>
      </c>
      <c r="D28" s="266" t="s">
        <v>933</v>
      </c>
      <c r="E28" s="266" t="s">
        <v>933</v>
      </c>
      <c r="L28" s="266" t="s">
        <v>933</v>
      </c>
      <c r="M28" s="266" t="s">
        <v>2057</v>
      </c>
    </row>
    <row r="29" spans="1:35" x14ac:dyDescent="0.35">
      <c r="A29" s="265" t="s">
        <v>933</v>
      </c>
      <c r="B29" s="266" t="s">
        <v>933</v>
      </c>
      <c r="C29" s="266" t="s">
        <v>2008</v>
      </c>
      <c r="D29" s="266" t="s">
        <v>933</v>
      </c>
      <c r="E29" s="266" t="s">
        <v>933</v>
      </c>
      <c r="L29" s="266" t="s">
        <v>933</v>
      </c>
      <c r="M29" s="266" t="s">
        <v>2008</v>
      </c>
    </row>
    <row r="30" spans="1:35" x14ac:dyDescent="0.35">
      <c r="A30" s="265" t="s">
        <v>933</v>
      </c>
      <c r="B30" s="266" t="s">
        <v>933</v>
      </c>
      <c r="C30" s="266" t="s">
        <v>933</v>
      </c>
      <c r="D30" s="266" t="s">
        <v>2009</v>
      </c>
      <c r="E30" s="266" t="s">
        <v>933</v>
      </c>
      <c r="L30" s="266" t="s">
        <v>933</v>
      </c>
      <c r="M30" s="266" t="s">
        <v>933</v>
      </c>
      <c r="N30" s="266" t="s">
        <v>2009</v>
      </c>
      <c r="O30" s="266" t="s">
        <v>933</v>
      </c>
    </row>
    <row r="31" spans="1:35" x14ac:dyDescent="0.35">
      <c r="A31" s="265" t="s">
        <v>928</v>
      </c>
      <c r="B31" s="266" t="s">
        <v>1792</v>
      </c>
      <c r="C31" s="266" t="s">
        <v>118</v>
      </c>
      <c r="D31" s="266" t="s">
        <v>341</v>
      </c>
      <c r="E31" s="266" t="s">
        <v>84</v>
      </c>
      <c r="L31" s="266" t="s">
        <v>1792</v>
      </c>
      <c r="M31" s="266" t="s">
        <v>118</v>
      </c>
      <c r="N31" s="266" t="s">
        <v>341</v>
      </c>
      <c r="O31" s="266" t="s">
        <v>84</v>
      </c>
    </row>
    <row r="32" spans="1:35" x14ac:dyDescent="0.35">
      <c r="A32" s="265" t="s">
        <v>599</v>
      </c>
      <c r="B32" s="266" t="s">
        <v>1791</v>
      </c>
      <c r="C32" s="266" t="s">
        <v>2010</v>
      </c>
      <c r="D32" s="266" t="s">
        <v>2011</v>
      </c>
      <c r="E32" s="266" t="s">
        <v>2012</v>
      </c>
      <c r="L32" s="266" t="s">
        <v>1791</v>
      </c>
      <c r="M32" s="266">
        <v>59</v>
      </c>
      <c r="N32" s="266">
        <v>46</v>
      </c>
      <c r="O32" s="266">
        <v>64</v>
      </c>
    </row>
    <row r="33" spans="1:31" x14ac:dyDescent="0.35">
      <c r="A33" s="265" t="s">
        <v>599</v>
      </c>
      <c r="B33" s="266" t="s">
        <v>1790</v>
      </c>
      <c r="C33" s="266" t="s">
        <v>2013</v>
      </c>
      <c r="D33" s="266" t="s">
        <v>2014</v>
      </c>
      <c r="E33" s="266" t="s">
        <v>2015</v>
      </c>
      <c r="L33" s="266" t="s">
        <v>1790</v>
      </c>
      <c r="M33" s="266">
        <v>67</v>
      </c>
      <c r="N33" s="266">
        <v>49</v>
      </c>
      <c r="O33" s="266">
        <v>69</v>
      </c>
    </row>
    <row r="34" spans="1:31" x14ac:dyDescent="0.35">
      <c r="A34" s="265" t="s">
        <v>599</v>
      </c>
      <c r="B34" s="266" t="s">
        <v>1789</v>
      </c>
      <c r="C34" s="266" t="s">
        <v>2016</v>
      </c>
      <c r="D34" s="266" t="s">
        <v>2017</v>
      </c>
      <c r="E34" s="266" t="s">
        <v>2018</v>
      </c>
      <c r="L34" s="266" t="s">
        <v>1789</v>
      </c>
      <c r="M34" s="266">
        <v>88</v>
      </c>
      <c r="N34" s="266">
        <v>69</v>
      </c>
      <c r="O34" s="266">
        <v>91</v>
      </c>
    </row>
    <row r="35" spans="1:31" x14ac:dyDescent="0.35">
      <c r="A35" s="265" t="s">
        <v>599</v>
      </c>
      <c r="B35" s="266" t="s">
        <v>1788</v>
      </c>
      <c r="C35" s="266" t="s">
        <v>2019</v>
      </c>
      <c r="D35" s="266" t="s">
        <v>2020</v>
      </c>
      <c r="E35" s="266" t="s">
        <v>2021</v>
      </c>
      <c r="L35" s="266" t="s">
        <v>1788</v>
      </c>
      <c r="M35" s="266">
        <v>123</v>
      </c>
      <c r="N35" s="266">
        <v>94</v>
      </c>
      <c r="O35" s="266">
        <v>126</v>
      </c>
    </row>
    <row r="36" spans="1:31" x14ac:dyDescent="0.35">
      <c r="A36" s="265" t="s">
        <v>599</v>
      </c>
      <c r="B36" s="266" t="s">
        <v>1787</v>
      </c>
      <c r="C36" s="266" t="s">
        <v>2022</v>
      </c>
      <c r="D36" s="266" t="s">
        <v>2023</v>
      </c>
      <c r="E36" s="266" t="s">
        <v>2024</v>
      </c>
      <c r="L36" s="266" t="s">
        <v>1787</v>
      </c>
      <c r="M36" s="266">
        <v>166</v>
      </c>
      <c r="N36" s="266">
        <v>135</v>
      </c>
      <c r="O36" s="266">
        <v>170</v>
      </c>
    </row>
    <row r="38" spans="1:31" x14ac:dyDescent="0.35">
      <c r="A38" s="265" t="s">
        <v>2007</v>
      </c>
      <c r="B38" s="266" t="s">
        <v>2031</v>
      </c>
      <c r="L38" s="266" t="s">
        <v>2031</v>
      </c>
    </row>
    <row r="39" spans="1:31" x14ac:dyDescent="0.35">
      <c r="A39" s="265" t="s">
        <v>2025</v>
      </c>
    </row>
    <row r="41" spans="1:31" x14ac:dyDescent="0.35">
      <c r="A41" s="265" t="s">
        <v>933</v>
      </c>
      <c r="B41" s="266" t="s">
        <v>933</v>
      </c>
      <c r="C41" s="266" t="s">
        <v>2033</v>
      </c>
      <c r="D41" s="266" t="s">
        <v>933</v>
      </c>
      <c r="E41" s="266" t="s">
        <v>933</v>
      </c>
      <c r="L41" s="266" t="s">
        <v>933</v>
      </c>
      <c r="M41" s="266" t="s">
        <v>2056</v>
      </c>
    </row>
    <row r="42" spans="1:31" x14ac:dyDescent="0.35">
      <c r="A42" s="265" t="s">
        <v>933</v>
      </c>
      <c r="B42" s="266" t="s">
        <v>933</v>
      </c>
      <c r="C42" s="266" t="s">
        <v>2008</v>
      </c>
      <c r="D42" s="266" t="s">
        <v>933</v>
      </c>
      <c r="E42" s="266" t="s">
        <v>933</v>
      </c>
      <c r="L42" s="266" t="s">
        <v>933</v>
      </c>
      <c r="M42" s="266" t="s">
        <v>2008</v>
      </c>
    </row>
    <row r="43" spans="1:31" x14ac:dyDescent="0.35">
      <c r="A43" s="265" t="s">
        <v>933</v>
      </c>
      <c r="B43" s="266" t="s">
        <v>933</v>
      </c>
      <c r="C43" s="266" t="s">
        <v>933</v>
      </c>
      <c r="D43" s="266" t="s">
        <v>2009</v>
      </c>
      <c r="E43" s="266" t="s">
        <v>933</v>
      </c>
      <c r="L43" s="266" t="s">
        <v>933</v>
      </c>
      <c r="M43" s="266" t="s">
        <v>933</v>
      </c>
      <c r="N43" s="266" t="s">
        <v>2009</v>
      </c>
      <c r="O43" s="266" t="s">
        <v>933</v>
      </c>
    </row>
    <row r="44" spans="1:31" x14ac:dyDescent="0.3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3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3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3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3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3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2033</v>
      </c>
      <c r="B51" s="266" t="s">
        <v>2032</v>
      </c>
      <c r="L51" s="266" t="s">
        <v>2032</v>
      </c>
    </row>
    <row r="52" spans="1:31" x14ac:dyDescent="0.35">
      <c r="A52" s="265" t="s">
        <v>2025</v>
      </c>
    </row>
    <row r="53" spans="1:31" x14ac:dyDescent="0.35">
      <c r="M53" s="266" t="s">
        <v>2058</v>
      </c>
      <c r="S53" s="266" t="s">
        <v>2058</v>
      </c>
      <c r="AC53" s="105" t="s">
        <v>2058</v>
      </c>
    </row>
    <row r="54" spans="1:31" hidden="1" x14ac:dyDescent="0.35">
      <c r="A54" s="265" t="s">
        <v>933</v>
      </c>
      <c r="B54" s="266" t="s">
        <v>933</v>
      </c>
      <c r="C54" s="266" t="s">
        <v>2048</v>
      </c>
    </row>
    <row r="55" spans="1:31" hidden="1" x14ac:dyDescent="0.35">
      <c r="A55" s="265" t="s">
        <v>933</v>
      </c>
      <c r="B55" s="266" t="s">
        <v>933</v>
      </c>
      <c r="C55" s="266" t="s">
        <v>933</v>
      </c>
    </row>
    <row r="56" spans="1:31" hidden="1" x14ac:dyDescent="0.35">
      <c r="A56" s="265" t="s">
        <v>933</v>
      </c>
      <c r="B56" s="266" t="s">
        <v>933</v>
      </c>
      <c r="C56" s="266" t="s">
        <v>2054</v>
      </c>
    </row>
    <row r="57" spans="1:31" hidden="1" x14ac:dyDescent="0.35">
      <c r="A57" s="265" t="s">
        <v>928</v>
      </c>
      <c r="B57" s="266" t="s">
        <v>1792</v>
      </c>
      <c r="C57" s="266" t="s">
        <v>986</v>
      </c>
    </row>
    <row r="58" spans="1:31" hidden="1" x14ac:dyDescent="0.35">
      <c r="A58" s="265" t="s">
        <v>599</v>
      </c>
      <c r="B58" s="266" t="s">
        <v>1791</v>
      </c>
      <c r="C58" s="266" t="s">
        <v>2053</v>
      </c>
      <c r="D58" s="268" t="s">
        <v>2055</v>
      </c>
      <c r="N58" s="268"/>
      <c r="T58" s="268"/>
      <c r="AD58" s="270"/>
    </row>
    <row r="59" spans="1:31" hidden="1" x14ac:dyDescent="0.35">
      <c r="A59" s="265" t="s">
        <v>599</v>
      </c>
      <c r="B59" s="266" t="s">
        <v>1790</v>
      </c>
      <c r="C59" s="266" t="s">
        <v>2052</v>
      </c>
    </row>
    <row r="60" spans="1:31" hidden="1" x14ac:dyDescent="0.35">
      <c r="A60" s="265" t="s">
        <v>599</v>
      </c>
      <c r="B60" s="266" t="s">
        <v>1789</v>
      </c>
      <c r="C60" s="266" t="s">
        <v>2051</v>
      </c>
    </row>
    <row r="61" spans="1:31" hidden="1" x14ac:dyDescent="0.35">
      <c r="A61" s="265" t="s">
        <v>599</v>
      </c>
      <c r="B61" s="266" t="s">
        <v>1788</v>
      </c>
      <c r="C61" s="266" t="s">
        <v>2050</v>
      </c>
    </row>
    <row r="62" spans="1:31" hidden="1" x14ac:dyDescent="0.35">
      <c r="A62" s="265" t="s">
        <v>599</v>
      </c>
      <c r="B62" s="266" t="s">
        <v>1787</v>
      </c>
      <c r="C62" s="266" t="s">
        <v>2049</v>
      </c>
    </row>
    <row r="63" spans="1:31" hidden="1" x14ac:dyDescent="0.35"/>
    <row r="64" spans="1:31" hidden="1" x14ac:dyDescent="0.35">
      <c r="A64" s="265" t="s">
        <v>2048</v>
      </c>
      <c r="B64" s="266" t="s">
        <v>2047</v>
      </c>
    </row>
    <row r="65" spans="1:31" hidden="1" x14ac:dyDescent="0.35">
      <c r="A65" s="265" t="s">
        <v>2025</v>
      </c>
    </row>
    <row r="66" spans="1:31" hidden="1" x14ac:dyDescent="0.35"/>
    <row r="67" spans="1:31" x14ac:dyDescent="0.3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3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3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3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3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3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4.5" x14ac:dyDescent="0.35"/>
  <cols>
    <col min="1" max="1" width="25.54296875" bestFit="1" customWidth="1"/>
    <col min="2" max="2" width="14.54296875" customWidth="1"/>
    <col min="6" max="6" width="9.453125" customWidth="1"/>
  </cols>
  <sheetData>
    <row r="1" spans="1:6" x14ac:dyDescent="0.35">
      <c r="B1" t="s">
        <v>2100</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2101</v>
      </c>
      <c r="B8" s="125">
        <f>B7</f>
        <v>1.7002298850574711</v>
      </c>
      <c r="C8" t="s">
        <v>2103</v>
      </c>
    </row>
    <row r="9" spans="1:6" x14ac:dyDescent="0.35">
      <c r="A9" t="s">
        <v>2102</v>
      </c>
      <c r="B9" s="125">
        <f>B7</f>
        <v>1.7002298850574711</v>
      </c>
      <c r="C9" t="s">
        <v>2103</v>
      </c>
    </row>
    <row r="11" spans="1:6" x14ac:dyDescent="0.35">
      <c r="A11" t="s">
        <v>2099</v>
      </c>
      <c r="B11" s="273">
        <f>('mort adult f'!I275-'mort 15-19'!I275-'mort 20-24'!I275*3)/(60-34)</f>
        <v>5.5488316166847662</v>
      </c>
    </row>
    <row r="12" spans="1:6" x14ac:dyDescent="0.35">
      <c r="A12" t="s">
        <v>2115</v>
      </c>
      <c r="B12" s="273">
        <f>('mort adult m'!I275-'mort 15-19'!I275-'mort 20-24'!I275*3)/(60-34)</f>
        <v>7.5538925782127171</v>
      </c>
    </row>
    <row r="13" spans="1:6" x14ac:dyDescent="0.35">
      <c r="B13" s="273"/>
    </row>
    <row r="14" spans="1:6" x14ac:dyDescent="0.35">
      <c r="B14" s="273"/>
      <c r="C14" t="s">
        <v>2105</v>
      </c>
      <c r="D14" t="s">
        <v>2106</v>
      </c>
      <c r="E14" t="s">
        <v>2107</v>
      </c>
    </row>
    <row r="15" spans="1:6" x14ac:dyDescent="0.35">
      <c r="A15" s="293" t="s">
        <v>2098</v>
      </c>
      <c r="B15" s="301">
        <f>B11/(E16*D16+(1-D16))</f>
        <v>4.6410387643786963</v>
      </c>
      <c r="C15" s="124">
        <f>SUM(TotalPop!C37:C51)/1000</f>
        <v>7728.7793200000006</v>
      </c>
      <c r="F15" s="3"/>
    </row>
    <row r="16" spans="1:6" x14ac:dyDescent="0.35">
      <c r="A16" s="293" t="s">
        <v>2110</v>
      </c>
      <c r="B16" s="301">
        <f>B15*E16</f>
        <v>7.8897658994437831</v>
      </c>
      <c r="C16" s="299">
        <f>SUM(TotalPop!C52:C61)/1000</f>
        <v>2997.1497600000007</v>
      </c>
      <c r="D16">
        <f>1-C15/SUM(C15:C16)</f>
        <v>0.27943031672553265</v>
      </c>
      <c r="E16" s="3">
        <f>AA66</f>
        <v>1.7</v>
      </c>
    </row>
    <row r="17" spans="1:63" x14ac:dyDescent="0.35">
      <c r="A17" s="293" t="s">
        <v>2094</v>
      </c>
      <c r="B17" s="301">
        <f>E17*B16</f>
        <v>22.091344518442593</v>
      </c>
      <c r="C17" s="124"/>
      <c r="E17" s="3">
        <f>AE66</f>
        <v>2.8</v>
      </c>
    </row>
    <row r="18" spans="1:63" x14ac:dyDescent="0.35">
      <c r="A18" s="293" t="s">
        <v>2095</v>
      </c>
      <c r="B18" s="301">
        <f>B17*E18</f>
        <v>243.00478970286852</v>
      </c>
      <c r="E18">
        <f>AH66</f>
        <v>11</v>
      </c>
    </row>
    <row r="19" spans="1:63" x14ac:dyDescent="0.35">
      <c r="B19" s="273"/>
    </row>
    <row r="20" spans="1:63" x14ac:dyDescent="0.35">
      <c r="B20" s="273"/>
      <c r="C20" t="s">
        <v>2105</v>
      </c>
      <c r="D20" t="s">
        <v>2106</v>
      </c>
      <c r="E20" t="s">
        <v>2107</v>
      </c>
    </row>
    <row r="21" spans="1:63" x14ac:dyDescent="0.35">
      <c r="A21" s="293" t="s">
        <v>2116</v>
      </c>
      <c r="B21" s="301">
        <f>B12/(E22*D22+(1-D22))</f>
        <v>6.3527026636382198</v>
      </c>
      <c r="C21" s="124">
        <f>SUM(TotalPop!B37:B51)/1000</f>
        <v>7628.1322</v>
      </c>
    </row>
    <row r="22" spans="1:63" x14ac:dyDescent="0.35">
      <c r="A22" s="293" t="s">
        <v>2117</v>
      </c>
      <c r="B22" s="301">
        <f>B21*E22</f>
        <v>12.070135060912618</v>
      </c>
      <c r="C22" s="299">
        <f>SUM(TotalPop!B58:B67)/1000</f>
        <v>2028.8625999999999</v>
      </c>
      <c r="D22">
        <f>1-C21/SUM(C21:C22)</f>
        <v>0.21009254348982365</v>
      </c>
      <c r="E22" s="3">
        <f>AV66</f>
        <v>1.9</v>
      </c>
    </row>
    <row r="23" spans="1:63" x14ac:dyDescent="0.35">
      <c r="A23" s="293" t="s">
        <v>2092</v>
      </c>
      <c r="B23" s="301">
        <f>E23*B22</f>
        <v>31.382351158372806</v>
      </c>
      <c r="C23" s="124"/>
      <c r="E23" s="3">
        <f>AZ66</f>
        <v>2.6</v>
      </c>
    </row>
    <row r="24" spans="1:63" x14ac:dyDescent="0.35">
      <c r="A24" s="293" t="s">
        <v>2093</v>
      </c>
      <c r="B24" s="301">
        <f>B23*E24</f>
        <v>273.02645507784337</v>
      </c>
      <c r="E24" s="3">
        <f>BC66</f>
        <v>8.6999999999999993</v>
      </c>
    </row>
    <row r="28" spans="1:63" x14ac:dyDescent="0.3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2104</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08984375" bestFit="1" customWidth="1"/>
    <col min="11" max="11" width="14.6328125" bestFit="1" customWidth="1"/>
  </cols>
  <sheetData>
    <row r="2" spans="2:2" x14ac:dyDescent="0.35">
      <c r="B2" t="s">
        <v>1960</v>
      </c>
    </row>
    <row r="20" spans="2:12" x14ac:dyDescent="0.35">
      <c r="K20" s="6">
        <f>SUM(total_pop)</f>
        <v>115103531.71799999</v>
      </c>
      <c r="L20" t="s">
        <v>1961</v>
      </c>
    </row>
    <row r="21" spans="2:12" x14ac:dyDescent="0.35">
      <c r="K21" s="6">
        <v>39878</v>
      </c>
      <c r="L21" t="s">
        <v>1962</v>
      </c>
    </row>
    <row r="22" spans="2:12" x14ac:dyDescent="0.35">
      <c r="K22" s="47">
        <f>K20/K21</f>
        <v>2886.3917879031042</v>
      </c>
      <c r="L22" t="s">
        <v>1963</v>
      </c>
    </row>
    <row r="28" spans="2:12" x14ac:dyDescent="0.35">
      <c r="B28" t="s">
        <v>1964</v>
      </c>
    </row>
    <row r="30" spans="2:12" x14ac:dyDescent="0.35">
      <c r="I30" s="6">
        <f>10000/4.9</f>
        <v>2040.8163265306121</v>
      </c>
      <c r="J30" t="s">
        <v>1965</v>
      </c>
    </row>
    <row r="59" spans="2:12" x14ac:dyDescent="0.35">
      <c r="B59" t="s">
        <v>1966</v>
      </c>
    </row>
    <row r="61" spans="2:12" x14ac:dyDescent="0.35">
      <c r="L61" t="s">
        <v>1967</v>
      </c>
    </row>
    <row r="74" spans="2:2" x14ac:dyDescent="0.35">
      <c r="B74" t="s">
        <v>1968</v>
      </c>
    </row>
    <row r="102" spans="11:11" x14ac:dyDescent="0.35">
      <c r="K102" t="s">
        <v>1969</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08984375" customWidth="1"/>
  </cols>
  <sheetData>
    <row r="1" spans="1:37" x14ac:dyDescent="0.3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35">
      <c r="A2" s="79" t="s">
        <v>152</v>
      </c>
      <c r="B2" s="412" t="s">
        <v>440</v>
      </c>
      <c r="C2" s="413"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35">
      <c r="A3" s="79" t="s">
        <v>157</v>
      </c>
      <c r="B3" s="412"/>
      <c r="C3" s="413"/>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35">
      <c r="A4" s="79" t="s">
        <v>159</v>
      </c>
      <c r="B4" s="412"/>
      <c r="C4" s="413"/>
      <c r="D4" s="79" t="s">
        <v>295</v>
      </c>
      <c r="E4" s="79" t="s">
        <v>442</v>
      </c>
      <c r="F4" s="79" t="s">
        <v>448</v>
      </c>
      <c r="G4" s="208" t="s">
        <v>194</v>
      </c>
      <c r="L4" s="222"/>
    </row>
    <row r="5" spans="1:37" x14ac:dyDescent="0.35">
      <c r="A5" s="79" t="s">
        <v>162</v>
      </c>
      <c r="B5" s="412"/>
      <c r="C5" s="413"/>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35">
      <c r="A6" s="79" t="s">
        <v>164</v>
      </c>
      <c r="B6" s="412"/>
      <c r="C6" s="413"/>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35">
      <c r="A7" s="79" t="s">
        <v>166</v>
      </c>
      <c r="B7" s="412"/>
      <c r="C7" s="413"/>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35">
      <c r="A8" s="79" t="s">
        <v>170</v>
      </c>
      <c r="B8" s="412"/>
      <c r="C8" s="413"/>
      <c r="D8" s="159" t="s">
        <v>456</v>
      </c>
      <c r="E8" s="79" t="s">
        <v>453</v>
      </c>
      <c r="F8" s="79" t="s">
        <v>454</v>
      </c>
      <c r="G8" s="208" t="s">
        <v>455</v>
      </c>
      <c r="I8" s="224">
        <v>1</v>
      </c>
      <c r="J8" s="235">
        <f t="shared" si="0"/>
        <v>2.3E-2</v>
      </c>
      <c r="K8" s="194">
        <f>'DALYs '!B177*I8</f>
        <v>2.3E-2</v>
      </c>
      <c r="L8" s="194">
        <f>K8/(2*5/60)</f>
        <v>0.13800000000000001</v>
      </c>
    </row>
    <row r="9" spans="1:37" x14ac:dyDescent="0.35">
      <c r="A9" s="79" t="s">
        <v>172</v>
      </c>
      <c r="B9" s="412"/>
      <c r="C9" s="413"/>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35">
      <c r="A10" s="79" t="s">
        <v>248</v>
      </c>
      <c r="B10" s="412"/>
      <c r="C10" s="413"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35">
      <c r="A11" s="79" t="s">
        <v>256</v>
      </c>
      <c r="B11" s="412"/>
      <c r="C11" s="413"/>
      <c r="D11" s="159" t="s">
        <v>461</v>
      </c>
      <c r="E11" s="79" t="s">
        <v>462</v>
      </c>
      <c r="F11" s="80" t="s">
        <v>463</v>
      </c>
      <c r="G11" s="208" t="s">
        <v>455</v>
      </c>
      <c r="I11" s="242"/>
      <c r="J11" s="244"/>
      <c r="K11" s="244"/>
      <c r="L11" s="244"/>
    </row>
    <row r="12" spans="1:37" x14ac:dyDescent="0.35">
      <c r="A12" s="79" t="s">
        <v>259</v>
      </c>
      <c r="B12" s="412"/>
      <c r="C12" s="413"/>
      <c r="D12" s="159" t="s">
        <v>260</v>
      </c>
      <c r="E12" s="79" t="s">
        <v>462</v>
      </c>
      <c r="F12" s="79" t="s">
        <v>463</v>
      </c>
      <c r="G12" s="208" t="s">
        <v>455</v>
      </c>
      <c r="I12" s="242"/>
      <c r="J12" s="244"/>
      <c r="K12" s="244"/>
      <c r="L12" s="244"/>
    </row>
    <row r="13" spans="1:37" x14ac:dyDescent="0.35">
      <c r="A13" s="79" t="s">
        <v>261</v>
      </c>
      <c r="B13" s="412"/>
      <c r="C13" s="413"/>
      <c r="D13" s="159" t="s">
        <v>262</v>
      </c>
      <c r="E13" s="79" t="s">
        <v>462</v>
      </c>
      <c r="F13" s="80" t="s">
        <v>463</v>
      </c>
      <c r="G13" s="208" t="s">
        <v>455</v>
      </c>
      <c r="H13" s="216"/>
      <c r="I13" s="242"/>
      <c r="J13" s="244"/>
      <c r="K13" s="244"/>
      <c r="L13" s="244"/>
      <c r="N13" s="154"/>
    </row>
    <row r="14" spans="1:37" x14ac:dyDescent="0.35">
      <c r="A14" s="79" t="s">
        <v>263</v>
      </c>
      <c r="B14" s="412"/>
      <c r="C14" s="413"/>
      <c r="D14" s="79" t="s">
        <v>264</v>
      </c>
      <c r="E14" s="79" t="s">
        <v>462</v>
      </c>
      <c r="F14" s="79" t="s">
        <v>464</v>
      </c>
      <c r="G14" s="208" t="s">
        <v>460</v>
      </c>
      <c r="I14" s="242"/>
      <c r="J14" s="244"/>
      <c r="K14" s="244"/>
      <c r="L14" s="244"/>
      <c r="M14" s="212"/>
      <c r="N14" s="154"/>
    </row>
    <row r="15" spans="1:37" x14ac:dyDescent="0.35">
      <c r="A15" s="79" t="s">
        <v>265</v>
      </c>
      <c r="B15" s="412"/>
      <c r="C15" s="413"/>
      <c r="D15" s="159" t="s">
        <v>465</v>
      </c>
      <c r="E15" s="79" t="s">
        <v>462</v>
      </c>
      <c r="F15" s="79" t="s">
        <v>466</v>
      </c>
      <c r="G15" s="208" t="s">
        <v>444</v>
      </c>
      <c r="I15" s="242"/>
      <c r="J15" s="244"/>
      <c r="K15" s="244"/>
      <c r="L15" s="244"/>
      <c r="N15" s="154"/>
    </row>
    <row r="16" spans="1:37" x14ac:dyDescent="0.35">
      <c r="A16" s="79" t="s">
        <v>175</v>
      </c>
      <c r="B16" s="412"/>
      <c r="C16" s="413"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412"/>
      <c r="C17" s="413"/>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35">
      <c r="A18" s="79" t="s">
        <v>180</v>
      </c>
      <c r="B18" s="412"/>
      <c r="C18" s="413"/>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35">
      <c r="A19" s="79" t="s">
        <v>183</v>
      </c>
      <c r="B19" s="412"/>
      <c r="C19" s="413"/>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35">
      <c r="A20" s="79" t="s">
        <v>185</v>
      </c>
      <c r="B20" s="412"/>
      <c r="C20" s="413"/>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35">
      <c r="A21" s="67" t="s">
        <v>476</v>
      </c>
      <c r="B21" s="412"/>
      <c r="C21" s="412" t="s">
        <v>477</v>
      </c>
      <c r="D21" s="67" t="s">
        <v>478</v>
      </c>
      <c r="E21" s="67" t="s">
        <v>479</v>
      </c>
      <c r="F21" s="63" t="s">
        <v>480</v>
      </c>
      <c r="G21" s="210" t="s">
        <v>480</v>
      </c>
      <c r="H21" s="77"/>
      <c r="I21" s="217"/>
      <c r="J21" s="236"/>
      <c r="K21" s="218"/>
      <c r="L21" s="218"/>
    </row>
    <row r="22" spans="1:14" x14ac:dyDescent="0.35">
      <c r="A22" s="79" t="s">
        <v>481</v>
      </c>
      <c r="B22" s="412"/>
      <c r="C22" s="412"/>
      <c r="D22" s="67" t="s">
        <v>482</v>
      </c>
      <c r="E22" s="67" t="s">
        <v>479</v>
      </c>
      <c r="F22" s="67" t="s">
        <v>483</v>
      </c>
      <c r="G22" s="207" t="s">
        <v>194</v>
      </c>
      <c r="H22" s="77"/>
      <c r="I22" s="219"/>
      <c r="J22" s="236"/>
      <c r="K22" s="218"/>
      <c r="L22" s="218"/>
    </row>
    <row r="23" spans="1:14" x14ac:dyDescent="0.35">
      <c r="A23" s="79" t="s">
        <v>484</v>
      </c>
      <c r="B23" s="412"/>
      <c r="C23" s="412"/>
      <c r="D23" s="67" t="s">
        <v>485</v>
      </c>
      <c r="E23" s="67" t="s">
        <v>479</v>
      </c>
      <c r="F23" s="67" t="s">
        <v>486</v>
      </c>
      <c r="G23" s="207" t="s">
        <v>194</v>
      </c>
      <c r="H23" s="77"/>
      <c r="I23" s="219"/>
      <c r="J23" s="236"/>
      <c r="K23" s="218"/>
      <c r="L23" s="218"/>
    </row>
    <row r="24" spans="1:14" x14ac:dyDescent="0.35">
      <c r="A24" s="79" t="s">
        <v>188</v>
      </c>
      <c r="B24" s="412"/>
      <c r="C24" s="413" t="s">
        <v>70</v>
      </c>
      <c r="D24" s="79" t="s">
        <v>302</v>
      </c>
      <c r="E24" s="79" t="s">
        <v>442</v>
      </c>
      <c r="F24" s="80" t="s">
        <v>1837</v>
      </c>
      <c r="G24" s="208" t="s">
        <v>455</v>
      </c>
      <c r="H24" s="230" t="s">
        <v>1838</v>
      </c>
      <c r="M24" t="s">
        <v>1813</v>
      </c>
    </row>
    <row r="25" spans="1:14" x14ac:dyDescent="0.35">
      <c r="A25" s="79" t="s">
        <v>190</v>
      </c>
      <c r="B25" s="412"/>
      <c r="C25" s="413"/>
      <c r="D25" s="79" t="s">
        <v>303</v>
      </c>
      <c r="E25" s="79" t="s">
        <v>453</v>
      </c>
      <c r="F25" s="81" t="s">
        <v>471</v>
      </c>
      <c r="G25" s="208" t="s">
        <v>455</v>
      </c>
    </row>
    <row r="26" spans="1:14" x14ac:dyDescent="0.35">
      <c r="A26" s="79" t="s">
        <v>304</v>
      </c>
      <c r="B26" s="412"/>
      <c r="C26" s="413"/>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35">
      <c r="A27" s="79" t="s">
        <v>306</v>
      </c>
      <c r="B27" s="412"/>
      <c r="C27" s="413"/>
      <c r="D27" s="79" t="s">
        <v>307</v>
      </c>
      <c r="E27" s="79" t="s">
        <v>453</v>
      </c>
      <c r="F27" s="80" t="s">
        <v>471</v>
      </c>
      <c r="G27" s="208" t="s">
        <v>455</v>
      </c>
      <c r="I27" s="246"/>
      <c r="J27" s="246"/>
      <c r="K27" s="246"/>
      <c r="L27" s="246"/>
      <c r="M27" t="s">
        <v>1810</v>
      </c>
    </row>
    <row r="28" spans="1:14" x14ac:dyDescent="0.35">
      <c r="A28" s="67" t="s">
        <v>487</v>
      </c>
      <c r="B28" s="415" t="s">
        <v>488</v>
      </c>
      <c r="C28" s="82" t="s">
        <v>489</v>
      </c>
      <c r="D28" s="67"/>
      <c r="E28" s="67"/>
      <c r="F28" s="67"/>
      <c r="G28" s="211"/>
      <c r="H28" s="77"/>
      <c r="I28" s="220"/>
      <c r="J28" s="236"/>
      <c r="K28" s="218"/>
      <c r="L28" s="218"/>
    </row>
    <row r="29" spans="1:14" x14ac:dyDescent="0.35">
      <c r="A29" s="67" t="s">
        <v>490</v>
      </c>
      <c r="B29" s="415"/>
      <c r="C29" s="82" t="s">
        <v>491</v>
      </c>
      <c r="D29" s="67"/>
      <c r="E29" s="67"/>
      <c r="F29" s="67"/>
      <c r="G29" s="211"/>
      <c r="H29" s="77"/>
      <c r="I29" s="220"/>
      <c r="J29" s="236"/>
      <c r="K29" s="218"/>
      <c r="L29" s="218"/>
    </row>
    <row r="30" spans="1:14" x14ac:dyDescent="0.35">
      <c r="A30" s="67" t="s">
        <v>492</v>
      </c>
      <c r="B30" s="415"/>
      <c r="C30" s="82" t="s">
        <v>493</v>
      </c>
      <c r="D30" s="67"/>
      <c r="E30" s="67"/>
      <c r="F30" s="67"/>
      <c r="G30" s="211"/>
      <c r="H30" s="77"/>
      <c r="I30" s="220"/>
      <c r="J30" s="236"/>
      <c r="K30" s="218"/>
      <c r="L30" s="218"/>
    </row>
    <row r="31" spans="1:14" ht="14.5" customHeight="1" x14ac:dyDescent="0.35">
      <c r="A31" s="79" t="s">
        <v>239</v>
      </c>
      <c r="B31" s="421" t="s">
        <v>494</v>
      </c>
      <c r="C31" s="416" t="s">
        <v>495</v>
      </c>
      <c r="D31" s="159" t="s">
        <v>496</v>
      </c>
      <c r="E31" s="80" t="s">
        <v>497</v>
      </c>
      <c r="F31" s="80" t="s">
        <v>471</v>
      </c>
      <c r="G31" s="208" t="s">
        <v>455</v>
      </c>
      <c r="I31" s="221"/>
      <c r="K31" s="221"/>
      <c r="L31" s="221"/>
      <c r="M31" t="s">
        <v>1809</v>
      </c>
    </row>
    <row r="32" spans="1:14" x14ac:dyDescent="0.35">
      <c r="A32" s="79" t="s">
        <v>245</v>
      </c>
      <c r="B32" s="422"/>
      <c r="C32" s="416"/>
      <c r="D32" s="159" t="s">
        <v>498</v>
      </c>
      <c r="E32" s="79" t="s">
        <v>499</v>
      </c>
      <c r="F32" s="79" t="s">
        <v>500</v>
      </c>
      <c r="G32" s="208" t="s">
        <v>444</v>
      </c>
      <c r="I32" s="221"/>
      <c r="K32" s="222"/>
      <c r="L32" s="222"/>
    </row>
    <row r="33" spans="1:13" x14ac:dyDescent="0.35">
      <c r="A33" s="79" t="s">
        <v>243</v>
      </c>
      <c r="B33" s="422"/>
      <c r="C33" s="416"/>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35">
      <c r="A34" s="79" t="s">
        <v>502</v>
      </c>
      <c r="B34" s="422"/>
      <c r="C34" s="416"/>
      <c r="D34" s="159" t="s">
        <v>503</v>
      </c>
      <c r="E34" s="79" t="s">
        <v>501</v>
      </c>
      <c r="F34" s="79" t="s">
        <v>504</v>
      </c>
      <c r="G34" s="209" t="s">
        <v>194</v>
      </c>
      <c r="I34" s="240"/>
      <c r="K34" s="222"/>
      <c r="L34" s="222"/>
      <c r="M34" t="s">
        <v>1811</v>
      </c>
    </row>
    <row r="35" spans="1:13" x14ac:dyDescent="0.35">
      <c r="A35" s="79" t="s">
        <v>197</v>
      </c>
      <c r="B35" s="422"/>
      <c r="C35" s="416" t="s">
        <v>505</v>
      </c>
      <c r="D35" s="159" t="s">
        <v>506</v>
      </c>
      <c r="E35" s="79" t="s">
        <v>497</v>
      </c>
      <c r="F35" s="79" t="s">
        <v>507</v>
      </c>
      <c r="G35" s="209" t="s">
        <v>194</v>
      </c>
      <c r="I35" s="221"/>
      <c r="K35" s="221"/>
      <c r="L35" s="222"/>
    </row>
    <row r="36" spans="1:13" x14ac:dyDescent="0.35">
      <c r="A36" s="79" t="s">
        <v>197</v>
      </c>
      <c r="B36" s="422"/>
      <c r="C36" s="416"/>
      <c r="D36" s="160" t="s">
        <v>312</v>
      </c>
      <c r="E36" s="79" t="s">
        <v>508</v>
      </c>
      <c r="F36" s="80" t="s">
        <v>454</v>
      </c>
      <c r="G36" s="208" t="s">
        <v>444</v>
      </c>
      <c r="I36" s="221"/>
      <c r="K36" s="221"/>
      <c r="L36" s="222"/>
      <c r="M36" t="s">
        <v>1807</v>
      </c>
    </row>
    <row r="37" spans="1:13" x14ac:dyDescent="0.35">
      <c r="A37" s="79" t="s">
        <v>203</v>
      </c>
      <c r="B37" s="422"/>
      <c r="C37" s="416"/>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35">
      <c r="A38" s="79" t="s">
        <v>314</v>
      </c>
      <c r="B38" s="422"/>
      <c r="C38" s="416"/>
      <c r="D38" s="159" t="s">
        <v>211</v>
      </c>
      <c r="E38" s="79" t="s">
        <v>501</v>
      </c>
      <c r="F38" s="79" t="s">
        <v>471</v>
      </c>
      <c r="G38" s="208" t="s">
        <v>510</v>
      </c>
      <c r="I38" s="221"/>
      <c r="K38" s="221"/>
      <c r="L38" s="222"/>
    </row>
    <row r="39" spans="1:13" x14ac:dyDescent="0.35">
      <c r="A39" s="79" t="s">
        <v>308</v>
      </c>
      <c r="B39" s="422"/>
      <c r="C39" s="412" t="s">
        <v>511</v>
      </c>
      <c r="D39" s="79" t="s">
        <v>512</v>
      </c>
      <c r="E39" s="79" t="s">
        <v>513</v>
      </c>
      <c r="F39" s="79" t="s">
        <v>507</v>
      </c>
      <c r="G39" s="209" t="s">
        <v>194</v>
      </c>
      <c r="I39" s="221"/>
      <c r="K39" s="221"/>
      <c r="L39" s="222"/>
    </row>
    <row r="40" spans="1:13" x14ac:dyDescent="0.35">
      <c r="A40" s="79" t="s">
        <v>308</v>
      </c>
      <c r="B40" s="422"/>
      <c r="C40" s="412"/>
      <c r="D40" s="159" t="s">
        <v>309</v>
      </c>
      <c r="E40" s="79" t="s">
        <v>497</v>
      </c>
      <c r="F40" s="79" t="s">
        <v>471</v>
      </c>
      <c r="G40" s="208" t="s">
        <v>460</v>
      </c>
      <c r="H40" s="81" t="s">
        <v>514</v>
      </c>
      <c r="I40" s="215"/>
      <c r="K40" s="221"/>
      <c r="M40" t="s">
        <v>1846</v>
      </c>
    </row>
    <row r="41" spans="1:13" x14ac:dyDescent="0.35">
      <c r="A41" s="79" t="s">
        <v>310</v>
      </c>
      <c r="B41" s="422"/>
      <c r="C41" s="412"/>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35">
      <c r="A42" s="79" t="s">
        <v>213</v>
      </c>
      <c r="B42" s="422"/>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35">
      <c r="A43" s="79" t="s">
        <v>217</v>
      </c>
      <c r="B43" s="422"/>
      <c r="C43" s="417"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35">
      <c r="A44" s="79" t="s">
        <v>217</v>
      </c>
      <c r="B44" s="422"/>
      <c r="C44" s="418"/>
      <c r="D44" s="79" t="s">
        <v>519</v>
      </c>
      <c r="E44" s="79" t="s">
        <v>520</v>
      </c>
      <c r="F44" s="80" t="s">
        <v>521</v>
      </c>
      <c r="G44" s="208" t="s">
        <v>455</v>
      </c>
      <c r="I44" s="254"/>
      <c r="J44" s="253"/>
      <c r="K44" s="244"/>
      <c r="L44" s="244"/>
      <c r="M44" s="187"/>
    </row>
    <row r="45" spans="1:13" x14ac:dyDescent="0.35">
      <c r="A45" s="79" t="s">
        <v>225</v>
      </c>
      <c r="B45" s="422"/>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35">
      <c r="A46" s="79" t="s">
        <v>227</v>
      </c>
      <c r="B46" s="422"/>
      <c r="C46" s="419"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35">
      <c r="A47" s="79" t="s">
        <v>525</v>
      </c>
      <c r="B47" s="422"/>
      <c r="C47" s="420"/>
      <c r="D47" s="79" t="s">
        <v>519</v>
      </c>
      <c r="E47" s="79" t="s">
        <v>520</v>
      </c>
      <c r="F47" s="80" t="s">
        <v>521</v>
      </c>
      <c r="G47" s="208" t="s">
        <v>455</v>
      </c>
      <c r="I47" s="254"/>
      <c r="J47" s="253"/>
      <c r="K47" s="244"/>
      <c r="L47" s="244"/>
    </row>
    <row r="48" spans="1:13" x14ac:dyDescent="0.35">
      <c r="A48" s="67" t="s">
        <v>526</v>
      </c>
      <c r="B48" s="422"/>
      <c r="C48" s="82" t="s">
        <v>527</v>
      </c>
      <c r="D48" s="67"/>
      <c r="E48" s="67"/>
      <c r="F48" s="67" t="s">
        <v>528</v>
      </c>
      <c r="G48" s="210"/>
      <c r="H48" s="77"/>
      <c r="I48" s="217"/>
      <c r="J48" s="236"/>
      <c r="K48" s="218"/>
      <c r="L48" s="218"/>
    </row>
    <row r="49" spans="1:13" x14ac:dyDescent="0.35">
      <c r="A49" s="67" t="s">
        <v>529</v>
      </c>
      <c r="B49" s="422"/>
      <c r="C49" s="82" t="s">
        <v>530</v>
      </c>
      <c r="D49" s="67"/>
      <c r="E49" s="67"/>
      <c r="F49" s="67" t="s">
        <v>531</v>
      </c>
      <c r="G49" s="210"/>
      <c r="H49" s="77"/>
      <c r="I49" s="217"/>
      <c r="J49" s="236"/>
      <c r="K49" s="218"/>
      <c r="L49" s="218"/>
    </row>
    <row r="50" spans="1:13" x14ac:dyDescent="0.35">
      <c r="A50" s="79" t="s">
        <v>532</v>
      </c>
      <c r="B50" s="422"/>
      <c r="C50" s="424" t="s">
        <v>533</v>
      </c>
      <c r="D50" s="83" t="s">
        <v>534</v>
      </c>
      <c r="E50" s="79"/>
      <c r="F50" s="79" t="s">
        <v>535</v>
      </c>
      <c r="G50" s="208"/>
      <c r="I50" s="250"/>
      <c r="J50" s="251"/>
      <c r="K50" s="252"/>
      <c r="L50" s="222"/>
    </row>
    <row r="51" spans="1:13" x14ac:dyDescent="0.35">
      <c r="A51" s="117" t="s">
        <v>536</v>
      </c>
      <c r="B51" s="422"/>
      <c r="C51" s="425"/>
      <c r="D51" s="82" t="s">
        <v>537</v>
      </c>
      <c r="E51" s="67"/>
      <c r="F51" s="67"/>
      <c r="G51" s="210"/>
      <c r="H51" s="77"/>
      <c r="I51" s="217"/>
      <c r="J51" s="236"/>
      <c r="K51" s="233"/>
      <c r="L51" s="233"/>
    </row>
    <row r="52" spans="1:13" x14ac:dyDescent="0.35">
      <c r="A52" s="79" t="s">
        <v>236</v>
      </c>
      <c r="B52" s="422"/>
      <c r="C52" s="426"/>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35">
      <c r="A53" s="79" t="s">
        <v>540</v>
      </c>
      <c r="B53" s="422"/>
      <c r="C53" s="424" t="s">
        <v>232</v>
      </c>
      <c r="D53" s="82" t="s">
        <v>541</v>
      </c>
      <c r="E53" s="67"/>
      <c r="F53" s="67" t="s">
        <v>542</v>
      </c>
      <c r="G53" s="210"/>
      <c r="H53" s="77"/>
      <c r="I53" s="217"/>
      <c r="J53" s="236"/>
      <c r="K53" s="218"/>
      <c r="L53" s="233"/>
    </row>
    <row r="54" spans="1:13" x14ac:dyDescent="0.35">
      <c r="A54" s="79" t="s">
        <v>230</v>
      </c>
      <c r="B54" s="422"/>
      <c r="C54" s="425"/>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35">
      <c r="A55" s="79" t="s">
        <v>234</v>
      </c>
      <c r="B55" s="423"/>
      <c r="C55" s="426"/>
      <c r="D55" s="83" t="s">
        <v>544</v>
      </c>
      <c r="E55" s="79" t="s">
        <v>520</v>
      </c>
      <c r="F55" s="80" t="s">
        <v>521</v>
      </c>
      <c r="G55" s="208" t="s">
        <v>455</v>
      </c>
      <c r="I55" s="254"/>
      <c r="J55" s="253"/>
      <c r="K55" s="244"/>
      <c r="L55" s="244"/>
      <c r="M55" t="s">
        <v>1927</v>
      </c>
    </row>
    <row r="56" spans="1:13" x14ac:dyDescent="0.35">
      <c r="A56" s="67" t="s">
        <v>545</v>
      </c>
      <c r="B56" s="416" t="s">
        <v>546</v>
      </c>
      <c r="C56" s="82" t="s">
        <v>547</v>
      </c>
      <c r="D56" s="67"/>
      <c r="E56" s="67"/>
      <c r="F56" s="67"/>
      <c r="G56" s="210"/>
      <c r="H56" s="77"/>
      <c r="I56" s="217"/>
      <c r="J56" s="236"/>
      <c r="K56" s="218"/>
      <c r="L56" s="218"/>
    </row>
    <row r="57" spans="1:13" x14ac:dyDescent="0.35">
      <c r="A57" s="67" t="s">
        <v>548</v>
      </c>
      <c r="B57" s="416"/>
      <c r="C57" s="82" t="s">
        <v>549</v>
      </c>
      <c r="D57" s="67"/>
      <c r="E57" s="67"/>
      <c r="F57" s="67"/>
      <c r="G57" s="210"/>
      <c r="H57" s="77"/>
      <c r="I57" s="217"/>
      <c r="J57" s="236"/>
      <c r="K57" s="218"/>
      <c r="L57" s="218"/>
    </row>
    <row r="58" spans="1:13" x14ac:dyDescent="0.35">
      <c r="A58" s="67" t="s">
        <v>550</v>
      </c>
      <c r="B58" s="416"/>
      <c r="C58" s="82" t="s">
        <v>551</v>
      </c>
      <c r="D58" s="67"/>
      <c r="E58" s="67"/>
      <c r="F58" s="67"/>
      <c r="G58" s="210"/>
      <c r="H58" s="77"/>
      <c r="I58" s="217"/>
      <c r="J58" s="236"/>
      <c r="K58" s="218"/>
      <c r="L58" s="218"/>
    </row>
    <row r="59" spans="1:13" x14ac:dyDescent="0.35">
      <c r="A59" s="67" t="s">
        <v>552</v>
      </c>
      <c r="B59" s="416"/>
      <c r="C59" s="82" t="s">
        <v>553</v>
      </c>
      <c r="D59" s="67"/>
      <c r="E59" s="67"/>
      <c r="F59" s="67"/>
      <c r="G59" s="210"/>
      <c r="H59" s="77"/>
      <c r="I59" s="217"/>
      <c r="J59" s="236"/>
      <c r="K59" s="218"/>
      <c r="L59" s="218"/>
    </row>
    <row r="60" spans="1:13" x14ac:dyDescent="0.35">
      <c r="A60" s="67" t="s">
        <v>554</v>
      </c>
      <c r="B60" s="416"/>
      <c r="C60" s="82" t="s">
        <v>555</v>
      </c>
      <c r="D60" s="67"/>
      <c r="E60" s="67"/>
      <c r="F60" s="67"/>
      <c r="G60" s="210"/>
      <c r="H60" s="77"/>
      <c r="I60" s="217"/>
      <c r="J60" s="236"/>
      <c r="K60" s="218"/>
      <c r="L60" s="218"/>
    </row>
    <row r="61" spans="1:13" x14ac:dyDescent="0.35">
      <c r="A61" s="67" t="s">
        <v>556</v>
      </c>
      <c r="B61" s="416"/>
      <c r="C61" s="82" t="s">
        <v>557</v>
      </c>
      <c r="D61" s="67"/>
      <c r="E61" s="67"/>
      <c r="F61" s="67"/>
      <c r="G61" s="210"/>
      <c r="H61" s="77"/>
      <c r="I61" s="217"/>
      <c r="J61" s="236"/>
      <c r="K61" s="218"/>
      <c r="L61" s="218"/>
    </row>
    <row r="62" spans="1:13" x14ac:dyDescent="0.35">
      <c r="A62" s="67" t="s">
        <v>558</v>
      </c>
      <c r="B62" s="416"/>
      <c r="C62" s="82" t="s">
        <v>559</v>
      </c>
      <c r="D62" s="67"/>
      <c r="E62" s="67"/>
      <c r="F62" s="67"/>
      <c r="G62" s="210"/>
      <c r="H62" s="77"/>
      <c r="I62" s="217"/>
      <c r="J62" s="236"/>
      <c r="K62" s="218"/>
      <c r="L62" s="218"/>
    </row>
    <row r="63" spans="1:13" x14ac:dyDescent="0.35">
      <c r="A63" s="67" t="s">
        <v>560</v>
      </c>
      <c r="B63" s="416"/>
      <c r="C63" s="82" t="s">
        <v>561</v>
      </c>
      <c r="D63" s="67"/>
      <c r="E63" s="67"/>
      <c r="F63" s="67"/>
      <c r="G63" s="210"/>
      <c r="H63" s="77"/>
      <c r="I63" s="217"/>
      <c r="J63" s="236"/>
      <c r="K63" s="218"/>
      <c r="L63" s="218"/>
    </row>
    <row r="64" spans="1:13" x14ac:dyDescent="0.35">
      <c r="A64" s="67" t="s">
        <v>562</v>
      </c>
      <c r="B64" s="414" t="s">
        <v>337</v>
      </c>
      <c r="C64" s="67" t="s">
        <v>563</v>
      </c>
      <c r="D64" s="67"/>
      <c r="E64" s="67"/>
      <c r="F64" s="67"/>
      <c r="G64" s="210"/>
      <c r="H64" s="77"/>
      <c r="I64" s="217"/>
      <c r="J64" s="236"/>
      <c r="K64" s="218"/>
      <c r="L64" s="218"/>
    </row>
    <row r="65" spans="1:12" x14ac:dyDescent="0.35">
      <c r="A65" s="67" t="s">
        <v>564</v>
      </c>
      <c r="B65" s="414"/>
      <c r="C65" s="82" t="s">
        <v>565</v>
      </c>
      <c r="D65" s="67"/>
      <c r="E65" s="67"/>
      <c r="F65" s="67"/>
      <c r="G65" s="210"/>
      <c r="H65" s="77"/>
      <c r="I65" s="217"/>
      <c r="J65" s="236"/>
      <c r="K65" s="218"/>
      <c r="L65" s="218"/>
    </row>
    <row r="66" spans="1:12" x14ac:dyDescent="0.35">
      <c r="A66" s="67" t="s">
        <v>566</v>
      </c>
      <c r="B66" s="414"/>
      <c r="C66" s="82" t="s">
        <v>567</v>
      </c>
      <c r="D66" s="67"/>
      <c r="E66" s="67"/>
      <c r="F66" s="67"/>
      <c r="G66" s="211"/>
      <c r="H66" s="77"/>
      <c r="I66" s="220"/>
      <c r="J66" s="237"/>
      <c r="K66" s="218"/>
      <c r="L66" s="218"/>
    </row>
    <row r="67" spans="1:12" x14ac:dyDescent="0.35">
      <c r="A67" s="67" t="s">
        <v>568</v>
      </c>
      <c r="B67" s="414"/>
      <c r="C67" s="82" t="s">
        <v>569</v>
      </c>
      <c r="D67" s="67"/>
      <c r="E67" s="67"/>
      <c r="F67" s="67"/>
      <c r="G67" s="211"/>
      <c r="H67" s="77"/>
      <c r="I67" s="220"/>
      <c r="J67" s="237"/>
      <c r="K67" s="218"/>
      <c r="L67" s="218"/>
    </row>
    <row r="68" spans="1:12" x14ac:dyDescent="0.35">
      <c r="A68" s="67" t="s">
        <v>570</v>
      </c>
      <c r="B68" s="414"/>
      <c r="C68" s="82" t="s">
        <v>571</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90625" style="58" bestFit="1" customWidth="1"/>
    <col min="2" max="2" width="22.1796875" style="58" bestFit="1" customWidth="1"/>
    <col min="3" max="3" width="14.54296875" style="58" customWidth="1"/>
    <col min="4" max="5" width="10.81640625" style="58" customWidth="1"/>
    <col min="6" max="6" width="14.36328125" style="58" bestFit="1" customWidth="1"/>
    <col min="7" max="7" width="11.1796875" style="58" customWidth="1"/>
    <col min="8" max="8" width="15.089843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3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3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4.5" x14ac:dyDescent="0.35"/>
  <cols>
    <col min="1" max="1" width="13.36328125" bestFit="1" customWidth="1"/>
    <col min="2" max="2" width="8" bestFit="1" customWidth="1"/>
    <col min="3" max="4" width="8" customWidth="1"/>
  </cols>
  <sheetData>
    <row r="1" spans="1:15" ht="43.5" x14ac:dyDescent="0.3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35">
      <c r="A2" t="s">
        <v>2786</v>
      </c>
      <c r="B2" t="s">
        <v>212</v>
      </c>
      <c r="C2" s="321" t="s">
        <v>65</v>
      </c>
      <c r="D2" s="321" t="s">
        <v>154</v>
      </c>
      <c r="E2" t="s">
        <v>82</v>
      </c>
      <c r="F2">
        <v>1</v>
      </c>
      <c r="G2">
        <v>1</v>
      </c>
      <c r="H2">
        <v>1</v>
      </c>
      <c r="I2">
        <v>1</v>
      </c>
      <c r="K2">
        <v>5</v>
      </c>
    </row>
    <row r="3" spans="1:15" x14ac:dyDescent="0.35">
      <c r="C3" s="321"/>
      <c r="D3" s="319"/>
    </row>
    <row r="4" spans="1:15" x14ac:dyDescent="0.35">
      <c r="C4" s="321"/>
      <c r="D4" s="321"/>
    </row>
    <row r="5" spans="1:15" x14ac:dyDescent="0.35">
      <c r="C5" s="321"/>
      <c r="D5" s="321"/>
    </row>
    <row r="6" spans="1:15" x14ac:dyDescent="0.35">
      <c r="C6" s="321"/>
      <c r="D6" s="321"/>
      <c r="O6" s="321"/>
    </row>
    <row r="7" spans="1:15" x14ac:dyDescent="0.35">
      <c r="C7" s="321"/>
      <c r="D7" s="321"/>
      <c r="O7" s="319"/>
    </row>
    <row r="8" spans="1:15" x14ac:dyDescent="0.35">
      <c r="C8" s="321"/>
      <c r="D8" s="321"/>
    </row>
    <row r="9" spans="1:15" x14ac:dyDescent="0.35">
      <c r="C9" s="321"/>
      <c r="D9" s="321"/>
    </row>
    <row r="10" spans="1:15" x14ac:dyDescent="0.35">
      <c r="C10" s="319"/>
      <c r="D10" s="321"/>
    </row>
    <row r="11" spans="1:15" x14ac:dyDescent="0.35">
      <c r="C11" s="319"/>
      <c r="D11" s="321"/>
    </row>
    <row r="12" spans="1:15" x14ac:dyDescent="0.35">
      <c r="C12" s="319"/>
      <c r="D12" s="321"/>
    </row>
    <row r="13" spans="1:15" x14ac:dyDescent="0.35">
      <c r="C13" s="319"/>
      <c r="D13" s="321"/>
    </row>
    <row r="14" spans="1:15" x14ac:dyDescent="0.35">
      <c r="C14" s="319"/>
      <c r="D14" s="321"/>
    </row>
    <row r="15" spans="1:15" x14ac:dyDescent="0.35">
      <c r="C15" s="319"/>
      <c r="D15" s="321"/>
    </row>
    <row r="16" spans="1:15" x14ac:dyDescent="0.35">
      <c r="C16" s="321"/>
      <c r="D16" s="321"/>
    </row>
    <row r="17" spans="3:4" x14ac:dyDescent="0.35">
      <c r="C17" s="321"/>
      <c r="D17" s="321"/>
    </row>
    <row r="18" spans="3:4" x14ac:dyDescent="0.35">
      <c r="C18" s="321"/>
      <c r="D18" s="321"/>
    </row>
    <row r="19" spans="3:4" x14ac:dyDescent="0.35">
      <c r="C19" s="321"/>
      <c r="D19" s="321"/>
    </row>
    <row r="20" spans="3:4" x14ac:dyDescent="0.35">
      <c r="C20" s="321"/>
      <c r="D20" s="321"/>
    </row>
    <row r="21" spans="3:4" x14ac:dyDescent="0.35">
      <c r="C21" s="319"/>
      <c r="D21" s="321"/>
    </row>
    <row r="22" spans="3:4" x14ac:dyDescent="0.35">
      <c r="C22" s="319"/>
      <c r="D22" s="321"/>
    </row>
    <row r="23" spans="3:4" x14ac:dyDescent="0.35">
      <c r="D23" s="321"/>
    </row>
    <row r="24" spans="3:4" x14ac:dyDescent="0.3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90625" style="58" bestFit="1" customWidth="1"/>
    <col min="2" max="2" width="22.1796875" style="58" bestFit="1" customWidth="1"/>
    <col min="3" max="3" width="13.90625" style="58" bestFit="1" customWidth="1"/>
    <col min="4" max="4" width="11.1796875" style="58" customWidth="1"/>
    <col min="5" max="5" width="15.089843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1954</v>
      </c>
      <c r="B2" s="58" t="s">
        <v>1954</v>
      </c>
      <c r="C2" s="58" t="s">
        <v>194</v>
      </c>
      <c r="D2" s="58" t="s">
        <v>82</v>
      </c>
      <c r="N2"/>
    </row>
    <row r="3" spans="1:17" x14ac:dyDescent="0.35">
      <c r="A3" s="58" t="s">
        <v>1954</v>
      </c>
      <c r="B3" s="58" t="s">
        <v>1954</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1937</v>
      </c>
      <c r="B10" s="58" t="s">
        <v>207</v>
      </c>
      <c r="C10" s="58" t="s">
        <v>69</v>
      </c>
      <c r="D10" s="58" t="s">
        <v>82</v>
      </c>
      <c r="E10" s="128">
        <v>1.894207576270393E-2</v>
      </c>
      <c r="Q10"/>
    </row>
    <row r="11" spans="1:17" x14ac:dyDescent="0.35">
      <c r="A11" s="58" t="s">
        <v>1937</v>
      </c>
      <c r="B11" s="58" t="s">
        <v>207</v>
      </c>
      <c r="C11" s="58" t="s">
        <v>69</v>
      </c>
      <c r="D11" s="58" t="s">
        <v>84</v>
      </c>
      <c r="E11" s="128">
        <v>2.0044524616617914E-2</v>
      </c>
      <c r="Q11"/>
    </row>
    <row r="12" spans="1:17" x14ac:dyDescent="0.35">
      <c r="A12" s="58" t="s">
        <v>1933</v>
      </c>
      <c r="B12" s="58" t="s">
        <v>249</v>
      </c>
      <c r="C12" s="58" t="s">
        <v>66</v>
      </c>
      <c r="D12" s="58" t="s">
        <v>82</v>
      </c>
      <c r="E12" s="58">
        <v>0.58399999999999996</v>
      </c>
      <c r="Q12"/>
    </row>
    <row r="13" spans="1:17" x14ac:dyDescent="0.35">
      <c r="A13" s="58" t="s">
        <v>1933</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1"/>
  <sheetViews>
    <sheetView workbookViewId="0">
      <selection activeCell="B13" sqref="B13"/>
    </sheetView>
  </sheetViews>
  <sheetFormatPr defaultRowHeight="14.5" x14ac:dyDescent="0.35"/>
  <cols>
    <col min="4" max="4" width="15.81640625" customWidth="1"/>
    <col min="6" max="6" width="14.36328125" style="58" bestFit="1" customWidth="1"/>
  </cols>
  <sheetData>
    <row r="1" spans="2:6" x14ac:dyDescent="0.35">
      <c r="B1" s="186" t="s">
        <v>2174</v>
      </c>
      <c r="D1" s="186" t="s">
        <v>2175</v>
      </c>
      <c r="F1" s="129" t="s">
        <v>140</v>
      </c>
    </row>
    <row r="2" spans="2:6" x14ac:dyDescent="0.35">
      <c r="B2" s="58" t="s">
        <v>2798</v>
      </c>
      <c r="D2" s="58" t="s">
        <v>65</v>
      </c>
      <c r="F2" s="58" t="s">
        <v>156</v>
      </c>
    </row>
    <row r="3" spans="2:6" x14ac:dyDescent="0.35">
      <c r="B3" s="58" t="s">
        <v>2799</v>
      </c>
      <c r="D3" s="58" t="s">
        <v>2248</v>
      </c>
      <c r="F3" s="131" t="s">
        <v>169</v>
      </c>
    </row>
    <row r="4" spans="2:6" x14ac:dyDescent="0.35">
      <c r="B4" s="58" t="s">
        <v>2800</v>
      </c>
      <c r="D4" s="58" t="s">
        <v>67</v>
      </c>
      <c r="F4" s="131" t="s">
        <v>2598</v>
      </c>
    </row>
    <row r="5" spans="2:6" x14ac:dyDescent="0.35">
      <c r="B5" s="58" t="s">
        <v>206</v>
      </c>
      <c r="D5" s="58" t="s">
        <v>68</v>
      </c>
      <c r="F5" s="131" t="s">
        <v>2599</v>
      </c>
    </row>
    <row r="6" spans="2:6" x14ac:dyDescent="0.35">
      <c r="B6" s="58" t="s">
        <v>194</v>
      </c>
      <c r="D6" s="58" t="s">
        <v>70</v>
      </c>
      <c r="F6" s="131" t="s">
        <v>2600</v>
      </c>
    </row>
    <row r="7" spans="2:6" x14ac:dyDescent="0.35">
      <c r="B7" s="58"/>
      <c r="D7" s="58" t="s">
        <v>194</v>
      </c>
      <c r="F7" s="140" t="s">
        <v>2544</v>
      </c>
    </row>
    <row r="8" spans="2:6" x14ac:dyDescent="0.35">
      <c r="B8" s="58"/>
      <c r="D8" s="58" t="s">
        <v>200</v>
      </c>
      <c r="F8" s="140" t="s">
        <v>209</v>
      </c>
    </row>
    <row r="9" spans="2:6" x14ac:dyDescent="0.35">
      <c r="B9" s="58"/>
      <c r="D9" s="58" t="s">
        <v>69</v>
      </c>
      <c r="F9" s="58" t="s">
        <v>179</v>
      </c>
    </row>
    <row r="10" spans="2:6" x14ac:dyDescent="0.35">
      <c r="D10" s="58" t="s">
        <v>215</v>
      </c>
      <c r="F10" s="257" t="s">
        <v>182</v>
      </c>
    </row>
    <row r="11" spans="2:6" x14ac:dyDescent="0.35">
      <c r="D11" s="58" t="s">
        <v>220</v>
      </c>
      <c r="F11" s="257" t="s">
        <v>2439</v>
      </c>
    </row>
    <row r="12" spans="2:6" x14ac:dyDescent="0.35">
      <c r="D12" s="58" t="s">
        <v>232</v>
      </c>
      <c r="F12" s="257" t="s">
        <v>187</v>
      </c>
    </row>
    <row r="13" spans="2:6" x14ac:dyDescent="0.35">
      <c r="D13" s="58" t="s">
        <v>533</v>
      </c>
      <c r="F13" s="257" t="s">
        <v>2601</v>
      </c>
    </row>
    <row r="14" spans="2:6" x14ac:dyDescent="0.35">
      <c r="D14" s="58" t="s">
        <v>241</v>
      </c>
      <c r="F14" s="257" t="s">
        <v>2440</v>
      </c>
    </row>
    <row r="15" spans="2:6" x14ac:dyDescent="0.35">
      <c r="D15" s="58" t="s">
        <v>66</v>
      </c>
      <c r="F15" s="257" t="s">
        <v>247</v>
      </c>
    </row>
    <row r="16" spans="2:6" x14ac:dyDescent="0.35">
      <c r="F16" s="257" t="s">
        <v>233</v>
      </c>
    </row>
    <row r="17" spans="6:6" x14ac:dyDescent="0.35">
      <c r="F17" s="58" t="s">
        <v>221</v>
      </c>
    </row>
    <row r="18" spans="6:6" x14ac:dyDescent="0.35">
      <c r="F18" s="58" t="s">
        <v>201</v>
      </c>
    </row>
    <row r="19" spans="6:6" x14ac:dyDescent="0.35">
      <c r="F19" s="58" t="s">
        <v>2579</v>
      </c>
    </row>
    <row r="20" spans="6:6" x14ac:dyDescent="0.35">
      <c r="F20" s="58" t="s">
        <v>253</v>
      </c>
    </row>
    <row r="21" spans="6:6" x14ac:dyDescent="0.35">
      <c r="F21" s="58" t="s">
        <v>2554</v>
      </c>
    </row>
    <row r="22" spans="6:6" x14ac:dyDescent="0.35">
      <c r="F22" s="58" t="s">
        <v>2572</v>
      </c>
    </row>
    <row r="23" spans="6:6" x14ac:dyDescent="0.35">
      <c r="F23" s="58" t="s">
        <v>212</v>
      </c>
    </row>
    <row r="24" spans="6:6" x14ac:dyDescent="0.35">
      <c r="F24" s="58" t="s">
        <v>194</v>
      </c>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4.5" x14ac:dyDescent="0.35"/>
  <cols>
    <col min="4" max="4" width="11.54296875" bestFit="1" customWidth="1"/>
    <col min="11" max="11" width="16.81640625" customWidth="1"/>
    <col min="13" max="15" width="9.453125" customWidth="1"/>
    <col min="16" max="17" width="12.6328125" customWidth="1"/>
    <col min="18" max="19" width="9.453125" customWidth="1"/>
    <col min="20" max="20" width="7.81640625" customWidth="1"/>
    <col min="39" max="39" width="12.54296875" customWidth="1"/>
    <col min="41" max="41" width="11.81640625" customWidth="1"/>
  </cols>
  <sheetData>
    <row r="1" spans="2:27" x14ac:dyDescent="0.35">
      <c r="B1" t="s">
        <v>315</v>
      </c>
    </row>
    <row r="2" spans="2:27" x14ac:dyDescent="0.35">
      <c r="B2" t="s">
        <v>316</v>
      </c>
    </row>
    <row r="3" spans="2:27" x14ac:dyDescent="0.35">
      <c r="B3" t="s">
        <v>317</v>
      </c>
    </row>
    <row r="4" spans="2:27" x14ac:dyDescent="0.35">
      <c r="B4" t="s">
        <v>318</v>
      </c>
    </row>
    <row r="7" spans="2:27" x14ac:dyDescent="0.35">
      <c r="B7" t="s">
        <v>319</v>
      </c>
    </row>
    <row r="8" spans="2:27" x14ac:dyDescent="0.35">
      <c r="B8" t="s">
        <v>320</v>
      </c>
      <c r="G8" s="188">
        <v>0.46089999999999998</v>
      </c>
    </row>
    <row r="11" spans="2:27" x14ac:dyDescent="0.35">
      <c r="B11" t="s">
        <v>321</v>
      </c>
    </row>
    <row r="12" spans="2:27" x14ac:dyDescent="0.35">
      <c r="B12" t="s">
        <v>322</v>
      </c>
      <c r="AA12" t="s">
        <v>323</v>
      </c>
    </row>
    <row r="27" spans="7:10" x14ac:dyDescent="0.35">
      <c r="H27" t="s">
        <v>324</v>
      </c>
      <c r="I27" t="s">
        <v>325</v>
      </c>
    </row>
    <row r="28" spans="7:10" x14ac:dyDescent="0.35">
      <c r="G28" t="s">
        <v>326</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327</v>
      </c>
      <c r="H30" s="61">
        <v>0.02</v>
      </c>
      <c r="I30" s="61">
        <f t="shared" si="0"/>
        <v>4.9999999999999996E-2</v>
      </c>
      <c r="J30" s="61"/>
    </row>
    <row r="31" spans="7:10" x14ac:dyDescent="0.35">
      <c r="G31" t="s">
        <v>328</v>
      </c>
      <c r="H31" s="61">
        <v>0.02</v>
      </c>
      <c r="I31" s="61">
        <f t="shared" si="0"/>
        <v>4.9999999999999996E-2</v>
      </c>
      <c r="J31" s="61"/>
    </row>
    <row r="32" spans="7:10" x14ac:dyDescent="0.35">
      <c r="G32" t="s">
        <v>329</v>
      </c>
      <c r="H32" s="61">
        <v>0.01</v>
      </c>
      <c r="I32" s="61"/>
      <c r="J32" s="61"/>
    </row>
    <row r="36" spans="2:27" x14ac:dyDescent="0.35">
      <c r="AA36" t="s">
        <v>330</v>
      </c>
    </row>
    <row r="40" spans="2:27" x14ac:dyDescent="0.35">
      <c r="B40" t="s">
        <v>331</v>
      </c>
    </row>
    <row r="41" spans="2:27" x14ac:dyDescent="0.35">
      <c r="B41" s="57" t="s">
        <v>332</v>
      </c>
      <c r="S41" s="127"/>
    </row>
    <row r="42" spans="2:27" x14ac:dyDescent="0.35">
      <c r="S42" s="127"/>
      <c r="AA42" t="s">
        <v>333</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334</v>
      </c>
      <c r="M49" s="58"/>
      <c r="N49" s="58"/>
      <c r="O49" s="58"/>
      <c r="P49" s="58"/>
      <c r="Q49" s="58"/>
      <c r="R49" s="58"/>
      <c r="S49" s="127"/>
      <c r="T49" s="127"/>
      <c r="U49" s="127"/>
    </row>
    <row r="50" spans="5:44" x14ac:dyDescent="0.35">
      <c r="L50" s="58"/>
      <c r="M50" s="58" t="s">
        <v>335</v>
      </c>
      <c r="N50" s="58" t="s">
        <v>327</v>
      </c>
      <c r="O50" s="58" t="s">
        <v>328</v>
      </c>
      <c r="P50" s="58" t="s">
        <v>336</v>
      </c>
      <c r="Q50" s="58" t="s">
        <v>266</v>
      </c>
      <c r="R50" s="58" t="s">
        <v>337</v>
      </c>
      <c r="S50" s="58" t="s">
        <v>338</v>
      </c>
      <c r="T50" s="58" t="s">
        <v>339</v>
      </c>
      <c r="U50" s="127"/>
      <c r="AO50" t="s">
        <v>340</v>
      </c>
    </row>
    <row r="51" spans="5:44" x14ac:dyDescent="0.3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35">
      <c r="L54" s="58" t="s">
        <v>347</v>
      </c>
      <c r="M54" s="89"/>
      <c r="N54" s="89"/>
      <c r="O54" s="89"/>
      <c r="P54" s="89"/>
      <c r="Q54" s="89"/>
      <c r="R54" s="89"/>
      <c r="S54" s="89"/>
    </row>
    <row r="55" spans="5:44" x14ac:dyDescent="0.35">
      <c r="F55" t="s">
        <v>348</v>
      </c>
      <c r="G55" t="s">
        <v>349</v>
      </c>
      <c r="H55" t="s">
        <v>118</v>
      </c>
      <c r="M55" s="58" t="s">
        <v>335</v>
      </c>
      <c r="N55" s="58" t="s">
        <v>327</v>
      </c>
      <c r="O55" s="58" t="s">
        <v>328</v>
      </c>
      <c r="P55" s="58" t="s">
        <v>336</v>
      </c>
      <c r="Q55" s="58" t="s">
        <v>266</v>
      </c>
      <c r="R55" s="58" t="s">
        <v>337</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35">
      <c r="E58" t="s">
        <v>118</v>
      </c>
      <c r="H58" s="60">
        <f>H56*T52+T51*H57</f>
        <v>58.083908045977005</v>
      </c>
      <c r="S58" t="s">
        <v>351</v>
      </c>
    </row>
    <row r="61" spans="5:44" x14ac:dyDescent="0.35">
      <c r="AA61" t="s">
        <v>352</v>
      </c>
    </row>
    <row r="64" spans="5:44" x14ac:dyDescent="0.35">
      <c r="AN64" t="s">
        <v>82</v>
      </c>
      <c r="AO64" s="85">
        <v>0.02</v>
      </c>
    </row>
    <row r="70" spans="12:39" x14ac:dyDescent="0.35">
      <c r="M70" t="s">
        <v>335</v>
      </c>
      <c r="N70" s="58" t="s">
        <v>327</v>
      </c>
      <c r="O70" s="58" t="s">
        <v>328</v>
      </c>
      <c r="P70" s="58" t="s">
        <v>336</v>
      </c>
      <c r="Q70" s="58" t="s">
        <v>266</v>
      </c>
      <c r="R70" s="58" t="s">
        <v>262</v>
      </c>
      <c r="S70" s="61" t="s">
        <v>353</v>
      </c>
      <c r="T70" s="61" t="s">
        <v>354</v>
      </c>
    </row>
    <row r="71" spans="12:39" x14ac:dyDescent="0.35">
      <c r="L71" s="61" t="s">
        <v>355</v>
      </c>
      <c r="N71" s="91">
        <v>0.7</v>
      </c>
      <c r="O71" s="91">
        <v>0.13</v>
      </c>
      <c r="P71" s="91">
        <v>0.38</v>
      </c>
      <c r="Q71" s="91">
        <v>0.11</v>
      </c>
      <c r="R71" s="91">
        <v>0.35</v>
      </c>
      <c r="S71" s="72">
        <f>SUMPRODUCT(N71:R71,N57:R57)-T72</f>
        <v>0.26812151014720248</v>
      </c>
      <c r="T71" s="91"/>
    </row>
    <row r="72" spans="12:39" x14ac:dyDescent="0.35">
      <c r="L72" s="61" t="s">
        <v>356</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357</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358</v>
      </c>
    </row>
    <row r="81" spans="2:41" x14ac:dyDescent="0.35">
      <c r="AM81" s="68">
        <v>4.2000000000000003E-2</v>
      </c>
      <c r="AN81" t="s">
        <v>342</v>
      </c>
    </row>
    <row r="82" spans="2:41" x14ac:dyDescent="0.35">
      <c r="AM82" s="68">
        <v>1.9E-2</v>
      </c>
      <c r="AN82" t="s">
        <v>344</v>
      </c>
    </row>
    <row r="83" spans="2:41" x14ac:dyDescent="0.35">
      <c r="AM83" s="91">
        <f>(AM81-AM82*AP53)/AP52</f>
        <v>0.12973663938372654</v>
      </c>
      <c r="AN83" t="s">
        <v>343</v>
      </c>
    </row>
    <row r="91" spans="2:41" x14ac:dyDescent="0.35">
      <c r="B91" t="s">
        <v>359</v>
      </c>
    </row>
    <row r="92" spans="2:41" x14ac:dyDescent="0.35">
      <c r="B92" t="s">
        <v>360</v>
      </c>
      <c r="AA92" t="s">
        <v>361</v>
      </c>
    </row>
    <row r="94" spans="2:41" x14ac:dyDescent="0.35">
      <c r="AM94" s="68">
        <v>5.0999999999999997E-2</v>
      </c>
      <c r="AN94" t="s">
        <v>343</v>
      </c>
      <c r="AO94" t="s">
        <v>362</v>
      </c>
    </row>
    <row r="95" spans="2:41" x14ac:dyDescent="0.35">
      <c r="L95" s="185">
        <v>0.68</v>
      </c>
      <c r="M95" t="s">
        <v>363</v>
      </c>
      <c r="AM95" s="115">
        <v>1.9E-2</v>
      </c>
      <c r="AN95" t="s">
        <v>344</v>
      </c>
      <c r="AO95" t="s">
        <v>364</v>
      </c>
    </row>
    <row r="96" spans="2:41" x14ac:dyDescent="0.35">
      <c r="AM96" s="116">
        <f>AM94*AP52+AM95*AP53</f>
        <v>2.56464E-2</v>
      </c>
      <c r="AN96" t="s">
        <v>342</v>
      </c>
    </row>
    <row r="101" spans="2:27" x14ac:dyDescent="0.35">
      <c r="B101" s="57" t="s">
        <v>365</v>
      </c>
    </row>
    <row r="108" spans="2:27" x14ac:dyDescent="0.35">
      <c r="J108" s="185">
        <v>0.25</v>
      </c>
    </row>
    <row r="112" spans="2:27" x14ac:dyDescent="0.35">
      <c r="AA112" t="s">
        <v>2211</v>
      </c>
    </row>
    <row r="116" spans="40:40" x14ac:dyDescent="0.35">
      <c r="AN116" s="332">
        <v>0.14810999999999999</v>
      </c>
    </row>
    <row r="129" spans="2:27" x14ac:dyDescent="0.35">
      <c r="B129" t="s">
        <v>366</v>
      </c>
    </row>
    <row r="130" spans="2:27" x14ac:dyDescent="0.35">
      <c r="B130" t="s">
        <v>367</v>
      </c>
    </row>
    <row r="136" spans="2:27" x14ac:dyDescent="0.35">
      <c r="AA136" t="s">
        <v>2241</v>
      </c>
    </row>
    <row r="140" spans="2:27" x14ac:dyDescent="0.35">
      <c r="B140" t="s">
        <v>368</v>
      </c>
      <c r="K140" t="s">
        <v>1848</v>
      </c>
    </row>
    <row r="141" spans="2:27" x14ac:dyDescent="0.35">
      <c r="M141" t="s">
        <v>369</v>
      </c>
      <c r="N141" t="s">
        <v>370</v>
      </c>
    </row>
    <row r="142" spans="2:27" x14ac:dyDescent="0.35">
      <c r="L142" t="s">
        <v>371</v>
      </c>
      <c r="M142">
        <v>163</v>
      </c>
      <c r="N142">
        <v>37</v>
      </c>
      <c r="O142" t="s">
        <v>372</v>
      </c>
      <c r="Q142" s="47">
        <f>AVERAGE('mort adult m'!I275,'mort adult f'!I275)</f>
        <v>203.5595663710973</v>
      </c>
      <c r="R142" t="s">
        <v>373</v>
      </c>
    </row>
    <row r="143" spans="2:27" x14ac:dyDescent="0.35">
      <c r="L143" t="s">
        <v>337</v>
      </c>
      <c r="M143" s="47">
        <f>M144-M142</f>
        <v>551.91228070175441</v>
      </c>
      <c r="N143" s="47">
        <f>N144-N142</f>
        <v>47.474885844748854</v>
      </c>
      <c r="Q143" s="47">
        <f>Q142*100/(60-15)</f>
        <v>452.35459193577179</v>
      </c>
      <c r="R143" t="s">
        <v>374</v>
      </c>
    </row>
    <row r="144" spans="2:27" x14ac:dyDescent="0.35">
      <c r="L144" t="s">
        <v>118</v>
      </c>
      <c r="M144" s="73">
        <f>M142/0.228</f>
        <v>714.91228070175441</v>
      </c>
      <c r="N144" s="6">
        <f>N142/0.438</f>
        <v>84.474885844748854</v>
      </c>
      <c r="Q144" s="75">
        <f>N144/Q143</f>
        <v>0.18674483989043519</v>
      </c>
      <c r="R144" t="s">
        <v>375</v>
      </c>
    </row>
    <row r="145" spans="12:15" x14ac:dyDescent="0.35">
      <c r="N145" s="76">
        <f>N144/M144</f>
        <v>0.11816119001596771</v>
      </c>
      <c r="O145" t="s">
        <v>376</v>
      </c>
    </row>
    <row r="150" spans="12:15" x14ac:dyDescent="0.35">
      <c r="L150" t="s">
        <v>377</v>
      </c>
      <c r="N150" s="68">
        <v>0.78310000000000002</v>
      </c>
      <c r="O150" t="s">
        <v>378</v>
      </c>
    </row>
    <row r="151" spans="12:15" x14ac:dyDescent="0.35">
      <c r="L151" t="s">
        <v>379</v>
      </c>
      <c r="N151" s="54">
        <v>0.86</v>
      </c>
      <c r="O151" t="s">
        <v>380</v>
      </c>
    </row>
    <row r="152" spans="12:15" x14ac:dyDescent="0.35">
      <c r="L152" t="s">
        <v>381</v>
      </c>
      <c r="N152" s="74">
        <f>N151/N150</f>
        <v>1.0981994636700294</v>
      </c>
    </row>
    <row r="157" spans="12:15" x14ac:dyDescent="0.35">
      <c r="L157" t="s">
        <v>382</v>
      </c>
    </row>
    <row r="158" spans="12:15" x14ac:dyDescent="0.35">
      <c r="L158" s="72">
        <f>0.373+0.163</f>
        <v>0.53600000000000003</v>
      </c>
    </row>
    <row r="164" spans="2:35" x14ac:dyDescent="0.35">
      <c r="B164" t="s">
        <v>383</v>
      </c>
    </row>
    <row r="165" spans="2:35" x14ac:dyDescent="0.35">
      <c r="M165" s="54"/>
    </row>
    <row r="166" spans="2:35" x14ac:dyDescent="0.35">
      <c r="M166" s="54"/>
      <c r="AA166" s="68">
        <v>0.48499999999999999</v>
      </c>
    </row>
    <row r="170" spans="2:35" x14ac:dyDescent="0.35">
      <c r="AA170" t="s">
        <v>2443</v>
      </c>
    </row>
    <row r="171" spans="2:35" x14ac:dyDescent="0.35">
      <c r="B171" t="s">
        <v>384</v>
      </c>
    </row>
    <row r="172" spans="2:35" x14ac:dyDescent="0.35">
      <c r="K172" s="54">
        <v>0.25</v>
      </c>
      <c r="L172" t="s">
        <v>385</v>
      </c>
      <c r="AI172" s="332">
        <v>8.6999999999999994E-2</v>
      </c>
    </row>
    <row r="173" spans="2:35" x14ac:dyDescent="0.35">
      <c r="K173" s="54">
        <f>1-0.78</f>
        <v>0.21999999999999997</v>
      </c>
      <c r="L173" t="s">
        <v>386</v>
      </c>
      <c r="M173" t="s">
        <v>345</v>
      </c>
    </row>
    <row r="174" spans="2:35" x14ac:dyDescent="0.35">
      <c r="K174" s="84">
        <f>K172*K173</f>
        <v>5.4999999999999993E-2</v>
      </c>
      <c r="L174" t="s">
        <v>387</v>
      </c>
    </row>
    <row r="176" spans="2:35" x14ac:dyDescent="0.35">
      <c r="K176" s="54" t="e">
        <f>#REF!</f>
        <v>#REF!</v>
      </c>
      <c r="L176" t="s">
        <v>388</v>
      </c>
    </row>
    <row r="177" spans="2:38" x14ac:dyDescent="0.35">
      <c r="K177" s="54">
        <v>1</v>
      </c>
      <c r="L177" t="s">
        <v>389</v>
      </c>
    </row>
    <row r="179" spans="2:38" x14ac:dyDescent="0.35">
      <c r="K179" s="85">
        <f>L95/(1-K174)</f>
        <v>0.71957671957671954</v>
      </c>
      <c r="L179" t="s">
        <v>390</v>
      </c>
    </row>
    <row r="180" spans="2:38" x14ac:dyDescent="0.35">
      <c r="AA180" t="s">
        <v>2444</v>
      </c>
    </row>
    <row r="182" spans="2:38" x14ac:dyDescent="0.35">
      <c r="AA182" s="68">
        <v>3.5999999999999997E-2</v>
      </c>
      <c r="AB182" t="s">
        <v>2445</v>
      </c>
    </row>
    <row r="183" spans="2:38" x14ac:dyDescent="0.35">
      <c r="B183" t="s">
        <v>391</v>
      </c>
      <c r="AB183" t="s">
        <v>2446</v>
      </c>
    </row>
    <row r="184" spans="2:38" x14ac:dyDescent="0.35">
      <c r="B184" t="s">
        <v>322</v>
      </c>
      <c r="AB184" t="s">
        <v>2447</v>
      </c>
    </row>
    <row r="185" spans="2:38" x14ac:dyDescent="0.35">
      <c r="AB185" t="s">
        <v>2448</v>
      </c>
    </row>
    <row r="186" spans="2:38" x14ac:dyDescent="0.35">
      <c r="M186">
        <v>4.7</v>
      </c>
      <c r="N186" t="s">
        <v>342</v>
      </c>
      <c r="AA186" s="185">
        <v>0.05</v>
      </c>
      <c r="AB186" t="s">
        <v>2449</v>
      </c>
    </row>
    <row r="187" spans="2:38" x14ac:dyDescent="0.35">
      <c r="M187" s="60">
        <v>5</v>
      </c>
      <c r="N187" t="s">
        <v>344</v>
      </c>
    </row>
    <row r="188" spans="2:38" x14ac:dyDescent="0.35">
      <c r="M188">
        <v>4.0999999999999996</v>
      </c>
      <c r="N188" t="s">
        <v>343</v>
      </c>
    </row>
    <row r="190" spans="2:38" x14ac:dyDescent="0.35">
      <c r="AA190" t="s">
        <v>2502</v>
      </c>
      <c r="AL190" t="s">
        <v>2503</v>
      </c>
    </row>
    <row r="191" spans="2:38" x14ac:dyDescent="0.35">
      <c r="AL191" s="185">
        <v>0.15</v>
      </c>
    </row>
    <row r="192" spans="2:38" x14ac:dyDescent="0.35">
      <c r="B192" t="s">
        <v>392</v>
      </c>
    </row>
    <row r="205" spans="27:38" x14ac:dyDescent="0.35">
      <c r="AA205" t="s">
        <v>2505</v>
      </c>
    </row>
    <row r="206" spans="27:38" x14ac:dyDescent="0.35">
      <c r="AA206" s="127" t="s">
        <v>2506</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2507</v>
      </c>
    </row>
    <row r="217" spans="2:39" x14ac:dyDescent="0.35">
      <c r="C217">
        <f>C216*26</f>
        <v>1.7160000000000002</v>
      </c>
      <c r="O217">
        <f>O216*26</f>
        <v>3.0679999999999996</v>
      </c>
      <c r="AL217" s="115">
        <v>0.16600000000000001</v>
      </c>
      <c r="AM217" t="s">
        <v>2508</v>
      </c>
    </row>
    <row r="219" spans="2:39" x14ac:dyDescent="0.35">
      <c r="B219" t="s">
        <v>393</v>
      </c>
    </row>
    <row r="220" spans="2:39" x14ac:dyDescent="0.35">
      <c r="B220" t="s">
        <v>394</v>
      </c>
    </row>
    <row r="221" spans="2:39" x14ac:dyDescent="0.35">
      <c r="B221" t="s">
        <v>395</v>
      </c>
    </row>
    <row r="222" spans="2:39" x14ac:dyDescent="0.35">
      <c r="B222" t="s">
        <v>396</v>
      </c>
    </row>
    <row r="227" spans="2:35" x14ac:dyDescent="0.35">
      <c r="B227" t="s">
        <v>397</v>
      </c>
    </row>
    <row r="228" spans="2:35" x14ac:dyDescent="0.35">
      <c r="B228" t="s">
        <v>398</v>
      </c>
      <c r="AA228" t="s">
        <v>2509</v>
      </c>
    </row>
    <row r="235" spans="2:35" x14ac:dyDescent="0.35">
      <c r="B235" s="57" t="s">
        <v>399</v>
      </c>
    </row>
    <row r="238" spans="2:35" x14ac:dyDescent="0.35">
      <c r="K238" s="115">
        <v>0.21579999999999999</v>
      </c>
    </row>
    <row r="239" spans="2:35" x14ac:dyDescent="0.35">
      <c r="AI239" t="s">
        <v>2510</v>
      </c>
    </row>
    <row r="240" spans="2:35" x14ac:dyDescent="0.35">
      <c r="AI240" s="115">
        <v>0.14499999999999999</v>
      </c>
    </row>
    <row r="244" spans="2:39" x14ac:dyDescent="0.35">
      <c r="B244" s="57" t="s">
        <v>400</v>
      </c>
    </row>
    <row r="249" spans="2:39" x14ac:dyDescent="0.35">
      <c r="P249" t="s">
        <v>401</v>
      </c>
      <c r="R249" t="s">
        <v>402</v>
      </c>
    </row>
    <row r="250" spans="2:39" x14ac:dyDescent="0.35">
      <c r="P250">
        <v>11</v>
      </c>
      <c r="Q250" t="s">
        <v>403</v>
      </c>
      <c r="R250" t="s">
        <v>404</v>
      </c>
      <c r="AA250" t="s">
        <v>2511</v>
      </c>
    </row>
    <row r="251" spans="2:39" x14ac:dyDescent="0.35">
      <c r="P251">
        <v>26</v>
      </c>
      <c r="Q251" t="s">
        <v>405</v>
      </c>
      <c r="R251" t="s">
        <v>404</v>
      </c>
    </row>
    <row r="252" spans="2:39" x14ac:dyDescent="0.35">
      <c r="P252">
        <v>21</v>
      </c>
      <c r="Q252" t="s">
        <v>406</v>
      </c>
      <c r="R252" t="s">
        <v>404</v>
      </c>
      <c r="AL252" s="54">
        <v>0.25</v>
      </c>
      <c r="AM252" t="s">
        <v>2512</v>
      </c>
    </row>
    <row r="253" spans="2:39" x14ac:dyDescent="0.35">
      <c r="P253">
        <v>5</v>
      </c>
      <c r="Q253" t="s">
        <v>407</v>
      </c>
      <c r="R253" t="s">
        <v>408</v>
      </c>
      <c r="AL253" s="54">
        <v>0.25</v>
      </c>
      <c r="AM253" t="s">
        <v>2513</v>
      </c>
    </row>
    <row r="254" spans="2:39" x14ac:dyDescent="0.35">
      <c r="Q254" t="s">
        <v>409</v>
      </c>
      <c r="R254" t="s">
        <v>410</v>
      </c>
    </row>
    <row r="255" spans="2:39" x14ac:dyDescent="0.35">
      <c r="P255">
        <v>5</v>
      </c>
      <c r="Q255" t="s">
        <v>411</v>
      </c>
      <c r="R255" t="s">
        <v>412</v>
      </c>
      <c r="AL255" s="361">
        <f>AL252*AL253*1.6</f>
        <v>0.1</v>
      </c>
      <c r="AM255" s="127" t="s">
        <v>2514</v>
      </c>
    </row>
    <row r="256" spans="2:39" x14ac:dyDescent="0.35">
      <c r="O256" s="116">
        <f>P256*1000000/P260</f>
        <v>9.9171468987202336E-3</v>
      </c>
      <c r="P256">
        <v>1</v>
      </c>
      <c r="Q256" t="s">
        <v>413</v>
      </c>
      <c r="R256" t="s">
        <v>414</v>
      </c>
    </row>
    <row r="257" spans="2:28" x14ac:dyDescent="0.35">
      <c r="P257">
        <v>10</v>
      </c>
      <c r="Q257" t="s">
        <v>415</v>
      </c>
      <c r="R257" t="s">
        <v>416</v>
      </c>
    </row>
    <row r="259" spans="2:28" x14ac:dyDescent="0.35">
      <c r="P259" s="6">
        <f>SUM(P250:P257)*1000000</f>
        <v>79000000</v>
      </c>
      <c r="Q259" t="s">
        <v>417</v>
      </c>
    </row>
    <row r="260" spans="2:28" x14ac:dyDescent="0.35">
      <c r="P260" s="6">
        <f>(SUM('Pop M'!I481:AC481)+SUM('Pop F'!I481:AC481))*1000</f>
        <v>100835453.00000001</v>
      </c>
      <c r="Q260" t="s">
        <v>418</v>
      </c>
    </row>
    <row r="261" spans="2:28" x14ac:dyDescent="0.35">
      <c r="P261" s="61">
        <f>P259/P260</f>
        <v>0.78345460499889841</v>
      </c>
      <c r="Q261" t="s">
        <v>419</v>
      </c>
    </row>
    <row r="263" spans="2:28" x14ac:dyDescent="0.35">
      <c r="P263" t="s">
        <v>420</v>
      </c>
    </row>
    <row r="266" spans="2:28" x14ac:dyDescent="0.35">
      <c r="AA266" t="s">
        <v>2517</v>
      </c>
    </row>
    <row r="267" spans="2:28" x14ac:dyDescent="0.35">
      <c r="AA267" t="s">
        <v>2518</v>
      </c>
    </row>
    <row r="268" spans="2:28" x14ac:dyDescent="0.35">
      <c r="AA268" t="s">
        <v>2519</v>
      </c>
    </row>
    <row r="269" spans="2:28" x14ac:dyDescent="0.35">
      <c r="AA269" t="s">
        <v>2520</v>
      </c>
    </row>
    <row r="271" spans="2:28" x14ac:dyDescent="0.35">
      <c r="AA271" s="127" t="s">
        <v>2521</v>
      </c>
    </row>
    <row r="272" spans="2:28" x14ac:dyDescent="0.35">
      <c r="B272" s="57" t="s">
        <v>421</v>
      </c>
      <c r="AA272" s="366">
        <v>1.4999999999999999E-2</v>
      </c>
      <c r="AB272" t="s">
        <v>2522</v>
      </c>
    </row>
    <row r="273" spans="2:27" x14ac:dyDescent="0.35">
      <c r="C273" t="s">
        <v>422</v>
      </c>
      <c r="D273" t="s">
        <v>423</v>
      </c>
      <c r="E273" t="s">
        <v>424</v>
      </c>
    </row>
    <row r="274" spans="2:27" x14ac:dyDescent="0.35">
      <c r="B274" t="s">
        <v>425</v>
      </c>
      <c r="C274" s="89">
        <v>2.08</v>
      </c>
      <c r="D274" s="6">
        <v>2232580</v>
      </c>
      <c r="AA274" t="s">
        <v>2523</v>
      </c>
    </row>
    <row r="275" spans="2:27" x14ac:dyDescent="0.35">
      <c r="B275" t="s">
        <v>426</v>
      </c>
      <c r="C275" s="89">
        <v>1.28</v>
      </c>
      <c r="D275" s="6">
        <v>1372230</v>
      </c>
    </row>
    <row r="276" spans="2:27" x14ac:dyDescent="0.35">
      <c r="B276" t="s">
        <v>427</v>
      </c>
      <c r="C276" s="89">
        <v>0.7</v>
      </c>
      <c r="D276" s="6">
        <v>758000</v>
      </c>
    </row>
    <row r="277" spans="2:27" x14ac:dyDescent="0.35">
      <c r="B277" t="s">
        <v>428</v>
      </c>
      <c r="C277" s="89">
        <v>0</v>
      </c>
      <c r="D277" s="6">
        <v>0</v>
      </c>
      <c r="E277" t="s">
        <v>429</v>
      </c>
    </row>
    <row r="278" spans="2:27" x14ac:dyDescent="0.35">
      <c r="B278" t="s">
        <v>430</v>
      </c>
      <c r="C278" s="89">
        <v>0</v>
      </c>
      <c r="D278" s="6">
        <v>0</v>
      </c>
    </row>
    <row r="279" spans="2:27" x14ac:dyDescent="0.35">
      <c r="B279" t="s">
        <v>431</v>
      </c>
      <c r="C279" s="89">
        <v>0</v>
      </c>
      <c r="D279" s="6">
        <v>0</v>
      </c>
    </row>
    <row r="284" spans="2:27" x14ac:dyDescent="0.35">
      <c r="B284" t="s">
        <v>2524</v>
      </c>
    </row>
    <row r="285" spans="2:27" x14ac:dyDescent="0.35">
      <c r="B285" t="s">
        <v>2525</v>
      </c>
    </row>
    <row r="286" spans="2:27" x14ac:dyDescent="0.35">
      <c r="F286" t="s">
        <v>2526</v>
      </c>
    </row>
    <row r="288" spans="2:27" x14ac:dyDescent="0.35">
      <c r="K288" s="332">
        <v>9.6000000000000002E-2</v>
      </c>
      <c r="L288" t="s">
        <v>2527</v>
      </c>
    </row>
    <row r="300" spans="2:27" x14ac:dyDescent="0.35">
      <c r="B300" t="s">
        <v>2528</v>
      </c>
    </row>
    <row r="301" spans="2:27" x14ac:dyDescent="0.35">
      <c r="AA301" t="s">
        <v>2541</v>
      </c>
    </row>
    <row r="302" spans="2:27" ht="14.5" customHeight="1" x14ac:dyDescent="0.35">
      <c r="H302" s="185">
        <v>0.14000000000000001</v>
      </c>
      <c r="I302" s="427" t="s">
        <v>2529</v>
      </c>
      <c r="J302" s="427"/>
      <c r="K302" s="427"/>
      <c r="L302" s="427"/>
      <c r="M302" s="427"/>
      <c r="N302" s="427"/>
      <c r="O302" s="427"/>
      <c r="P302" s="427"/>
      <c r="Q302" s="427"/>
    </row>
    <row r="303" spans="2:27" x14ac:dyDescent="0.35">
      <c r="I303" s="427"/>
      <c r="J303" s="427"/>
      <c r="K303" s="427"/>
      <c r="L303" s="427"/>
      <c r="M303" s="427"/>
      <c r="N303" s="427"/>
      <c r="O303" s="427"/>
      <c r="P303" s="427"/>
      <c r="Q303" s="427"/>
    </row>
    <row r="308" spans="2:30" x14ac:dyDescent="0.35">
      <c r="B308" t="s">
        <v>2531</v>
      </c>
    </row>
    <row r="316" spans="2:30" x14ac:dyDescent="0.35">
      <c r="B316" s="68">
        <v>0.13020000000000001</v>
      </c>
      <c r="C316" t="s">
        <v>2532</v>
      </c>
    </row>
    <row r="317" spans="2:30" x14ac:dyDescent="0.35">
      <c r="B317">
        <f>(49-15)</f>
        <v>34</v>
      </c>
      <c r="C317" t="s">
        <v>2533</v>
      </c>
    </row>
    <row r="318" spans="2:30" x14ac:dyDescent="0.35">
      <c r="B318" s="188">
        <f>B316/B317</f>
        <v>3.8294117647058828E-3</v>
      </c>
      <c r="C318" t="s">
        <v>2534</v>
      </c>
      <c r="AA318" t="s">
        <v>2542</v>
      </c>
      <c r="AD318" s="332">
        <v>0.29070000000000001</v>
      </c>
    </row>
    <row r="319" spans="2:30" x14ac:dyDescent="0.35">
      <c r="C319" s="127" t="s">
        <v>2535</v>
      </c>
    </row>
    <row r="320" spans="2:30" x14ac:dyDescent="0.35">
      <c r="C320" s="127" t="s">
        <v>2536</v>
      </c>
    </row>
    <row r="321" spans="2:28" x14ac:dyDescent="0.35">
      <c r="C321" s="127" t="s">
        <v>2537</v>
      </c>
      <c r="AA321" t="s">
        <v>332</v>
      </c>
    </row>
    <row r="322" spans="2:28" x14ac:dyDescent="0.35">
      <c r="AA322" t="s">
        <v>2543</v>
      </c>
      <c r="AB322" s="185">
        <v>0.03</v>
      </c>
    </row>
    <row r="323" spans="2:28" x14ac:dyDescent="0.35">
      <c r="B323" s="332">
        <v>0.37019999999999997</v>
      </c>
      <c r="C323" s="58" t="s">
        <v>2538</v>
      </c>
      <c r="AA323" s="367" t="s">
        <v>2544</v>
      </c>
      <c r="AB323" s="185">
        <v>0.02</v>
      </c>
    </row>
    <row r="324" spans="2:28" x14ac:dyDescent="0.35">
      <c r="AA324" t="s">
        <v>849</v>
      </c>
      <c r="AB324" s="185">
        <v>0.01</v>
      </c>
    </row>
    <row r="333" spans="2:28" x14ac:dyDescent="0.35">
      <c r="B333" t="s">
        <v>332</v>
      </c>
    </row>
    <row r="335" spans="2:28" x14ac:dyDescent="0.35">
      <c r="B335" t="s">
        <v>2550</v>
      </c>
    </row>
    <row r="336" spans="2:28" x14ac:dyDescent="0.35">
      <c r="B336" t="s">
        <v>2551</v>
      </c>
      <c r="C336" s="68">
        <v>3.9E-2</v>
      </c>
      <c r="E336" t="s">
        <v>2553</v>
      </c>
    </row>
    <row r="337" spans="2:3" x14ac:dyDescent="0.35">
      <c r="B337" t="s">
        <v>2552</v>
      </c>
      <c r="C337" s="68">
        <v>3.5999999999999997E-2</v>
      </c>
    </row>
    <row r="356" spans="27:37" x14ac:dyDescent="0.35">
      <c r="AA356" t="s">
        <v>2575</v>
      </c>
      <c r="AI356" t="s">
        <v>2577</v>
      </c>
    </row>
    <row r="357" spans="27:37" x14ac:dyDescent="0.35">
      <c r="AA357" t="s">
        <v>2576</v>
      </c>
    </row>
    <row r="359" spans="27:37" x14ac:dyDescent="0.35">
      <c r="AJ359" s="68">
        <v>8.8999999999999996E-2</v>
      </c>
      <c r="AK359" t="s">
        <v>2578</v>
      </c>
    </row>
    <row r="369" spans="2:40" x14ac:dyDescent="0.35">
      <c r="B369" t="s">
        <v>2560</v>
      </c>
    </row>
    <row r="370" spans="2:40" x14ac:dyDescent="0.35">
      <c r="B370" t="s">
        <v>2561</v>
      </c>
    </row>
    <row r="380" spans="2:40" x14ac:dyDescent="0.35">
      <c r="AA380" t="s">
        <v>2580</v>
      </c>
    </row>
    <row r="382" spans="2:40" x14ac:dyDescent="0.35">
      <c r="AA382" s="57" t="s">
        <v>2581</v>
      </c>
    </row>
    <row r="384" spans="2:40" x14ac:dyDescent="0.35">
      <c r="AM384" t="s">
        <v>1943</v>
      </c>
      <c r="AN384">
        <f>1000/1000000</f>
        <v>1E-3</v>
      </c>
    </row>
    <row r="386" spans="10:41" x14ac:dyDescent="0.35">
      <c r="AM386" t="s">
        <v>2583</v>
      </c>
      <c r="AN386">
        <v>360</v>
      </c>
    </row>
    <row r="387" spans="10:41" x14ac:dyDescent="0.35">
      <c r="AM387" t="s">
        <v>2584</v>
      </c>
      <c r="AN387">
        <v>180</v>
      </c>
    </row>
    <row r="388" spans="10:41" x14ac:dyDescent="0.35">
      <c r="AM388" t="s">
        <v>2585</v>
      </c>
      <c r="AN388">
        <v>890</v>
      </c>
    </row>
    <row r="390" spans="10:41" x14ac:dyDescent="0.35">
      <c r="AM390" t="s">
        <v>2587</v>
      </c>
      <c r="AN390" s="89">
        <f>AN387*0.172+283.132</f>
        <v>314.09199999999998</v>
      </c>
    </row>
    <row r="391" spans="10:41" x14ac:dyDescent="0.35">
      <c r="AM391" t="s">
        <v>2586</v>
      </c>
      <c r="AN391" s="370">
        <f>0.172*(AN388-AN387)+AN386</f>
        <v>482.12</v>
      </c>
      <c r="AO391" s="3"/>
    </row>
    <row r="393" spans="10:41" x14ac:dyDescent="0.35">
      <c r="AM393" t="s">
        <v>2591</v>
      </c>
      <c r="AN393" s="332">
        <v>3.1199999999999999E-2</v>
      </c>
    </row>
    <row r="395" spans="10:41" x14ac:dyDescent="0.35">
      <c r="AM395" t="s">
        <v>2588</v>
      </c>
    </row>
    <row r="396" spans="10:41" x14ac:dyDescent="0.35">
      <c r="L396" t="s">
        <v>581</v>
      </c>
      <c r="M396" t="s">
        <v>582</v>
      </c>
      <c r="N396" t="s">
        <v>118</v>
      </c>
      <c r="AM396" t="s">
        <v>2589</v>
      </c>
    </row>
    <row r="397" spans="10:41" x14ac:dyDescent="0.35">
      <c r="J397" t="s">
        <v>2562</v>
      </c>
      <c r="L397">
        <v>18895</v>
      </c>
      <c r="M397">
        <v>32970</v>
      </c>
      <c r="N397">
        <f>M397+L397</f>
        <v>51865</v>
      </c>
    </row>
    <row r="398" spans="10:41" x14ac:dyDescent="0.35">
      <c r="J398" t="s">
        <v>436</v>
      </c>
      <c r="L398">
        <v>57516835</v>
      </c>
      <c r="M398">
        <v>57446748</v>
      </c>
      <c r="N398">
        <f>M398+L398</f>
        <v>114963583</v>
      </c>
      <c r="P398" t="s">
        <v>2564</v>
      </c>
    </row>
    <row r="399" spans="10:41" x14ac:dyDescent="0.35">
      <c r="J399" t="s">
        <v>2563</v>
      </c>
      <c r="L399">
        <f>L397/L398</f>
        <v>3.2851251290165739E-4</v>
      </c>
      <c r="M399">
        <f>M397/M398</f>
        <v>5.7392282675426643E-4</v>
      </c>
      <c r="N399">
        <f>N397/N398</f>
        <v>4.5114286321434503E-4</v>
      </c>
      <c r="P399" t="s">
        <v>2565</v>
      </c>
    </row>
    <row r="401" spans="2:27" x14ac:dyDescent="0.35">
      <c r="AA401" t="s">
        <v>2582</v>
      </c>
    </row>
    <row r="403" spans="2:27" x14ac:dyDescent="0.35">
      <c r="B403" t="s">
        <v>2568</v>
      </c>
    </row>
    <row r="405" spans="2:27" x14ac:dyDescent="0.35">
      <c r="B405" t="s">
        <v>2569</v>
      </c>
    </row>
    <row r="406" spans="2:27" x14ac:dyDescent="0.35">
      <c r="B406" t="s">
        <v>2570</v>
      </c>
    </row>
    <row r="407" spans="2:27" x14ac:dyDescent="0.35">
      <c r="B407" t="s">
        <v>2571</v>
      </c>
    </row>
    <row r="409" spans="2:27" x14ac:dyDescent="0.35">
      <c r="B409" t="s">
        <v>2559</v>
      </c>
    </row>
    <row r="411" spans="2:27" x14ac:dyDescent="0.35">
      <c r="AA411" t="s">
        <v>2594</v>
      </c>
    </row>
    <row r="412" spans="2:27" x14ac:dyDescent="0.35">
      <c r="AA412" t="s">
        <v>2595</v>
      </c>
    </row>
    <row r="413" spans="2:27" x14ac:dyDescent="0.35">
      <c r="AA413" t="s">
        <v>2596</v>
      </c>
    </row>
    <row r="414" spans="2:27" x14ac:dyDescent="0.35">
      <c r="AA414" t="s">
        <v>2597</v>
      </c>
    </row>
    <row r="417" spans="2:36" x14ac:dyDescent="0.35">
      <c r="AJ417" s="332">
        <v>0.155</v>
      </c>
    </row>
    <row r="425" spans="2:36" x14ac:dyDescent="0.35">
      <c r="B425" t="s">
        <v>392</v>
      </c>
    </row>
    <row r="448" spans="2:19" x14ac:dyDescent="0.35">
      <c r="B448" s="68">
        <v>3.2000000000000001E-2</v>
      </c>
      <c r="C448" t="s">
        <v>2608</v>
      </c>
      <c r="S448" t="s">
        <v>2619</v>
      </c>
    </row>
    <row r="449" spans="2:31" x14ac:dyDescent="0.35">
      <c r="C449" t="s">
        <v>2609</v>
      </c>
      <c r="S449" t="s">
        <v>2620</v>
      </c>
    </row>
    <row r="451" spans="2:31" x14ac:dyDescent="0.35">
      <c r="B451">
        <v>4.5999999999999996</v>
      </c>
      <c r="C451" t="s">
        <v>2610</v>
      </c>
    </row>
    <row r="453" spans="2:31" x14ac:dyDescent="0.35">
      <c r="B453" s="188">
        <f>B448/B451</f>
        <v>6.956521739130435E-3</v>
      </c>
      <c r="C453" t="s">
        <v>2611</v>
      </c>
    </row>
    <row r="454" spans="2:31" x14ac:dyDescent="0.35">
      <c r="C454" t="s">
        <v>2612</v>
      </c>
    </row>
    <row r="460" spans="2:31" x14ac:dyDescent="0.35">
      <c r="B460" s="54">
        <v>0.27</v>
      </c>
      <c r="C460" t="s">
        <v>2613</v>
      </c>
    </row>
    <row r="461" spans="2:31" x14ac:dyDescent="0.35">
      <c r="B461" s="54">
        <v>0.31</v>
      </c>
      <c r="C461" t="s">
        <v>2614</v>
      </c>
      <c r="AD461" t="s">
        <v>2625</v>
      </c>
    </row>
    <row r="462" spans="2:31" x14ac:dyDescent="0.35">
      <c r="C462" t="s">
        <v>2615</v>
      </c>
      <c r="AD462" s="68">
        <v>8.3000000000000004E-2</v>
      </c>
      <c r="AE462" t="s">
        <v>1868</v>
      </c>
    </row>
    <row r="463" spans="2:31" x14ac:dyDescent="0.35">
      <c r="AD463" s="68">
        <v>3.5000000000000003E-2</v>
      </c>
      <c r="AE463" t="s">
        <v>2621</v>
      </c>
    </row>
    <row r="464" spans="2:31" x14ac:dyDescent="0.35">
      <c r="B464" s="188">
        <f>B460*B453</f>
        <v>1.8782608695652177E-3</v>
      </c>
      <c r="C464" t="s">
        <v>2616</v>
      </c>
      <c r="AD464" s="54">
        <v>0.13</v>
      </c>
      <c r="AE464" t="s">
        <v>2622</v>
      </c>
    </row>
    <row r="465" spans="2:31" x14ac:dyDescent="0.35">
      <c r="B465" s="188">
        <f>B453*B461</f>
        <v>2.156521739130435E-3</v>
      </c>
      <c r="C465" t="s">
        <v>2617</v>
      </c>
    </row>
    <row r="466" spans="2:31" x14ac:dyDescent="0.35">
      <c r="AD466" t="s">
        <v>2623</v>
      </c>
    </row>
    <row r="467" spans="2:31" x14ac:dyDescent="0.35">
      <c r="AD467" t="s">
        <v>2624</v>
      </c>
    </row>
    <row r="468" spans="2:31" x14ac:dyDescent="0.35">
      <c r="B468" t="s">
        <v>2626</v>
      </c>
    </row>
    <row r="469" spans="2:31" x14ac:dyDescent="0.35">
      <c r="B469" t="s">
        <v>2627</v>
      </c>
      <c r="AD469" s="188">
        <f>AD462/8</f>
        <v>1.0375000000000001E-2</v>
      </c>
      <c r="AE469" t="s">
        <v>1868</v>
      </c>
    </row>
    <row r="470" spans="2:31" x14ac:dyDescent="0.35">
      <c r="B470" s="188">
        <v>0.33</v>
      </c>
      <c r="D470" t="s">
        <v>2628</v>
      </c>
      <c r="AD470">
        <f>AD463/8</f>
        <v>4.3750000000000004E-3</v>
      </c>
      <c r="AE470" t="s">
        <v>2621</v>
      </c>
    </row>
    <row r="471" spans="2:31" x14ac:dyDescent="0.35">
      <c r="AD471">
        <f>AD464/8</f>
        <v>1.6250000000000001E-2</v>
      </c>
      <c r="AE471" t="s">
        <v>2622</v>
      </c>
    </row>
    <row r="479" spans="2:31" x14ac:dyDescent="0.35">
      <c r="B479" t="s">
        <v>2629</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572</v>
      </c>
    </row>
    <row r="2" spans="1:22" x14ac:dyDescent="0.35">
      <c r="G2" t="s">
        <v>573</v>
      </c>
      <c r="I2" t="s">
        <v>574</v>
      </c>
    </row>
    <row r="3" spans="1:22" x14ac:dyDescent="0.35">
      <c r="G3" t="s">
        <v>575</v>
      </c>
      <c r="I3" s="178">
        <f>SUM(V6:V22)/1000</f>
        <v>10.092043800000001</v>
      </c>
      <c r="J3" t="s">
        <v>576</v>
      </c>
    </row>
    <row r="4" spans="1:22" x14ac:dyDescent="0.35">
      <c r="S4" s="428" t="s">
        <v>577</v>
      </c>
      <c r="T4" s="428"/>
      <c r="U4" s="428"/>
    </row>
    <row r="5" spans="1:22" x14ac:dyDescent="0.35">
      <c r="H5" t="s">
        <v>439</v>
      </c>
      <c r="I5" t="s">
        <v>578</v>
      </c>
      <c r="J5" t="s">
        <v>1799</v>
      </c>
      <c r="K5" t="s">
        <v>579</v>
      </c>
      <c r="L5" t="s">
        <v>580</v>
      </c>
      <c r="S5" t="s">
        <v>581</v>
      </c>
      <c r="T5" t="s">
        <v>582</v>
      </c>
      <c r="U5" t="s">
        <v>118</v>
      </c>
      <c r="V5" t="s">
        <v>583</v>
      </c>
    </row>
    <row r="6" spans="1:22" x14ac:dyDescent="0.3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3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3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3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3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3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3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3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3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3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608</v>
      </c>
      <c r="S18" s="6">
        <f>SUMIFS('Pop M'!I:I,'Pop M'!C:C,P18,'Pop M'!H:H,2000)</f>
        <v>73.69</v>
      </c>
      <c r="T18" s="6">
        <f>SUMIFS('Pop F'!I:I,'Pop F'!C:C,P18,'Pop F'!H:H,2000)</f>
        <v>72.668000000000006</v>
      </c>
      <c r="U18" s="6">
        <f t="shared" si="0"/>
        <v>146.358</v>
      </c>
      <c r="V18" s="6">
        <f t="shared" si="2"/>
        <v>29.271599999999999</v>
      </c>
    </row>
    <row r="19" spans="1:22" x14ac:dyDescent="0.35">
      <c r="P19" t="s">
        <v>609</v>
      </c>
      <c r="S19" s="6">
        <f>SUMIFS('Pop M'!I:I,'Pop M'!C:C,P19,'Pop M'!H:H,2000)</f>
        <v>2389.049</v>
      </c>
      <c r="T19" s="6">
        <f>SUMIFS('Pop F'!I:I,'Pop F'!C:C,P19,'Pop F'!H:H,2000)</f>
        <v>2347.4070000000002</v>
      </c>
      <c r="U19" s="6">
        <f t="shared" si="0"/>
        <v>4736.4560000000001</v>
      </c>
      <c r="V19" s="6">
        <f t="shared" si="2"/>
        <v>947.2912</v>
      </c>
    </row>
    <row r="20" spans="1:22" x14ac:dyDescent="0.3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611</v>
      </c>
      <c r="S21" s="6">
        <f>SUMIFS('Pop M'!I:I,'Pop M'!C:C,P21,'Pop M'!H:H,2000)</f>
        <v>961.10900000000004</v>
      </c>
      <c r="T21" s="6">
        <f>SUMIFS('Pop F'!I:I,'Pop F'!C:C,P21,'Pop F'!H:H,2000)</f>
        <v>946.91800000000001</v>
      </c>
      <c r="U21" s="6">
        <f t="shared" si="0"/>
        <v>1908.027</v>
      </c>
      <c r="V21" s="6">
        <f t="shared" si="2"/>
        <v>381.60540000000003</v>
      </c>
    </row>
    <row r="22" spans="1:22" x14ac:dyDescent="0.3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613</v>
      </c>
    </row>
    <row r="28" spans="1:22" x14ac:dyDescent="0.35">
      <c r="I28" t="s">
        <v>614</v>
      </c>
      <c r="M28" s="54">
        <v>0.45</v>
      </c>
    </row>
    <row r="29" spans="1:22" x14ac:dyDescent="0.35">
      <c r="I29" t="s">
        <v>615</v>
      </c>
      <c r="M29">
        <f>29.1/1000</f>
        <v>2.9100000000000001E-2</v>
      </c>
    </row>
    <row r="30" spans="1:22" x14ac:dyDescent="0.35">
      <c r="I30" t="s">
        <v>616</v>
      </c>
      <c r="M30">
        <v>66.599999999999994</v>
      </c>
      <c r="N30" t="s">
        <v>617</v>
      </c>
    </row>
    <row r="31" spans="1:22" x14ac:dyDescent="0.35">
      <c r="M31">
        <v>63.2</v>
      </c>
      <c r="N31" s="86" t="s">
        <v>618</v>
      </c>
    </row>
    <row r="32" spans="1:22" x14ac:dyDescent="0.35">
      <c r="I32" t="s">
        <v>619</v>
      </c>
      <c r="L32" s="180">
        <f>M28*M29*M31</f>
        <v>0.82760400000000012</v>
      </c>
    </row>
    <row r="33" spans="1:21" x14ac:dyDescent="0.35">
      <c r="L33" s="127" t="s">
        <v>620</v>
      </c>
    </row>
    <row r="34" spans="1:21" x14ac:dyDescent="0.35">
      <c r="A34" t="s">
        <v>621</v>
      </c>
    </row>
    <row r="41" spans="1:21" x14ac:dyDescent="0.35">
      <c r="A41" t="s">
        <v>622</v>
      </c>
    </row>
    <row r="43" spans="1:21" x14ac:dyDescent="0.35">
      <c r="P43" t="s">
        <v>623</v>
      </c>
      <c r="S43" t="s">
        <v>624</v>
      </c>
      <c r="T43" t="s">
        <v>625</v>
      </c>
      <c r="U43" t="s">
        <v>626</v>
      </c>
    </row>
    <row r="44" spans="1:21" x14ac:dyDescent="0.35">
      <c r="O44" t="s">
        <v>627</v>
      </c>
      <c r="P44">
        <v>1.2</v>
      </c>
      <c r="S44">
        <v>1.8</v>
      </c>
      <c r="T44">
        <v>3.2</v>
      </c>
      <c r="U44">
        <v>10.5</v>
      </c>
    </row>
    <row r="45" spans="1:21" x14ac:dyDescent="0.3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629</v>
      </c>
      <c r="R49" t="s">
        <v>630</v>
      </c>
    </row>
    <row r="50" spans="15:19" x14ac:dyDescent="0.35">
      <c r="O50" t="s">
        <v>631</v>
      </c>
      <c r="P50">
        <v>47.2</v>
      </c>
      <c r="Q50">
        <v>295.39999999999998</v>
      </c>
      <c r="R50">
        <v>42.8</v>
      </c>
      <c r="S50" t="s">
        <v>632</v>
      </c>
    </row>
    <row r="51" spans="15:19" x14ac:dyDescent="0.35">
      <c r="O51" t="s">
        <v>627</v>
      </c>
      <c r="P51">
        <v>1.88</v>
      </c>
      <c r="Q51" s="181">
        <f>SUMPRODUCT(P44:U44,P45:U45)</f>
        <v>5.1074999999999999</v>
      </c>
      <c r="R51">
        <v>3</v>
      </c>
      <c r="S51" t="s">
        <v>633</v>
      </c>
    </row>
    <row r="52" spans="15:19" x14ac:dyDescent="0.35">
      <c r="O52" t="s">
        <v>634</v>
      </c>
      <c r="P52">
        <f>P50/P51</f>
        <v>25.106382978723406</v>
      </c>
      <c r="Q52">
        <f>Q50/Q51</f>
        <v>57.836514929025938</v>
      </c>
      <c r="R52">
        <f>R50/R51</f>
        <v>14.266666666666666</v>
      </c>
    </row>
    <row r="53" spans="15:19" x14ac:dyDescent="0.35">
      <c r="O53" t="s">
        <v>635</v>
      </c>
      <c r="P53" s="59">
        <f>1/P52</f>
        <v>3.9830508474576268E-2</v>
      </c>
      <c r="Q53" s="180">
        <f t="shared" ref="Q53:R53" si="5">1/Q52</f>
        <v>1.7290115098171972E-2</v>
      </c>
      <c r="R53" s="180">
        <f t="shared" si="5"/>
        <v>7.0093457943925241E-2</v>
      </c>
    </row>
    <row r="54" spans="15:19" x14ac:dyDescent="0.35">
      <c r="R54" s="127" t="s">
        <v>636</v>
      </c>
    </row>
    <row r="55" spans="15:19" x14ac:dyDescent="0.35">
      <c r="Q55" s="127" t="s">
        <v>637</v>
      </c>
    </row>
    <row r="74" spans="1:7" x14ac:dyDescent="0.35">
      <c r="A74" s="182" t="s">
        <v>638</v>
      </c>
      <c r="B74" s="182"/>
    </row>
    <row r="75" spans="1:7" x14ac:dyDescent="0.35">
      <c r="A75" t="s">
        <v>639</v>
      </c>
    </row>
    <row r="76" spans="1:7" x14ac:dyDescent="0.35">
      <c r="A76" t="s">
        <v>640</v>
      </c>
    </row>
    <row r="77" spans="1:7" x14ac:dyDescent="0.35">
      <c r="A77" t="s">
        <v>641</v>
      </c>
    </row>
    <row r="79" spans="1:7" x14ac:dyDescent="0.35">
      <c r="A79" t="s">
        <v>642</v>
      </c>
      <c r="E79">
        <f>401/100000</f>
        <v>4.0099999999999997E-3</v>
      </c>
      <c r="G79" t="s">
        <v>643</v>
      </c>
    </row>
    <row r="80" spans="1:7" x14ac:dyDescent="0.35">
      <c r="A80" t="s">
        <v>644</v>
      </c>
      <c r="E80" s="54">
        <v>0.85</v>
      </c>
      <c r="G80" t="s">
        <v>645</v>
      </c>
    </row>
    <row r="82" spans="2:22" x14ac:dyDescent="0.35">
      <c r="B82" t="s">
        <v>646</v>
      </c>
      <c r="C82" t="s">
        <v>647</v>
      </c>
      <c r="E82" t="s">
        <v>648</v>
      </c>
      <c r="G82" t="s">
        <v>649</v>
      </c>
    </row>
    <row r="83" spans="2:22" x14ac:dyDescent="0.35">
      <c r="B83" s="54">
        <v>1</v>
      </c>
      <c r="C83" t="s">
        <v>650</v>
      </c>
    </row>
    <row r="84" spans="2:22" x14ac:dyDescent="0.35">
      <c r="C84" s="61">
        <f>Prevalences!S71</f>
        <v>0.26812151014720248</v>
      </c>
      <c r="D84" t="s">
        <v>651</v>
      </c>
    </row>
    <row r="85" spans="2:22" x14ac:dyDescent="0.35">
      <c r="C85" s="61">
        <f>Prevalences!T72</f>
        <v>5.0116865018980945E-2</v>
      </c>
      <c r="D85" t="s">
        <v>652</v>
      </c>
    </row>
    <row r="86" spans="2:22" x14ac:dyDescent="0.35">
      <c r="C86" s="54">
        <f>B83-C84-C85</f>
        <v>0.68176162483381653</v>
      </c>
      <c r="D86" t="s">
        <v>653</v>
      </c>
    </row>
    <row r="87" spans="2:22" x14ac:dyDescent="0.35">
      <c r="C87" s="54"/>
      <c r="E87" s="61">
        <f>C86*C84</f>
        <v>0.18279495641085339</v>
      </c>
      <c r="F87" t="s">
        <v>651</v>
      </c>
    </row>
    <row r="88" spans="2:22" x14ac:dyDescent="0.35">
      <c r="C88" s="54"/>
      <c r="E88" s="61">
        <f>C86*C85</f>
        <v>3.4167755326917508E-2</v>
      </c>
      <c r="F88" t="s">
        <v>652</v>
      </c>
    </row>
    <row r="89" spans="2:22" x14ac:dyDescent="0.35">
      <c r="C89" s="54"/>
      <c r="E89" s="54">
        <f>C86-E87-E88</f>
        <v>0.4647989130960456</v>
      </c>
      <c r="F89" t="s">
        <v>653</v>
      </c>
    </row>
    <row r="90" spans="2:22" x14ac:dyDescent="0.35">
      <c r="C90" s="54"/>
      <c r="G90" s="61">
        <f>E89*E87</f>
        <v>8.4962897059203693E-2</v>
      </c>
      <c r="H90" t="s">
        <v>651</v>
      </c>
    </row>
    <row r="91" spans="2:22" x14ac:dyDescent="0.35">
      <c r="C91" s="54"/>
      <c r="G91" s="61">
        <f>E89*E88</f>
        <v>1.588113553888288E-2</v>
      </c>
      <c r="H91" t="s">
        <v>652</v>
      </c>
    </row>
    <row r="92" spans="2:22" x14ac:dyDescent="0.35">
      <c r="G92" s="54">
        <f>E89-G90-G91</f>
        <v>0.36395488049795904</v>
      </c>
      <c r="H92" t="s">
        <v>653</v>
      </c>
      <c r="I92" t="s">
        <v>654</v>
      </c>
    </row>
    <row r="93" spans="2:22" x14ac:dyDescent="0.35">
      <c r="G93" s="54"/>
      <c r="I93" s="61"/>
    </row>
    <row r="94" spans="2:22" x14ac:dyDescent="0.35">
      <c r="B94" s="89">
        <f>C84*0.5+C85*1+E87*1.5+E88*2+G90*2.5+G91*3+G92*3</f>
        <v>1.8786208561212323</v>
      </c>
      <c r="C94" t="s">
        <v>655</v>
      </c>
      <c r="G94" s="54"/>
      <c r="I94" s="61"/>
      <c r="V94" t="s">
        <v>2146</v>
      </c>
    </row>
    <row r="96" spans="2:22" x14ac:dyDescent="0.35">
      <c r="B96" t="s">
        <v>623</v>
      </c>
      <c r="C96" t="s">
        <v>624</v>
      </c>
      <c r="D96" t="s">
        <v>625</v>
      </c>
      <c r="E96" t="s">
        <v>656</v>
      </c>
    </row>
    <row r="97" spans="1:22" x14ac:dyDescent="0.35">
      <c r="A97" t="s">
        <v>657</v>
      </c>
      <c r="B97" s="54">
        <v>0.91</v>
      </c>
      <c r="C97" s="54">
        <v>0.85</v>
      </c>
      <c r="D97" s="54">
        <v>0.94</v>
      </c>
      <c r="E97" s="54">
        <v>0.99</v>
      </c>
      <c r="G97" t="s">
        <v>658</v>
      </c>
    </row>
    <row r="98" spans="1:22" x14ac:dyDescent="0.35">
      <c r="A98" t="s">
        <v>659</v>
      </c>
      <c r="B98" s="3">
        <f>B94</f>
        <v>1.8786208561212323</v>
      </c>
      <c r="C98" s="3">
        <f>B98</f>
        <v>1.8786208561212323</v>
      </c>
      <c r="D98" s="3">
        <f>C98</f>
        <v>1.8786208561212323</v>
      </c>
      <c r="E98">
        <v>3</v>
      </c>
    </row>
    <row r="99" spans="1:22" x14ac:dyDescent="0.35">
      <c r="A99" t="s">
        <v>660</v>
      </c>
      <c r="B99" s="54">
        <f>P45</f>
        <v>4.9999999999999996E-2</v>
      </c>
      <c r="C99" s="54">
        <f>S45</f>
        <v>0</v>
      </c>
      <c r="D99" s="54">
        <f>T45</f>
        <v>0.67500000000000004</v>
      </c>
      <c r="E99" s="54">
        <f>U45</f>
        <v>0.27499999999999997</v>
      </c>
    </row>
    <row r="101" spans="1:22" x14ac:dyDescent="0.35">
      <c r="A101" t="s">
        <v>661</v>
      </c>
      <c r="E101" s="89">
        <f>66.6</f>
        <v>66.599999999999994</v>
      </c>
      <c r="G101" t="s">
        <v>617</v>
      </c>
    </row>
    <row r="102" spans="1:22" x14ac:dyDescent="0.35">
      <c r="A102" t="s">
        <v>662</v>
      </c>
      <c r="E102" s="89">
        <f>S111</f>
        <v>29.195164730085189</v>
      </c>
      <c r="N102" t="s">
        <v>115</v>
      </c>
      <c r="O102" t="s">
        <v>663</v>
      </c>
      <c r="P102" t="s">
        <v>664</v>
      </c>
      <c r="Q102" t="s">
        <v>665</v>
      </c>
      <c r="R102" t="s">
        <v>666</v>
      </c>
      <c r="S102" t="s">
        <v>667</v>
      </c>
    </row>
    <row r="103" spans="1:22" x14ac:dyDescent="0.3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35">
      <c r="N104" t="s">
        <v>670</v>
      </c>
      <c r="O104">
        <f>34.7/100</f>
        <v>0.34700000000000003</v>
      </c>
      <c r="P104" s="6">
        <f>'Pop F'!M482</f>
        <v>5816.1729999999998</v>
      </c>
      <c r="Q104" s="6">
        <f t="shared" si="6"/>
        <v>2018.212031</v>
      </c>
      <c r="R104" s="61">
        <f t="shared" ref="R104:R109" si="7">Q104/SUM(Q$103:Q$109)</f>
        <v>0.24961240490535225</v>
      </c>
      <c r="S104">
        <v>22</v>
      </c>
    </row>
    <row r="105" spans="1:22" x14ac:dyDescent="0.35">
      <c r="A105" s="86" t="s">
        <v>671</v>
      </c>
      <c r="N105" t="s">
        <v>672</v>
      </c>
      <c r="O105">
        <f>40.5/100</f>
        <v>0.40500000000000003</v>
      </c>
      <c r="P105" s="6">
        <f>'Pop F'!N482</f>
        <v>4802.45</v>
      </c>
      <c r="Q105" s="6">
        <f t="shared" si="6"/>
        <v>1944.99225</v>
      </c>
      <c r="R105" s="61">
        <f t="shared" si="7"/>
        <v>0.24055658453498344</v>
      </c>
      <c r="S105">
        <v>27</v>
      </c>
    </row>
    <row r="106" spans="1:22" x14ac:dyDescent="0.3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3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3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3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35">
      <c r="A110" t="s">
        <v>682</v>
      </c>
      <c r="E110" s="183">
        <f>E109*E103</f>
        <v>0.26551608334870802</v>
      </c>
      <c r="V110" t="s">
        <v>2147</v>
      </c>
    </row>
    <row r="111" spans="1:22" x14ac:dyDescent="0.35">
      <c r="R111" t="s">
        <v>683</v>
      </c>
      <c r="S111" s="89">
        <f>SUMPRODUCT(S103:S109,R103:R109)</f>
        <v>29.195164730085189</v>
      </c>
      <c r="V111" t="s">
        <v>2148</v>
      </c>
    </row>
    <row r="113" spans="1:16" x14ac:dyDescent="0.35">
      <c r="A113" s="182" t="s">
        <v>684</v>
      </c>
    </row>
    <row r="114" spans="1:16" x14ac:dyDescent="0.35">
      <c r="A114" t="s">
        <v>685</v>
      </c>
    </row>
    <row r="116" spans="1:16" x14ac:dyDescent="0.35">
      <c r="M116" t="s">
        <v>686</v>
      </c>
      <c r="O116" s="189">
        <f>Prevalences!C217*SUM(Demographics_Total!B3:G4)</f>
        <v>34258790.966400005</v>
      </c>
      <c r="P116" t="s">
        <v>687</v>
      </c>
    </row>
    <row r="117" spans="1:16" x14ac:dyDescent="0.35">
      <c r="F117" t="s">
        <v>688</v>
      </c>
      <c r="G117">
        <f>2/52*0.279</f>
        <v>1.0730769230769233E-2</v>
      </c>
      <c r="M117" t="s">
        <v>689</v>
      </c>
      <c r="O117" s="189">
        <f>10916+2461</f>
        <v>13377</v>
      </c>
      <c r="P117" t="s">
        <v>690</v>
      </c>
    </row>
    <row r="118" spans="1:16" x14ac:dyDescent="0.35">
      <c r="F118" t="s">
        <v>691</v>
      </c>
    </row>
    <row r="119" spans="1:16" x14ac:dyDescent="0.35">
      <c r="G119" t="s">
        <v>692</v>
      </c>
      <c r="J119" s="75">
        <f>O117/O116</f>
        <v>3.9046912114089956E-4</v>
      </c>
      <c r="O119" t="s">
        <v>693</v>
      </c>
    </row>
    <row r="120" spans="1:16" x14ac:dyDescent="0.35">
      <c r="G120" t="s">
        <v>694</v>
      </c>
      <c r="J120" s="61">
        <f>AVERAGE(0.34,0.5)</f>
        <v>0.42000000000000004</v>
      </c>
      <c r="O120" s="91">
        <f>43881/1500000</f>
        <v>2.9253999999999999E-2</v>
      </c>
      <c r="P120" t="s">
        <v>695</v>
      </c>
    </row>
    <row r="121" spans="1:16" x14ac:dyDescent="0.35">
      <c r="G121" t="s">
        <v>696</v>
      </c>
      <c r="J121" s="3">
        <f>E101</f>
        <v>66.599999999999994</v>
      </c>
      <c r="P121" t="s">
        <v>697</v>
      </c>
    </row>
    <row r="122" spans="1:16" x14ac:dyDescent="0.35">
      <c r="G122" t="s">
        <v>698</v>
      </c>
      <c r="J122">
        <v>2.5</v>
      </c>
    </row>
    <row r="123" spans="1:16" x14ac:dyDescent="0.35">
      <c r="G123" t="s">
        <v>699</v>
      </c>
      <c r="J123" s="3">
        <f>J121-J122</f>
        <v>64.099999999999994</v>
      </c>
    </row>
    <row r="124" spans="1:16" x14ac:dyDescent="0.35">
      <c r="G124" t="s">
        <v>700</v>
      </c>
      <c r="J124" s="184">
        <f>J119*J120*J123</f>
        <v>1.0512209679355298E-2</v>
      </c>
    </row>
    <row r="126" spans="1:16" x14ac:dyDescent="0.35">
      <c r="F126" t="s">
        <v>701</v>
      </c>
      <c r="G126" s="190">
        <f>J124+G117</f>
        <v>2.124297891012453E-2</v>
      </c>
    </row>
    <row r="133" spans="1:16" x14ac:dyDescent="0.35">
      <c r="A133" s="186" t="s">
        <v>702</v>
      </c>
    </row>
    <row r="134" spans="1:16" x14ac:dyDescent="0.35">
      <c r="A134" t="s">
        <v>703</v>
      </c>
    </row>
    <row r="135" spans="1:16" x14ac:dyDescent="0.35">
      <c r="M135" t="s">
        <v>439</v>
      </c>
      <c r="O135">
        <v>3.2000000000000001E-2</v>
      </c>
      <c r="P135" t="s">
        <v>581</v>
      </c>
    </row>
    <row r="136" spans="1:16" x14ac:dyDescent="0.35">
      <c r="M136" t="s">
        <v>293</v>
      </c>
      <c r="O136">
        <v>3.34</v>
      </c>
      <c r="P136" t="s">
        <v>581</v>
      </c>
    </row>
    <row r="137" spans="1:16" x14ac:dyDescent="0.35">
      <c r="M137" t="s">
        <v>704</v>
      </c>
      <c r="O137">
        <f>O136*0.2</f>
        <v>0.66800000000000004</v>
      </c>
      <c r="P137" t="s">
        <v>581</v>
      </c>
    </row>
    <row r="138" spans="1:16" x14ac:dyDescent="0.35">
      <c r="M138" t="s">
        <v>619</v>
      </c>
      <c r="O138" s="191">
        <f>O135/O137</f>
        <v>4.7904191616766463E-2</v>
      </c>
      <c r="P138" s="127" t="s">
        <v>705</v>
      </c>
    </row>
    <row r="139" spans="1:16" x14ac:dyDescent="0.35">
      <c r="P139" t="s">
        <v>706</v>
      </c>
    </row>
    <row r="141" spans="1:16" x14ac:dyDescent="0.35">
      <c r="A141" t="s">
        <v>707</v>
      </c>
    </row>
    <row r="158" spans="1:12" x14ac:dyDescent="0.35">
      <c r="A158" t="s">
        <v>708</v>
      </c>
    </row>
    <row r="159" spans="1:12" x14ac:dyDescent="0.35">
      <c r="L159" t="s">
        <v>709</v>
      </c>
    </row>
    <row r="160" spans="1:12" x14ac:dyDescent="0.35">
      <c r="L160" t="s">
        <v>710</v>
      </c>
    </row>
    <row r="162" spans="1:14" x14ac:dyDescent="0.35">
      <c r="L162" t="s">
        <v>711</v>
      </c>
    </row>
    <row r="163" spans="1:14" x14ac:dyDescent="0.35">
      <c r="L163">
        <v>4979</v>
      </c>
    </row>
    <row r="164" spans="1:14" x14ac:dyDescent="0.35">
      <c r="L164" t="s">
        <v>712</v>
      </c>
    </row>
    <row r="165" spans="1:14" x14ac:dyDescent="0.35">
      <c r="L165">
        <v>338</v>
      </c>
      <c r="M165" t="s">
        <v>713</v>
      </c>
    </row>
    <row r="166" spans="1:14" x14ac:dyDescent="0.35">
      <c r="L166" s="180">
        <f>L165/1000</f>
        <v>0.33800000000000002</v>
      </c>
      <c r="M166" t="s">
        <v>714</v>
      </c>
      <c r="N166" s="127" t="s">
        <v>715</v>
      </c>
    </row>
    <row r="175" spans="1:14" x14ac:dyDescent="0.35">
      <c r="A175" t="s">
        <v>716</v>
      </c>
    </row>
    <row r="177" spans="1:16" x14ac:dyDescent="0.35">
      <c r="B177" s="188">
        <f>23/1000</f>
        <v>2.3E-2</v>
      </c>
      <c r="C177" t="s">
        <v>717</v>
      </c>
    </row>
    <row r="180" spans="1:16" x14ac:dyDescent="0.35">
      <c r="A180" t="s">
        <v>718</v>
      </c>
    </row>
    <row r="181" spans="1:16" x14ac:dyDescent="0.35">
      <c r="G181" t="s">
        <v>719</v>
      </c>
    </row>
    <row r="182" spans="1:16" x14ac:dyDescent="0.35">
      <c r="B182" t="s">
        <v>720</v>
      </c>
      <c r="D182" s="6">
        <v>1100000</v>
      </c>
      <c r="G182" s="196" t="s">
        <v>721</v>
      </c>
    </row>
    <row r="184" spans="1:16" x14ac:dyDescent="0.35">
      <c r="B184" t="s">
        <v>722</v>
      </c>
      <c r="D184" s="192">
        <v>271</v>
      </c>
      <c r="P184">
        <f>341.8406</f>
        <v>341.84059999999999</v>
      </c>
    </row>
    <row r="185" spans="1:16" x14ac:dyDescent="0.35">
      <c r="B185" t="s">
        <v>723</v>
      </c>
      <c r="D185" s="193">
        <v>17.3</v>
      </c>
      <c r="E185" t="s">
        <v>581</v>
      </c>
      <c r="P185" s="188">
        <f>P184/1000</f>
        <v>0.34184059999999999</v>
      </c>
    </row>
    <row r="187" spans="1:16" x14ac:dyDescent="0.35">
      <c r="B187" t="s">
        <v>724</v>
      </c>
      <c r="D187" s="161">
        <f>D185/D182*1000000</f>
        <v>15.727272727272728</v>
      </c>
    </row>
    <row r="188" spans="1:16" x14ac:dyDescent="0.35">
      <c r="B188" t="s">
        <v>725</v>
      </c>
      <c r="D188" s="180">
        <f>D187/D184</f>
        <v>5.8034216705803429E-2</v>
      </c>
    </row>
    <row r="192" spans="1:16" x14ac:dyDescent="0.35">
      <c r="A192" t="s">
        <v>726</v>
      </c>
      <c r="H192" s="57" t="s">
        <v>727</v>
      </c>
    </row>
    <row r="193" spans="1:8" x14ac:dyDescent="0.35">
      <c r="B193" s="186" t="s">
        <v>728</v>
      </c>
      <c r="C193" s="186" t="s">
        <v>729</v>
      </c>
      <c r="H193" t="s">
        <v>730</v>
      </c>
    </row>
    <row r="194" spans="1:8" x14ac:dyDescent="0.35">
      <c r="B194" t="s">
        <v>731</v>
      </c>
      <c r="C194" s="195">
        <v>0.36098622654892099</v>
      </c>
      <c r="D194" t="s">
        <v>299</v>
      </c>
    </row>
    <row r="195" spans="1:8" x14ac:dyDescent="0.35">
      <c r="B195" t="s">
        <v>732</v>
      </c>
      <c r="C195" s="195">
        <v>7.4195673431245293E-2</v>
      </c>
      <c r="D195" t="s">
        <v>298</v>
      </c>
    </row>
    <row r="196" spans="1:8" x14ac:dyDescent="0.35">
      <c r="B196" t="s">
        <v>733</v>
      </c>
      <c r="C196" s="195">
        <v>0.48551077682244398</v>
      </c>
      <c r="D196" t="s">
        <v>299</v>
      </c>
    </row>
    <row r="197" spans="1:8" x14ac:dyDescent="0.35">
      <c r="B197" t="s">
        <v>734</v>
      </c>
      <c r="C197" s="195">
        <v>0.29236325111597999</v>
      </c>
      <c r="D197" t="s">
        <v>734</v>
      </c>
    </row>
    <row r="198" spans="1:8" x14ac:dyDescent="0.35">
      <c r="B198" t="s">
        <v>735</v>
      </c>
      <c r="C198" s="195">
        <v>1.8559004324519299</v>
      </c>
      <c r="D198" t="s">
        <v>299</v>
      </c>
    </row>
    <row r="199" spans="1:8" x14ac:dyDescent="0.35">
      <c r="B199" t="s">
        <v>736</v>
      </c>
      <c r="C199" s="195">
        <v>0.14366259279414001</v>
      </c>
      <c r="D199" t="s">
        <v>300</v>
      </c>
    </row>
    <row r="200" spans="1:8" x14ac:dyDescent="0.35">
      <c r="B200" t="s">
        <v>737</v>
      </c>
      <c r="C200" s="195">
        <v>0.180473905853648</v>
      </c>
      <c r="D200" t="s">
        <v>300</v>
      </c>
    </row>
    <row r="201" spans="1:8" x14ac:dyDescent="0.35">
      <c r="B201" t="s">
        <v>738</v>
      </c>
      <c r="C201" s="195">
        <v>0.43717590813142299</v>
      </c>
      <c r="D201" t="s">
        <v>299</v>
      </c>
    </row>
    <row r="202" spans="1:8" x14ac:dyDescent="0.35">
      <c r="B202" t="s">
        <v>739</v>
      </c>
      <c r="C202" s="195">
        <v>6.2392966357071998E-2</v>
      </c>
      <c r="D202" t="s">
        <v>299</v>
      </c>
    </row>
    <row r="206" spans="1:8" x14ac:dyDescent="0.35">
      <c r="A206" s="57" t="s">
        <v>740</v>
      </c>
    </row>
    <row r="216" spans="13:13" x14ac:dyDescent="0.35">
      <c r="M216" s="127" t="s">
        <v>741</v>
      </c>
    </row>
    <row r="217" spans="13:13" x14ac:dyDescent="0.35">
      <c r="M217" s="127" t="s">
        <v>742</v>
      </c>
    </row>
    <row r="218" spans="13:13" x14ac:dyDescent="0.35">
      <c r="M218" s="127"/>
    </row>
    <row r="219" spans="13:13" x14ac:dyDescent="0.35">
      <c r="M219" s="127" t="s">
        <v>743</v>
      </c>
    </row>
    <row r="225" spans="1:13" x14ac:dyDescent="0.35">
      <c r="C225" t="s">
        <v>744</v>
      </c>
      <c r="E225" t="s">
        <v>745</v>
      </c>
      <c r="G225" t="s">
        <v>746</v>
      </c>
    </row>
    <row r="226" spans="1:13" x14ac:dyDescent="0.35">
      <c r="C226">
        <v>724</v>
      </c>
      <c r="E226">
        <v>4683</v>
      </c>
      <c r="G226" s="188">
        <f>E226/C226</f>
        <v>6.4682320441988947</v>
      </c>
    </row>
    <row r="227" spans="1:13" x14ac:dyDescent="0.35">
      <c r="G227" t="s">
        <v>1924</v>
      </c>
    </row>
    <row r="228" spans="1:13" x14ac:dyDescent="0.35">
      <c r="G228" s="188" t="e">
        <f>G226*Tasks_previous!#REF!</f>
        <v>#REF!</v>
      </c>
    </row>
    <row r="230" spans="1:13" x14ac:dyDescent="0.35">
      <c r="A230" s="186" t="s">
        <v>747</v>
      </c>
    </row>
    <row r="232" spans="1:13" x14ac:dyDescent="0.35">
      <c r="B232" t="s">
        <v>748</v>
      </c>
    </row>
    <row r="233" spans="1:13" x14ac:dyDescent="0.35">
      <c r="B233" t="s">
        <v>749</v>
      </c>
    </row>
    <row r="234" spans="1:13" x14ac:dyDescent="0.35">
      <c r="B234" t="s">
        <v>750</v>
      </c>
    </row>
    <row r="235" spans="1:13" x14ac:dyDescent="0.35">
      <c r="B235" t="s">
        <v>751</v>
      </c>
    </row>
    <row r="237" spans="1:13" x14ac:dyDescent="0.35">
      <c r="B237" s="57" t="s">
        <v>752</v>
      </c>
    </row>
    <row r="238" spans="1:13" x14ac:dyDescent="0.35">
      <c r="M238" t="s">
        <v>753</v>
      </c>
    </row>
    <row r="244" spans="13:18" x14ac:dyDescent="0.35">
      <c r="M244" t="s">
        <v>754</v>
      </c>
    </row>
    <row r="247" spans="13:18" x14ac:dyDescent="0.35">
      <c r="M247" t="s">
        <v>755</v>
      </c>
    </row>
    <row r="248" spans="13:18" x14ac:dyDescent="0.35">
      <c r="M248">
        <v>1.5</v>
      </c>
      <c r="N248" t="s">
        <v>756</v>
      </c>
      <c r="P248" t="s">
        <v>757</v>
      </c>
      <c r="R248">
        <v>0.52</v>
      </c>
    </row>
    <row r="249" spans="13:18" x14ac:dyDescent="0.35">
      <c r="M249">
        <v>1.17</v>
      </c>
      <c r="N249" t="s">
        <v>758</v>
      </c>
      <c r="P249" t="s">
        <v>759</v>
      </c>
      <c r="R249">
        <v>0.78</v>
      </c>
    </row>
    <row r="250" spans="13:18" x14ac:dyDescent="0.35">
      <c r="Q250" t="s">
        <v>760</v>
      </c>
      <c r="R250">
        <f>R249-R248</f>
        <v>0.26</v>
      </c>
    </row>
    <row r="251" spans="13:18" x14ac:dyDescent="0.35">
      <c r="M251" s="6">
        <f>M248/M249*10000</f>
        <v>12820.512820512822</v>
      </c>
      <c r="N251" t="s">
        <v>761</v>
      </c>
    </row>
    <row r="252" spans="13:18" x14ac:dyDescent="0.35">
      <c r="M252" s="6">
        <v>10000</v>
      </c>
      <c r="N252" t="s">
        <v>762</v>
      </c>
    </row>
    <row r="253" spans="13:18" x14ac:dyDescent="0.35">
      <c r="M253" s="197">
        <f>M251/M252/R250</f>
        <v>4.9309664694280082</v>
      </c>
      <c r="N253" t="s">
        <v>763</v>
      </c>
    </row>
    <row r="256" spans="13:18" x14ac:dyDescent="0.35">
      <c r="M256" t="s">
        <v>764</v>
      </c>
    </row>
    <row r="257" spans="13:13" x14ac:dyDescent="0.35">
      <c r="M257" t="s">
        <v>765</v>
      </c>
    </row>
    <row r="258" spans="13:13" x14ac:dyDescent="0.35">
      <c r="M258" t="s">
        <v>766</v>
      </c>
    </row>
    <row r="279" spans="2:10" x14ac:dyDescent="0.35">
      <c r="B279" t="s">
        <v>767</v>
      </c>
    </row>
    <row r="280" spans="2:10" x14ac:dyDescent="0.35">
      <c r="B280" t="s">
        <v>768</v>
      </c>
    </row>
    <row r="285" spans="2:10" x14ac:dyDescent="0.35">
      <c r="I285">
        <f>5.25/43</f>
        <v>0.12209302325581395</v>
      </c>
      <c r="J285" t="s">
        <v>769</v>
      </c>
    </row>
    <row r="286" spans="2:10" x14ac:dyDescent="0.35">
      <c r="I286">
        <v>15</v>
      </c>
      <c r="J286" t="s">
        <v>770</v>
      </c>
    </row>
    <row r="287" spans="2:10" x14ac:dyDescent="0.35">
      <c r="I287" s="59">
        <f>I285/I286</f>
        <v>8.1395348837209301E-3</v>
      </c>
    </row>
    <row r="290" spans="2:14" x14ac:dyDescent="0.35">
      <c r="B290" t="s">
        <v>771</v>
      </c>
    </row>
    <row r="301" spans="2:14" x14ac:dyDescent="0.35">
      <c r="M301">
        <v>29</v>
      </c>
      <c r="N301" t="s">
        <v>772</v>
      </c>
    </row>
    <row r="303" spans="2:14" x14ac:dyDescent="0.35">
      <c r="M303">
        <f>M301/365</f>
        <v>7.9452054794520555E-2</v>
      </c>
      <c r="N303" t="s">
        <v>773</v>
      </c>
    </row>
    <row r="304" spans="2:14" x14ac:dyDescent="0.35">
      <c r="N304" t="s">
        <v>774</v>
      </c>
    </row>
    <row r="305" spans="1:14" x14ac:dyDescent="0.35">
      <c r="N305" t="s">
        <v>775</v>
      </c>
    </row>
    <row r="309" spans="1:14" x14ac:dyDescent="0.35">
      <c r="A309" s="186" t="s">
        <v>200</v>
      </c>
    </row>
    <row r="311" spans="1:14" x14ac:dyDescent="0.35">
      <c r="A311" t="s">
        <v>509</v>
      </c>
    </row>
    <row r="314" spans="1:14" x14ac:dyDescent="0.35">
      <c r="M314" s="85">
        <v>0.12</v>
      </c>
      <c r="N314" t="s">
        <v>1814</v>
      </c>
    </row>
    <row r="323" spans="2:9" x14ac:dyDescent="0.35">
      <c r="B323" s="186" t="s">
        <v>1815</v>
      </c>
    </row>
    <row r="324" spans="2:9" x14ac:dyDescent="0.35">
      <c r="B324" t="s">
        <v>1819</v>
      </c>
      <c r="E324">
        <f>127/64</f>
        <v>1.984375</v>
      </c>
      <c r="F324" t="s">
        <v>1820</v>
      </c>
      <c r="H324" t="s">
        <v>1823</v>
      </c>
    </row>
    <row r="325" spans="2:9" x14ac:dyDescent="0.35">
      <c r="E325" s="226">
        <f>177/102</f>
        <v>1.7352941176470589</v>
      </c>
      <c r="F325" t="s">
        <v>1821</v>
      </c>
      <c r="H325" s="61">
        <f>1-(102/177)</f>
        <v>0.42372881355932202</v>
      </c>
      <c r="I325" t="s">
        <v>1821</v>
      </c>
    </row>
    <row r="327" spans="2:9" x14ac:dyDescent="0.35">
      <c r="B327" s="186" t="s">
        <v>1816</v>
      </c>
    </row>
    <row r="328" spans="2:9" x14ac:dyDescent="0.35">
      <c r="B328" t="s">
        <v>1817</v>
      </c>
      <c r="E328" s="54">
        <v>0.76</v>
      </c>
    </row>
    <row r="329" spans="2:9" x14ac:dyDescent="0.35">
      <c r="B329" t="s">
        <v>1818</v>
      </c>
      <c r="E329" s="54">
        <v>0.95</v>
      </c>
    </row>
    <row r="331" spans="2:9" x14ac:dyDescent="0.35">
      <c r="B331" s="186" t="s">
        <v>1822</v>
      </c>
    </row>
    <row r="332" spans="2:9" x14ac:dyDescent="0.35">
      <c r="B332" t="s">
        <v>1824</v>
      </c>
      <c r="F332">
        <f>102*0.76</f>
        <v>77.52</v>
      </c>
    </row>
    <row r="333" spans="2:9" x14ac:dyDescent="0.35">
      <c r="B333" t="s">
        <v>1825</v>
      </c>
      <c r="F333">
        <f>177*0.95</f>
        <v>168.15</v>
      </c>
    </row>
    <row r="334" spans="2:9" x14ac:dyDescent="0.35">
      <c r="B334" t="s">
        <v>1826</v>
      </c>
      <c r="F334">
        <f>F333-F332</f>
        <v>90.63000000000001</v>
      </c>
    </row>
    <row r="335" spans="2:9" x14ac:dyDescent="0.35">
      <c r="F335" s="227">
        <f>F334/F333</f>
        <v>0.53898305084745768</v>
      </c>
      <c r="G335" t="s">
        <v>1827</v>
      </c>
    </row>
    <row r="338" spans="1:18" x14ac:dyDescent="0.35">
      <c r="A338" t="s">
        <v>1828</v>
      </c>
    </row>
    <row r="342" spans="1:18" x14ac:dyDescent="0.35">
      <c r="O342" t="s">
        <v>1833</v>
      </c>
      <c r="P342" t="s">
        <v>1834</v>
      </c>
      <c r="Q342" t="s">
        <v>1835</v>
      </c>
    </row>
    <row r="343" spans="1:18" x14ac:dyDescent="0.35">
      <c r="M343" t="s">
        <v>1829</v>
      </c>
      <c r="O343">
        <v>0.62</v>
      </c>
      <c r="P343">
        <v>44.8</v>
      </c>
      <c r="Q343" s="60">
        <f>P343/O343</f>
        <v>72.258064516129025</v>
      </c>
    </row>
    <row r="344" spans="1:18" x14ac:dyDescent="0.35">
      <c r="M344" t="s">
        <v>1830</v>
      </c>
      <c r="O344">
        <f>0.62+0.51</f>
        <v>1.1299999999999999</v>
      </c>
      <c r="P344">
        <v>47.4</v>
      </c>
      <c r="Q344" s="60">
        <f t="shared" ref="Q344:Q346" si="8">P344/O344</f>
        <v>41.946902654867259</v>
      </c>
    </row>
    <row r="345" spans="1:18" x14ac:dyDescent="0.35">
      <c r="M345" t="s">
        <v>1831</v>
      </c>
      <c r="O345">
        <f>0.61+0.03</f>
        <v>0.64</v>
      </c>
      <c r="P345">
        <v>45.9</v>
      </c>
      <c r="Q345" s="60">
        <f t="shared" si="8"/>
        <v>71.71875</v>
      </c>
    </row>
    <row r="346" spans="1:18" x14ac:dyDescent="0.35">
      <c r="M346" t="s">
        <v>1832</v>
      </c>
      <c r="O346">
        <f>0.62+0.51+0.03</f>
        <v>1.1599999999999999</v>
      </c>
      <c r="P346">
        <v>48.4</v>
      </c>
      <c r="Q346" s="229">
        <f t="shared" si="8"/>
        <v>41.724137931034484</v>
      </c>
      <c r="R346" t="s">
        <v>1836</v>
      </c>
    </row>
    <row r="360" spans="1:1" x14ac:dyDescent="0.35">
      <c r="A360" s="186" t="s">
        <v>69</v>
      </c>
    </row>
    <row r="361" spans="1:1" x14ac:dyDescent="0.35">
      <c r="A361" t="s">
        <v>1840</v>
      </c>
    </row>
    <row r="381" spans="2:8" x14ac:dyDescent="0.35">
      <c r="B381" t="s">
        <v>1841</v>
      </c>
      <c r="E381" s="193">
        <v>0.3</v>
      </c>
    </row>
    <row r="382" spans="2:8" x14ac:dyDescent="0.35">
      <c r="B382" t="s">
        <v>1842</v>
      </c>
      <c r="E382" s="193">
        <v>13.5</v>
      </c>
      <c r="G382">
        <f>E382/E381</f>
        <v>45</v>
      </c>
      <c r="H382" t="s">
        <v>1844</v>
      </c>
    </row>
    <row r="383" spans="2:8" x14ac:dyDescent="0.35">
      <c r="B383" t="s">
        <v>1843</v>
      </c>
      <c r="E383" s="231">
        <f>E381*(1/E382)</f>
        <v>2.222222222222222E-2</v>
      </c>
    </row>
    <row r="386" spans="1:11" x14ac:dyDescent="0.35">
      <c r="A386" t="s">
        <v>215</v>
      </c>
    </row>
    <row r="388" spans="1:11" x14ac:dyDescent="0.35">
      <c r="K388" t="s">
        <v>1847</v>
      </c>
    </row>
    <row r="404" spans="1:16" x14ac:dyDescent="0.35">
      <c r="B404" t="s">
        <v>368</v>
      </c>
    </row>
    <row r="407" spans="1:16" x14ac:dyDescent="0.35">
      <c r="M407" t="s">
        <v>423</v>
      </c>
      <c r="N407" t="s">
        <v>1851</v>
      </c>
      <c r="O407" t="s">
        <v>1852</v>
      </c>
    </row>
    <row r="408" spans="1:16" x14ac:dyDescent="0.35">
      <c r="L408" t="s">
        <v>1850</v>
      </c>
      <c r="M408">
        <v>15</v>
      </c>
      <c r="N408">
        <f>AVERAGE(1,7)</f>
        <v>4</v>
      </c>
    </row>
    <row r="409" spans="1:16" x14ac:dyDescent="0.35">
      <c r="L409" t="s">
        <v>1849</v>
      </c>
      <c r="M409">
        <v>35</v>
      </c>
      <c r="N409">
        <f>AVERAGE(8,30)</f>
        <v>19</v>
      </c>
      <c r="O409">
        <f>SUMPRODUCT(M408:M409,N408:N409)/SUM(M408:M409)</f>
        <v>14.5</v>
      </c>
      <c r="P409" t="s">
        <v>1853</v>
      </c>
    </row>
    <row r="410" spans="1:16" x14ac:dyDescent="0.35">
      <c r="O410">
        <f>O409/365</f>
        <v>3.9726027397260277E-2</v>
      </c>
      <c r="P410" t="s">
        <v>1854</v>
      </c>
    </row>
    <row r="411" spans="1:16" x14ac:dyDescent="0.35">
      <c r="O411">
        <v>1.44</v>
      </c>
      <c r="P411" t="s">
        <v>1855</v>
      </c>
    </row>
    <row r="412" spans="1:16" x14ac:dyDescent="0.35">
      <c r="O412" s="59">
        <f>O410*(O411-1)</f>
        <v>1.7479452054794519E-2</v>
      </c>
      <c r="P412" t="s">
        <v>1856</v>
      </c>
    </row>
    <row r="415" spans="1:16" x14ac:dyDescent="0.35">
      <c r="A415" s="186" t="s">
        <v>1858</v>
      </c>
    </row>
    <row r="417" spans="2:32" x14ac:dyDescent="0.35">
      <c r="B417" t="s">
        <v>1859</v>
      </c>
    </row>
    <row r="420" spans="2:32" x14ac:dyDescent="0.35">
      <c r="Y420" t="s">
        <v>1880</v>
      </c>
      <c r="Z420" s="54">
        <v>0.7</v>
      </c>
      <c r="AC420" s="127" t="s">
        <v>1891</v>
      </c>
    </row>
    <row r="421" spans="2:32" x14ac:dyDescent="0.35">
      <c r="AC421" s="127" t="s">
        <v>1884</v>
      </c>
    </row>
    <row r="423" spans="2:32" x14ac:dyDescent="0.35">
      <c r="L423" t="s">
        <v>1864</v>
      </c>
      <c r="Y423" t="s">
        <v>1869</v>
      </c>
    </row>
    <row r="424" spans="2:32" x14ac:dyDescent="0.35">
      <c r="K424" t="s">
        <v>1860</v>
      </c>
      <c r="L424">
        <v>40</v>
      </c>
      <c r="Z424" t="s">
        <v>1870</v>
      </c>
      <c r="AA424" t="s">
        <v>1874</v>
      </c>
      <c r="AB424" t="s">
        <v>1875</v>
      </c>
      <c r="AC424" t="s">
        <v>1876</v>
      </c>
      <c r="AD424" t="s">
        <v>1877</v>
      </c>
    </row>
    <row r="425" spans="2:32" x14ac:dyDescent="0.3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3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35">
      <c r="Y427" t="s">
        <v>1873</v>
      </c>
      <c r="Z427" s="89">
        <v>9.1999999999999993</v>
      </c>
      <c r="AA427" s="89">
        <f>8.2</f>
        <v>8.1999999999999993</v>
      </c>
      <c r="AB427" s="89">
        <v>3.2</v>
      </c>
      <c r="AC427" s="89">
        <f t="shared" si="10"/>
        <v>7.7714285714285705</v>
      </c>
      <c r="AD427" s="89">
        <f t="shared" si="9"/>
        <v>0.62857142857142811</v>
      </c>
    </row>
    <row r="428" spans="2:32" x14ac:dyDescent="0.3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3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35">
      <c r="K430" t="s">
        <v>1883</v>
      </c>
      <c r="L430" s="91">
        <f>L429*0.7</f>
        <v>0.17359999999999998</v>
      </c>
      <c r="M430" s="91">
        <f t="shared" ref="M430:N430" si="11">M429*0.7</f>
        <v>0.12249999999999998</v>
      </c>
      <c r="N430" s="91">
        <f t="shared" si="11"/>
        <v>0.10709999999999999</v>
      </c>
    </row>
    <row r="431" spans="2:32" x14ac:dyDescent="0.35">
      <c r="J431" t="s">
        <v>1861</v>
      </c>
      <c r="K431" t="s">
        <v>1881</v>
      </c>
      <c r="L431" s="91">
        <v>4.2000000000000003E-2</v>
      </c>
      <c r="M431" s="91">
        <v>0.16</v>
      </c>
      <c r="N431" s="91">
        <v>1.2E-2</v>
      </c>
      <c r="AC431" s="3">
        <f>SUM(AC425:AC429)</f>
        <v>29.857142857142854</v>
      </c>
      <c r="AD431" s="3">
        <f>SUM(AD425:AD429)</f>
        <v>22.142857142857139</v>
      </c>
      <c r="AE431" t="s">
        <v>1885</v>
      </c>
    </row>
    <row r="432" spans="2:32" x14ac:dyDescent="0.35">
      <c r="K432" t="s">
        <v>1882</v>
      </c>
      <c r="L432" s="91">
        <f>L430-L431</f>
        <v>0.13159999999999997</v>
      </c>
      <c r="M432" s="91">
        <v>0</v>
      </c>
      <c r="N432" s="91">
        <f t="shared" ref="N432" si="12">N430-N431</f>
        <v>9.509999999999999E-2</v>
      </c>
      <c r="AE432">
        <v>25</v>
      </c>
      <c r="AF432" t="s">
        <v>1886</v>
      </c>
    </row>
    <row r="433" spans="10:37" x14ac:dyDescent="0.3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35">
      <c r="K434" t="s">
        <v>1882</v>
      </c>
      <c r="L434" s="91">
        <f>L430-L433</f>
        <v>4.7599999999999976E-2</v>
      </c>
      <c r="M434" s="91">
        <v>0</v>
      </c>
      <c r="N434" s="91">
        <f t="shared" ref="N434" si="13">N430-N433</f>
        <v>0.10109999999999998</v>
      </c>
      <c r="AE434" s="84">
        <f>L429</f>
        <v>0.248</v>
      </c>
      <c r="AF434" t="s">
        <v>1888</v>
      </c>
    </row>
    <row r="435" spans="10:37" x14ac:dyDescent="0.35">
      <c r="AC435" s="232">
        <f>AC433/AE434</f>
        <v>3.0097926267281103</v>
      </c>
      <c r="AD435" s="3">
        <f>AD433/AE434</f>
        <v>2.2321428571428568</v>
      </c>
      <c r="AE435" t="s">
        <v>1889</v>
      </c>
      <c r="AK435" s="127" t="s">
        <v>1890</v>
      </c>
    </row>
    <row r="436" spans="10:37" x14ac:dyDescent="0.35">
      <c r="AC436" s="127" t="s">
        <v>1892</v>
      </c>
    </row>
    <row r="437" spans="10:37" x14ac:dyDescent="0.35">
      <c r="AC437" s="127" t="s">
        <v>1893</v>
      </c>
    </row>
    <row r="450" spans="1:25" x14ac:dyDescent="0.35">
      <c r="A450" t="s">
        <v>1898</v>
      </c>
    </row>
    <row r="451" spans="1:25" x14ac:dyDescent="0.35">
      <c r="A451" t="s">
        <v>1897</v>
      </c>
    </row>
    <row r="452" spans="1:25" x14ac:dyDescent="0.35">
      <c r="P452" t="s">
        <v>1899</v>
      </c>
      <c r="Y452" t="s">
        <v>1900</v>
      </c>
    </row>
    <row r="456" spans="1:25" x14ac:dyDescent="0.35">
      <c r="K456" t="s">
        <v>1901</v>
      </c>
    </row>
    <row r="457" spans="1:25" x14ac:dyDescent="0.35">
      <c r="K457" s="59">
        <f>AVERAGE(0.154,0.135,0.146)</f>
        <v>0.14500000000000002</v>
      </c>
    </row>
    <row r="463" spans="1:25" x14ac:dyDescent="0.35">
      <c r="B463" t="s">
        <v>1902</v>
      </c>
    </row>
    <row r="475" spans="12:15" x14ac:dyDescent="0.35">
      <c r="M475" t="s">
        <v>1906</v>
      </c>
      <c r="N475" t="s">
        <v>439</v>
      </c>
      <c r="O475" t="s">
        <v>1907</v>
      </c>
    </row>
    <row r="476" spans="12:15" x14ac:dyDescent="0.35">
      <c r="L476" t="s">
        <v>1903</v>
      </c>
      <c r="M476">
        <v>761.9</v>
      </c>
      <c r="N476">
        <v>1.075</v>
      </c>
      <c r="O476" s="201">
        <f>N476/M476</f>
        <v>1.41094631841449E-3</v>
      </c>
    </row>
    <row r="477" spans="12:15" x14ac:dyDescent="0.35">
      <c r="L477" t="s">
        <v>1904</v>
      </c>
      <c r="M477">
        <v>463.7</v>
      </c>
      <c r="N477">
        <v>0.65300000000000002</v>
      </c>
      <c r="O477" s="201">
        <f t="shared" ref="O477:O479" si="14">N477/M477</f>
        <v>1.4082380849687298E-3</v>
      </c>
    </row>
    <row r="478" spans="12:15" x14ac:dyDescent="0.35">
      <c r="L478" t="s">
        <v>428</v>
      </c>
      <c r="M478">
        <v>428.2</v>
      </c>
      <c r="N478">
        <v>1.758</v>
      </c>
      <c r="O478" s="201">
        <f t="shared" si="14"/>
        <v>4.1055581503970113E-3</v>
      </c>
    </row>
    <row r="479" spans="12:15" x14ac:dyDescent="0.35">
      <c r="L479" t="s">
        <v>1905</v>
      </c>
      <c r="M479">
        <v>252.3</v>
      </c>
      <c r="N479">
        <v>2.613</v>
      </c>
      <c r="O479" s="201">
        <f t="shared" si="14"/>
        <v>1.0356718192627824E-2</v>
      </c>
    </row>
    <row r="481" spans="1:15" x14ac:dyDescent="0.35">
      <c r="L481" s="127" t="s">
        <v>1908</v>
      </c>
    </row>
    <row r="491" spans="1:15" x14ac:dyDescent="0.35">
      <c r="A491" s="186" t="s">
        <v>1909</v>
      </c>
    </row>
    <row r="493" spans="1:15" x14ac:dyDescent="0.35">
      <c r="B493" t="s">
        <v>1910</v>
      </c>
    </row>
    <row r="494" spans="1:15" x14ac:dyDescent="0.35">
      <c r="B494" s="57" t="s">
        <v>1911</v>
      </c>
    </row>
    <row r="495" spans="1:15" x14ac:dyDescent="0.35">
      <c r="O495" t="s">
        <v>1912</v>
      </c>
    </row>
    <row r="517" spans="2:18" x14ac:dyDescent="0.35">
      <c r="P517" t="s">
        <v>1913</v>
      </c>
      <c r="Q517" t="s">
        <v>1863</v>
      </c>
    </row>
    <row r="518" spans="2:18" x14ac:dyDescent="0.35">
      <c r="O518" t="s">
        <v>1024</v>
      </c>
      <c r="P518">
        <v>21</v>
      </c>
      <c r="Q518">
        <f>P518/365*B$522</f>
        <v>2.1863013698630137E-2</v>
      </c>
    </row>
    <row r="519" spans="2:18" x14ac:dyDescent="0.35">
      <c r="O519" t="s">
        <v>1028</v>
      </c>
      <c r="P519">
        <v>22.3</v>
      </c>
      <c r="Q519" s="59">
        <f t="shared" ref="Q519:Q524" si="15">P519/365*B$522</f>
        <v>2.3216438356164385E-2</v>
      </c>
      <c r="R519" s="127" t="s">
        <v>1914</v>
      </c>
    </row>
    <row r="520" spans="2:18" x14ac:dyDescent="0.35">
      <c r="O520" t="s">
        <v>1031</v>
      </c>
      <c r="P520">
        <v>22.1</v>
      </c>
      <c r="Q520">
        <f t="shared" si="15"/>
        <v>2.3008219178082195E-2</v>
      </c>
    </row>
    <row r="521" spans="2:18" x14ac:dyDescent="0.35">
      <c r="O521" t="s">
        <v>1033</v>
      </c>
      <c r="P521">
        <v>26.3</v>
      </c>
      <c r="Q521" s="234">
        <f t="shared" si="15"/>
        <v>2.7380821917808218E-2</v>
      </c>
    </row>
    <row r="522" spans="2:18" x14ac:dyDescent="0.35">
      <c r="B522">
        <f>1-0.62</f>
        <v>0.38</v>
      </c>
      <c r="O522" t="s">
        <v>1035</v>
      </c>
      <c r="P522">
        <v>26.3</v>
      </c>
      <c r="Q522">
        <f t="shared" si="15"/>
        <v>2.7380821917808218E-2</v>
      </c>
    </row>
    <row r="523" spans="2:18" x14ac:dyDescent="0.35">
      <c r="B523" s="429" t="s">
        <v>1915</v>
      </c>
      <c r="C523" s="429"/>
      <c r="D523" s="429"/>
      <c r="E523" s="429"/>
      <c r="F523" s="429"/>
      <c r="G523" s="429"/>
      <c r="H523" s="429"/>
      <c r="I523" s="429"/>
      <c r="J523" s="429"/>
      <c r="O523" t="s">
        <v>1038</v>
      </c>
      <c r="P523">
        <v>27.1</v>
      </c>
      <c r="Q523">
        <f t="shared" si="15"/>
        <v>2.821369863013699E-2</v>
      </c>
    </row>
    <row r="524" spans="2:18" x14ac:dyDescent="0.35">
      <c r="B524" s="429"/>
      <c r="C524" s="429"/>
      <c r="D524" s="429"/>
      <c r="E524" s="429"/>
      <c r="F524" s="429"/>
      <c r="G524" s="429"/>
      <c r="H524" s="429"/>
      <c r="I524" s="429"/>
      <c r="J524" s="429"/>
      <c r="O524" t="s">
        <v>1041</v>
      </c>
      <c r="P524">
        <v>27.1</v>
      </c>
      <c r="Q524">
        <f t="shared" si="15"/>
        <v>2.821369863013699E-2</v>
      </c>
    </row>
    <row r="526" spans="2:18" x14ac:dyDescent="0.3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776</v>
      </c>
      <c r="C1" t="s">
        <v>440</v>
      </c>
      <c r="D1" t="s">
        <v>777</v>
      </c>
      <c r="E1" t="s">
        <v>629</v>
      </c>
      <c r="F1" t="s">
        <v>273</v>
      </c>
      <c r="G1" t="s">
        <v>778</v>
      </c>
      <c r="H1" t="s">
        <v>779</v>
      </c>
      <c r="I1" t="s">
        <v>153</v>
      </c>
    </row>
    <row r="3" spans="2:10" x14ac:dyDescent="0.35">
      <c r="B3" t="s">
        <v>780</v>
      </c>
    </row>
    <row r="4" spans="2:10" s="161" customFormat="1" x14ac:dyDescent="0.35">
      <c r="B4" s="161">
        <v>77.400000000000006</v>
      </c>
      <c r="E4" s="161">
        <v>295.39999999999998</v>
      </c>
      <c r="F4" s="161">
        <v>113.8</v>
      </c>
      <c r="G4" s="161">
        <v>81</v>
      </c>
      <c r="H4" s="161">
        <v>78.099999999999994</v>
      </c>
      <c r="I4" s="161">
        <v>47.2</v>
      </c>
      <c r="J4" s="161" t="s">
        <v>781</v>
      </c>
    </row>
    <row r="5" spans="2:10" x14ac:dyDescent="0.35">
      <c r="B5" t="s">
        <v>782</v>
      </c>
    </row>
    <row r="6" spans="2:10" s="61" customFormat="1" x14ac:dyDescent="0.35">
      <c r="C6" s="61">
        <v>0.08</v>
      </c>
      <c r="D6" s="61">
        <v>0.12</v>
      </c>
      <c r="E6" s="61">
        <f>C6</f>
        <v>0.08</v>
      </c>
      <c r="F6" s="61">
        <f>D6</f>
        <v>0.12</v>
      </c>
      <c r="G6" s="61">
        <f t="shared" ref="G6:H6" si="0">F6</f>
        <v>0.12</v>
      </c>
      <c r="H6" s="61">
        <f t="shared" si="0"/>
        <v>0.12</v>
      </c>
      <c r="I6" s="61">
        <f>C6</f>
        <v>0.08</v>
      </c>
      <c r="J6" s="61" t="s">
        <v>783</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35">
      <c r="C8" s="61">
        <v>0.04</v>
      </c>
      <c r="D8" s="61">
        <v>0.15</v>
      </c>
      <c r="E8" s="61">
        <f t="shared" si="1"/>
        <v>0.04</v>
      </c>
      <c r="F8" s="61">
        <f>D8</f>
        <v>0.15</v>
      </c>
      <c r="G8" s="61">
        <f t="shared" ref="G8:H8" si="4">F8</f>
        <v>0.15</v>
      </c>
      <c r="H8" s="61">
        <f t="shared" si="4"/>
        <v>0.15</v>
      </c>
      <c r="I8" s="61">
        <f t="shared" si="3"/>
        <v>0.04</v>
      </c>
      <c r="J8" s="61" t="s">
        <v>785</v>
      </c>
    </row>
    <row r="9" spans="2:10" s="61" customFormat="1" x14ac:dyDescent="0.35">
      <c r="C9" s="61">
        <v>0.68</v>
      </c>
      <c r="D9" s="61">
        <v>0.53</v>
      </c>
      <c r="E9" s="61">
        <f t="shared" si="1"/>
        <v>0.68</v>
      </c>
      <c r="F9" s="61">
        <f>D9</f>
        <v>0.53</v>
      </c>
      <c r="G9" s="61">
        <f t="shared" ref="G9:H9" si="5">F9</f>
        <v>0.53</v>
      </c>
      <c r="H9" s="61">
        <f t="shared" si="5"/>
        <v>0.53</v>
      </c>
      <c r="I9" s="61">
        <f t="shared" si="3"/>
        <v>0.68</v>
      </c>
      <c r="J9" s="61" t="s">
        <v>786</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35">
      <c r="B12" t="s">
        <v>788</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35">
      <c r="E16" t="s">
        <v>790</v>
      </c>
    </row>
    <row r="17" spans="2:9" x14ac:dyDescent="0.35">
      <c r="E17" s="127" t="s">
        <v>791</v>
      </c>
    </row>
    <row r="30" spans="2:9" x14ac:dyDescent="0.35">
      <c r="B30" t="s">
        <v>792</v>
      </c>
    </row>
    <row r="32" spans="2:9" x14ac:dyDescent="0.35">
      <c r="I32" t="s">
        <v>793</v>
      </c>
    </row>
    <row r="33" spans="2:6" ht="15.5" x14ac:dyDescent="0.35">
      <c r="B33" s="430" t="s">
        <v>794</v>
      </c>
      <c r="C33" s="430"/>
      <c r="D33" s="430"/>
      <c r="E33" s="430"/>
    </row>
    <row r="34" spans="2:6" ht="15.5" x14ac:dyDescent="0.35">
      <c r="C34" s="162" t="s">
        <v>795</v>
      </c>
      <c r="D34" s="162" t="s">
        <v>796</v>
      </c>
      <c r="E34" s="162" t="s">
        <v>797</v>
      </c>
      <c r="F34" s="162" t="s">
        <v>798</v>
      </c>
    </row>
    <row r="35" spans="2:6" ht="31" x14ac:dyDescent="0.35">
      <c r="C35" s="163" t="s">
        <v>799</v>
      </c>
      <c r="D35" s="164">
        <v>35256</v>
      </c>
      <c r="E35" s="164">
        <v>2938</v>
      </c>
      <c r="F35" s="161">
        <f>D35/C38</f>
        <v>1272.7797833935019</v>
      </c>
    </row>
    <row r="36" spans="2:6" ht="31" x14ac:dyDescent="0.35">
      <c r="C36" s="163" t="s">
        <v>800</v>
      </c>
      <c r="D36" s="164">
        <v>43536</v>
      </c>
      <c r="E36" s="164">
        <v>3628</v>
      </c>
      <c r="F36" s="161">
        <f>D36/C38</f>
        <v>1571.6967509025271</v>
      </c>
    </row>
    <row r="38" spans="2:6" ht="15.5" x14ac:dyDescent="0.35">
      <c r="B38" s="165" t="s">
        <v>801</v>
      </c>
      <c r="C38" s="165">
        <v>27.7</v>
      </c>
    </row>
    <row r="40" spans="2:6" x14ac:dyDescent="0.35">
      <c r="C40" s="127" t="s">
        <v>802</v>
      </c>
    </row>
    <row r="41" spans="2:6" x14ac:dyDescent="0.35">
      <c r="C41" s="127" t="s">
        <v>803</v>
      </c>
    </row>
  </sheetData>
  <mergeCells count="1">
    <mergeCell ref="B33:E3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843</v>
      </c>
    </row>
    <row r="3" spans="2:25" ht="15" thickBot="1" x14ac:dyDescent="0.4">
      <c r="V3" s="172" t="s">
        <v>599</v>
      </c>
      <c r="W3" t="s">
        <v>609</v>
      </c>
      <c r="X3" t="s">
        <v>844</v>
      </c>
      <c r="Y3" t="s">
        <v>845</v>
      </c>
    </row>
    <row r="4" spans="2:25" x14ac:dyDescent="0.35">
      <c r="N4" t="s">
        <v>846</v>
      </c>
      <c r="U4" s="166" t="s">
        <v>267</v>
      </c>
      <c r="V4" s="167" t="s">
        <v>847</v>
      </c>
      <c r="W4" s="171" t="s">
        <v>848</v>
      </c>
      <c r="X4" s="171" t="s">
        <v>848</v>
      </c>
      <c r="Y4" s="171" t="s">
        <v>848</v>
      </c>
    </row>
    <row r="5" spans="2:25" x14ac:dyDescent="0.35">
      <c r="N5" s="54">
        <v>0.36</v>
      </c>
      <c r="O5" t="s">
        <v>849</v>
      </c>
      <c r="U5" s="168" t="s">
        <v>850</v>
      </c>
      <c r="V5" s="173">
        <v>13</v>
      </c>
      <c r="W5">
        <v>0.4</v>
      </c>
      <c r="X5">
        <v>0.6</v>
      </c>
      <c r="Y5">
        <v>7.5</v>
      </c>
    </row>
    <row r="6" spans="2:25" x14ac:dyDescent="0.35">
      <c r="U6" s="169" t="s">
        <v>851</v>
      </c>
      <c r="V6" s="174">
        <v>30</v>
      </c>
      <c r="W6">
        <v>1.6</v>
      </c>
      <c r="X6">
        <v>0.6</v>
      </c>
      <c r="Y6">
        <v>6.9</v>
      </c>
    </row>
    <row r="7" spans="2:25" x14ac:dyDescent="0.35">
      <c r="N7" t="s">
        <v>852</v>
      </c>
      <c r="U7" s="168" t="s">
        <v>853</v>
      </c>
      <c r="V7" s="173">
        <v>58</v>
      </c>
      <c r="W7">
        <v>3.1</v>
      </c>
      <c r="X7">
        <v>0.8</v>
      </c>
      <c r="Y7">
        <v>3.9</v>
      </c>
    </row>
    <row r="8" spans="2:25" x14ac:dyDescent="0.35">
      <c r="N8" t="s">
        <v>854</v>
      </c>
      <c r="U8" s="169" t="s">
        <v>855</v>
      </c>
      <c r="V8" s="174">
        <v>82</v>
      </c>
      <c r="W8">
        <v>6.7</v>
      </c>
      <c r="X8">
        <v>1.6</v>
      </c>
      <c r="Y8">
        <v>1.4</v>
      </c>
    </row>
    <row r="9" spans="2:25" x14ac:dyDescent="0.35">
      <c r="U9" s="168" t="s">
        <v>278</v>
      </c>
      <c r="V9" s="173">
        <v>84</v>
      </c>
      <c r="W9">
        <v>7.9</v>
      </c>
      <c r="X9">
        <v>2.7</v>
      </c>
      <c r="Y9">
        <v>0.3</v>
      </c>
    </row>
    <row r="10" spans="2:25" x14ac:dyDescent="0.35">
      <c r="N10" t="s">
        <v>856</v>
      </c>
      <c r="U10" s="169" t="s">
        <v>279</v>
      </c>
      <c r="V10" s="174">
        <v>138</v>
      </c>
      <c r="W10">
        <v>5.5</v>
      </c>
      <c r="X10">
        <v>3.7</v>
      </c>
      <c r="Y10">
        <v>0.1</v>
      </c>
    </row>
    <row r="11" spans="2:25" x14ac:dyDescent="0.35">
      <c r="U11" s="168" t="s">
        <v>280</v>
      </c>
      <c r="V11" s="173">
        <v>280</v>
      </c>
      <c r="W11">
        <v>6.3</v>
      </c>
      <c r="X11">
        <v>3.3</v>
      </c>
      <c r="Y11">
        <v>0.1</v>
      </c>
    </row>
    <row r="12" spans="2:25" x14ac:dyDescent="0.35">
      <c r="U12" s="169" t="s">
        <v>857</v>
      </c>
      <c r="V12" s="174">
        <v>290</v>
      </c>
      <c r="W12">
        <v>8.6999999999999993</v>
      </c>
      <c r="X12">
        <v>3</v>
      </c>
      <c r="Y12">
        <v>0.1</v>
      </c>
    </row>
    <row r="13" spans="2:25" x14ac:dyDescent="0.35">
      <c r="U13" s="168" t="s">
        <v>858</v>
      </c>
      <c r="V13" s="173">
        <v>149</v>
      </c>
      <c r="W13">
        <v>6.7</v>
      </c>
      <c r="X13">
        <v>1.6</v>
      </c>
      <c r="Y13">
        <v>0.3</v>
      </c>
    </row>
    <row r="14" spans="2:25" x14ac:dyDescent="0.35">
      <c r="U14" s="169" t="s">
        <v>859</v>
      </c>
      <c r="V14" s="174">
        <v>27</v>
      </c>
      <c r="W14">
        <v>6.3</v>
      </c>
      <c r="X14">
        <v>0.1</v>
      </c>
      <c r="Y14">
        <v>1.6</v>
      </c>
    </row>
    <row r="15" spans="2:25" x14ac:dyDescent="0.35">
      <c r="U15" s="168" t="s">
        <v>860</v>
      </c>
      <c r="V15" s="173">
        <v>7</v>
      </c>
      <c r="W15">
        <v>3.5</v>
      </c>
      <c r="X15">
        <v>0</v>
      </c>
      <c r="Y15">
        <v>3.7</v>
      </c>
    </row>
    <row r="16" spans="2:25" ht="15" thickBot="1" x14ac:dyDescent="0.4">
      <c r="U16" s="170" t="s">
        <v>861</v>
      </c>
      <c r="V16" s="175">
        <v>7</v>
      </c>
      <c r="W16">
        <v>1.6</v>
      </c>
      <c r="X16">
        <v>0.7</v>
      </c>
      <c r="Y16">
        <v>7.3</v>
      </c>
    </row>
    <row r="21" spans="2:20" x14ac:dyDescent="0.35">
      <c r="B21" t="s">
        <v>862</v>
      </c>
    </row>
    <row r="30" spans="2:20" x14ac:dyDescent="0.35">
      <c r="T30" t="s">
        <v>863</v>
      </c>
    </row>
    <row r="34" spans="13:49" x14ac:dyDescent="0.35">
      <c r="AT34">
        <v>1.03</v>
      </c>
      <c r="AU34" t="s">
        <v>864</v>
      </c>
    </row>
    <row r="35" spans="13:49" x14ac:dyDescent="0.35">
      <c r="AT35">
        <v>1.075</v>
      </c>
      <c r="AU35" t="s">
        <v>865</v>
      </c>
    </row>
    <row r="36" spans="13:49" x14ac:dyDescent="0.35">
      <c r="AT36">
        <v>0.96</v>
      </c>
      <c r="AU36" t="s">
        <v>866</v>
      </c>
    </row>
    <row r="37" spans="13:49" x14ac:dyDescent="0.35">
      <c r="AT37">
        <v>0.92</v>
      </c>
      <c r="AU37" t="s">
        <v>867</v>
      </c>
    </row>
    <row r="38" spans="13:49" x14ac:dyDescent="0.35">
      <c r="M38" t="s">
        <v>868</v>
      </c>
    </row>
    <row r="39" spans="13:49" x14ac:dyDescent="0.35">
      <c r="M39" t="s">
        <v>869</v>
      </c>
      <c r="AT39">
        <f>(AT35-AT37)/AT37</f>
        <v>0.16847826086956511</v>
      </c>
      <c r="AU39" t="s">
        <v>870</v>
      </c>
    </row>
    <row r="41" spans="13:49" x14ac:dyDescent="0.35">
      <c r="M41" t="s">
        <v>846</v>
      </c>
      <c r="AU41" t="s">
        <v>871</v>
      </c>
    </row>
    <row r="42" spans="13:49" x14ac:dyDescent="0.35">
      <c r="M42" s="84" t="s">
        <v>872</v>
      </c>
      <c r="AT42" t="s">
        <v>810</v>
      </c>
      <c r="AU42" t="s">
        <v>873</v>
      </c>
    </row>
    <row r="43" spans="13:49" x14ac:dyDescent="0.35">
      <c r="AT43" t="s">
        <v>874</v>
      </c>
      <c r="AU43" t="s">
        <v>875</v>
      </c>
    </row>
    <row r="44" spans="13:49" x14ac:dyDescent="0.35">
      <c r="M44" t="s">
        <v>876</v>
      </c>
      <c r="AT44" t="s">
        <v>877</v>
      </c>
      <c r="AU44" t="s">
        <v>878</v>
      </c>
      <c r="AV44" s="61">
        <f>55/115</f>
        <v>0.47826086956521741</v>
      </c>
      <c r="AW44" t="s">
        <v>879</v>
      </c>
    </row>
    <row r="45" spans="13:49" x14ac:dyDescent="0.35">
      <c r="M45" t="s">
        <v>880</v>
      </c>
      <c r="AW45" t="s">
        <v>881</v>
      </c>
    </row>
    <row r="46" spans="13:49" x14ac:dyDescent="0.35">
      <c r="M46" t="s">
        <v>882</v>
      </c>
    </row>
    <row r="53" spans="3:15" x14ac:dyDescent="0.35">
      <c r="C53" t="s">
        <v>883</v>
      </c>
    </row>
    <row r="55" spans="3:15" x14ac:dyDescent="0.35">
      <c r="O55" t="s">
        <v>884</v>
      </c>
    </row>
    <row r="57" spans="3:15" x14ac:dyDescent="0.35">
      <c r="O57" t="s">
        <v>885</v>
      </c>
    </row>
    <row r="59" spans="3:15" x14ac:dyDescent="0.35">
      <c r="O59" t="s">
        <v>886</v>
      </c>
    </row>
    <row r="60" spans="3:15" x14ac:dyDescent="0.35">
      <c r="O60" t="s">
        <v>887</v>
      </c>
    </row>
    <row r="62" spans="3:15" x14ac:dyDescent="0.3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57" t="s">
        <v>889</v>
      </c>
    </row>
    <row r="4" spans="1:27" x14ac:dyDescent="0.35">
      <c r="K4" t="s">
        <v>890</v>
      </c>
      <c r="L4" t="s">
        <v>891</v>
      </c>
      <c r="M4" t="s">
        <v>892</v>
      </c>
      <c r="N4" t="s">
        <v>893</v>
      </c>
      <c r="O4" t="s">
        <v>894</v>
      </c>
      <c r="P4" t="s">
        <v>895</v>
      </c>
      <c r="Q4" t="s">
        <v>896</v>
      </c>
      <c r="U4" t="s">
        <v>890</v>
      </c>
      <c r="V4" t="s">
        <v>891</v>
      </c>
      <c r="W4" t="s">
        <v>892</v>
      </c>
      <c r="X4" t="s">
        <v>893</v>
      </c>
      <c r="Y4" t="s">
        <v>894</v>
      </c>
      <c r="Z4" t="s">
        <v>895</v>
      </c>
      <c r="AA4" t="s">
        <v>896</v>
      </c>
    </row>
    <row r="5" spans="1:27" x14ac:dyDescent="0.3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3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3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3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3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3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3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3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3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3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3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3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35">
      <c r="U17" s="89"/>
    </row>
    <row r="18" spans="2:41" x14ac:dyDescent="0.35">
      <c r="B18" t="s">
        <v>897</v>
      </c>
    </row>
    <row r="20" spans="2:41" x14ac:dyDescent="0.3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3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3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3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3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3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3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3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3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3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3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3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35">
      <c r="AO34" s="3">
        <f>AVERAGE(AO21:AO32)</f>
        <v>0.22783777012354597</v>
      </c>
    </row>
    <row r="36" spans="2:41" x14ac:dyDescent="0.35">
      <c r="AO36" s="154" t="s">
        <v>1999</v>
      </c>
    </row>
    <row r="37" spans="2:41" x14ac:dyDescent="0.35">
      <c r="AO37" s="154" t="s">
        <v>2001</v>
      </c>
    </row>
    <row r="38" spans="2:41" x14ac:dyDescent="0.35">
      <c r="B38" s="57" t="s">
        <v>908</v>
      </c>
      <c r="AO38" s="154" t="s">
        <v>2000</v>
      </c>
    </row>
    <row r="40" spans="2:41" x14ac:dyDescent="0.3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x14ac:dyDescent="0.35"/>
  <cols>
    <col min="20" max="20" width="10.1796875" customWidth="1"/>
    <col min="23" max="26" width="9" customWidth="1"/>
  </cols>
  <sheetData>
    <row r="1" spans="1:26" x14ac:dyDescent="0.35">
      <c r="A1" t="s">
        <v>909</v>
      </c>
    </row>
    <row r="2" spans="1:26" x14ac:dyDescent="0.35">
      <c r="A2" t="s">
        <v>910</v>
      </c>
    </row>
    <row r="4" spans="1:26" x14ac:dyDescent="0.35">
      <c r="L4" s="71" t="s">
        <v>911</v>
      </c>
    </row>
    <row r="5" spans="1:26" x14ac:dyDescent="0.35">
      <c r="L5" t="s">
        <v>912</v>
      </c>
    </row>
    <row r="6" spans="1:26" x14ac:dyDescent="0.35">
      <c r="L6" t="s">
        <v>913</v>
      </c>
    </row>
    <row r="7" spans="1:26" x14ac:dyDescent="0.35">
      <c r="L7" t="s">
        <v>914</v>
      </c>
    </row>
    <row r="8" spans="1:26" x14ac:dyDescent="0.35">
      <c r="L8" t="s">
        <v>915</v>
      </c>
    </row>
    <row r="9" spans="1:26" x14ac:dyDescent="0.35">
      <c r="U9" s="431" t="s">
        <v>916</v>
      </c>
      <c r="V9" s="431"/>
      <c r="W9" s="431" t="s">
        <v>917</v>
      </c>
      <c r="X9" s="431"/>
      <c r="Y9" s="431" t="s">
        <v>918</v>
      </c>
      <c r="Z9" s="431"/>
    </row>
    <row r="10" spans="1:26" ht="14.5" customHeight="1" x14ac:dyDescent="0.35">
      <c r="M10" t="s">
        <v>919</v>
      </c>
      <c r="N10" t="s">
        <v>817</v>
      </c>
      <c r="O10" t="s">
        <v>920</v>
      </c>
      <c r="U10" s="431"/>
      <c r="V10" s="431"/>
      <c r="W10" s="431"/>
      <c r="X10" s="431"/>
      <c r="Y10" s="431"/>
      <c r="Z10" s="431"/>
    </row>
    <row r="11" spans="1:26" x14ac:dyDescent="0.35">
      <c r="M11" t="s">
        <v>921</v>
      </c>
      <c r="U11" s="431"/>
      <c r="V11" s="431"/>
      <c r="W11" s="431"/>
      <c r="X11" s="431"/>
      <c r="Y11" s="431"/>
      <c r="Z11" s="431"/>
    </row>
    <row r="12" spans="1:26" ht="15" thickBot="1" x14ac:dyDescent="0.4">
      <c r="L12" t="s">
        <v>274</v>
      </c>
      <c r="M12" s="54">
        <v>0.77</v>
      </c>
      <c r="N12" s="54">
        <v>1</v>
      </c>
      <c r="S12" t="s">
        <v>922</v>
      </c>
      <c r="T12" t="s">
        <v>923</v>
      </c>
      <c r="U12" s="55" t="s">
        <v>919</v>
      </c>
      <c r="V12" s="55" t="s">
        <v>817</v>
      </c>
      <c r="W12" s="55" t="s">
        <v>919</v>
      </c>
      <c r="X12" s="55" t="s">
        <v>817</v>
      </c>
      <c r="Y12" s="55" t="s">
        <v>919</v>
      </c>
      <c r="Z12" s="55" t="s">
        <v>817</v>
      </c>
    </row>
    <row r="13" spans="1:26" x14ac:dyDescent="0.3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3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3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3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3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3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3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3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3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3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3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 thickBot="1" x14ac:dyDescent="0.4">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35">
      <c r="L25" t="s">
        <v>275</v>
      </c>
      <c r="M25" s="61">
        <f t="shared" ref="M25:N35" si="14">M13</f>
        <v>0.32</v>
      </c>
      <c r="N25" s="61">
        <f t="shared" si="14"/>
        <v>0.8</v>
      </c>
    </row>
    <row r="26" spans="12:26" x14ac:dyDescent="0.35">
      <c r="L26" t="s">
        <v>276</v>
      </c>
      <c r="M26" s="61">
        <f t="shared" si="14"/>
        <v>0.09</v>
      </c>
      <c r="N26" s="61">
        <f t="shared" si="14"/>
        <v>0.2</v>
      </c>
      <c r="T26" s="154" t="s">
        <v>924</v>
      </c>
    </row>
    <row r="27" spans="12:26" x14ac:dyDescent="0.35">
      <c r="L27" t="s">
        <v>277</v>
      </c>
      <c r="M27" s="61">
        <f t="shared" si="14"/>
        <v>0.09</v>
      </c>
      <c r="N27" s="61">
        <f t="shared" si="14"/>
        <v>0.2</v>
      </c>
      <c r="T27" s="154" t="s">
        <v>925</v>
      </c>
    </row>
    <row r="28" spans="12:26" x14ac:dyDescent="0.35">
      <c r="L28" t="s">
        <v>278</v>
      </c>
      <c r="M28" s="61">
        <f t="shared" si="14"/>
        <v>0.14000000000000001</v>
      </c>
      <c r="N28" s="61">
        <f t="shared" si="14"/>
        <v>0.2</v>
      </c>
    </row>
    <row r="29" spans="12:26" x14ac:dyDescent="0.35">
      <c r="L29" t="s">
        <v>279</v>
      </c>
      <c r="M29" s="61">
        <f t="shared" si="14"/>
        <v>0.14000000000000001</v>
      </c>
      <c r="N29" s="61">
        <f t="shared" si="14"/>
        <v>0</v>
      </c>
    </row>
    <row r="30" spans="12:26" x14ac:dyDescent="0.35">
      <c r="L30" t="s">
        <v>280</v>
      </c>
      <c r="M30" s="61">
        <f t="shared" si="14"/>
        <v>0.18</v>
      </c>
      <c r="N30" s="61">
        <f t="shared" si="14"/>
        <v>0</v>
      </c>
    </row>
    <row r="31" spans="12:26" x14ac:dyDescent="0.35">
      <c r="L31" t="s">
        <v>281</v>
      </c>
      <c r="M31" s="61">
        <f t="shared" si="14"/>
        <v>0.32</v>
      </c>
      <c r="N31" s="61">
        <f t="shared" si="14"/>
        <v>0.2</v>
      </c>
    </row>
    <row r="32" spans="12:26" x14ac:dyDescent="0.35">
      <c r="L32" t="s">
        <v>282</v>
      </c>
      <c r="M32" s="61">
        <f t="shared" si="14"/>
        <v>0.5</v>
      </c>
      <c r="N32" s="61">
        <f t="shared" si="14"/>
        <v>0.4</v>
      </c>
    </row>
    <row r="33" spans="12:14" x14ac:dyDescent="0.35">
      <c r="L33" t="s">
        <v>283</v>
      </c>
      <c r="M33" s="61">
        <f t="shared" si="14"/>
        <v>0.72</v>
      </c>
      <c r="N33" s="61">
        <f t="shared" si="14"/>
        <v>0.6</v>
      </c>
    </row>
    <row r="34" spans="12:14" x14ac:dyDescent="0.35">
      <c r="L34" t="s">
        <v>284</v>
      </c>
      <c r="M34" s="61">
        <f t="shared" si="14"/>
        <v>0.68</v>
      </c>
      <c r="N34" s="61">
        <f t="shared" si="14"/>
        <v>0.6</v>
      </c>
    </row>
    <row r="35" spans="12:14" x14ac:dyDescent="0.3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3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3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3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793</v>
      </c>
    </row>
    <row r="25" spans="2:54" x14ac:dyDescent="0.35">
      <c r="B25" t="s">
        <v>935</v>
      </c>
      <c r="W25" t="s">
        <v>937</v>
      </c>
    </row>
    <row r="26" spans="2:54" x14ac:dyDescent="0.35">
      <c r="W26" t="s">
        <v>945</v>
      </c>
      <c r="AG26" t="s">
        <v>946</v>
      </c>
      <c r="AR26" t="s">
        <v>949</v>
      </c>
    </row>
    <row r="30" spans="2:54" x14ac:dyDescent="0.35">
      <c r="AY30" t="s">
        <v>1767</v>
      </c>
      <c r="AZ30" t="s">
        <v>1768</v>
      </c>
      <c r="BA30" t="s">
        <v>337</v>
      </c>
      <c r="BB30" t="s">
        <v>1769</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804</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936</v>
      </c>
      <c r="K1" t="s">
        <v>937</v>
      </c>
      <c r="U1" t="s">
        <v>938</v>
      </c>
      <c r="AD1" t="s">
        <v>939</v>
      </c>
      <c r="AO1" t="s">
        <v>940</v>
      </c>
      <c r="BC1" t="s">
        <v>941</v>
      </c>
      <c r="BO1" t="s">
        <v>942</v>
      </c>
      <c r="BY1" t="s">
        <v>943</v>
      </c>
      <c r="CL1" t="s">
        <v>944</v>
      </c>
    </row>
    <row r="2" spans="1:90" x14ac:dyDescent="0.35">
      <c r="K2" s="57" t="s">
        <v>945</v>
      </c>
      <c r="U2" s="57" t="s">
        <v>946</v>
      </c>
      <c r="AD2" t="s">
        <v>947</v>
      </c>
      <c r="AO2" t="s">
        <v>948</v>
      </c>
      <c r="BC2" t="s">
        <v>949</v>
      </c>
      <c r="BO2" t="s">
        <v>950</v>
      </c>
      <c r="BY2" t="s">
        <v>951</v>
      </c>
      <c r="CL2" t="s">
        <v>952</v>
      </c>
    </row>
    <row r="10" spans="1:90" x14ac:dyDescent="0.35">
      <c r="AO10" t="s">
        <v>953</v>
      </c>
    </row>
    <row r="20" spans="1:30" x14ac:dyDescent="0.35">
      <c r="AD20" t="s">
        <v>954</v>
      </c>
    </row>
    <row r="21" spans="1:30" x14ac:dyDescent="0.35">
      <c r="AD21" t="s">
        <v>955</v>
      </c>
    </row>
    <row r="29" spans="1:30" x14ac:dyDescent="0.35">
      <c r="A29" t="s">
        <v>956</v>
      </c>
    </row>
    <row r="30" spans="1:30" x14ac:dyDescent="0.35">
      <c r="B30" s="53" t="s">
        <v>957</v>
      </c>
    </row>
    <row r="31" spans="1:30" x14ac:dyDescent="0.35">
      <c r="B31" s="53" t="s">
        <v>958</v>
      </c>
    </row>
    <row r="32" spans="1:30" x14ac:dyDescent="0.35">
      <c r="B32" s="53" t="s">
        <v>959</v>
      </c>
    </row>
    <row r="33" spans="1:2" x14ac:dyDescent="0.35">
      <c r="A33" t="s">
        <v>960</v>
      </c>
    </row>
    <row r="35" spans="1:2" x14ac:dyDescent="0.35">
      <c r="A35" t="s">
        <v>961</v>
      </c>
    </row>
    <row r="36" spans="1:2" x14ac:dyDescent="0.35">
      <c r="B36" s="53" t="s">
        <v>962</v>
      </c>
    </row>
    <row r="38" spans="1:2" x14ac:dyDescent="0.35">
      <c r="A38" t="s">
        <v>963</v>
      </c>
    </row>
    <row r="39" spans="1:2" x14ac:dyDescent="0.35">
      <c r="B39" s="53" t="s">
        <v>964</v>
      </c>
    </row>
    <row r="40" spans="1:2" x14ac:dyDescent="0.35">
      <c r="B40" s="53" t="s">
        <v>965</v>
      </c>
    </row>
    <row r="41" spans="1:2" x14ac:dyDescent="0.35">
      <c r="B41" s="53" t="s">
        <v>966</v>
      </c>
    </row>
    <row r="42" spans="1:2" x14ac:dyDescent="0.35">
      <c r="A42" t="s">
        <v>967</v>
      </c>
    </row>
    <row r="43" spans="1:2" x14ac:dyDescent="0.35">
      <c r="B43" s="53" t="s">
        <v>968</v>
      </c>
    </row>
    <row r="44" spans="1:2" x14ac:dyDescent="0.35">
      <c r="B44" s="53" t="s">
        <v>969</v>
      </c>
    </row>
    <row r="46" spans="1:2" x14ac:dyDescent="0.35">
      <c r="A46" t="s">
        <v>970</v>
      </c>
    </row>
    <row r="47" spans="1:2" x14ac:dyDescent="0.3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972</v>
      </c>
      <c r="M1" t="s">
        <v>973</v>
      </c>
      <c r="X1" t="s">
        <v>974</v>
      </c>
    </row>
    <row r="2" spans="2:24" x14ac:dyDescent="0.35">
      <c r="B2" t="s">
        <v>949</v>
      </c>
      <c r="M2" t="s">
        <v>945</v>
      </c>
      <c r="X2" t="s">
        <v>975</v>
      </c>
    </row>
    <row r="3" spans="2:24" x14ac:dyDescent="0.35">
      <c r="B3" s="52" t="s">
        <v>976</v>
      </c>
    </row>
    <row r="6" spans="2:24" x14ac:dyDescent="0.35">
      <c r="H6" s="52" t="s">
        <v>977</v>
      </c>
    </row>
    <row r="17" spans="13:24" x14ac:dyDescent="0.35">
      <c r="M17" t="s">
        <v>978</v>
      </c>
    </row>
    <row r="18" spans="13:24" x14ac:dyDescent="0.35">
      <c r="M18" t="s">
        <v>509</v>
      </c>
    </row>
    <row r="30" spans="13:24" x14ac:dyDescent="0.35">
      <c r="X30" t="s">
        <v>979</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4.5" x14ac:dyDescent="0.35"/>
  <cols>
    <col min="8" max="8" width="10.7265625" customWidth="1"/>
    <col min="103" max="103" width="13.54296875" bestFit="1" customWidth="1"/>
  </cols>
  <sheetData>
    <row r="1" spans="1:104" x14ac:dyDescent="0.35">
      <c r="B1" t="s">
        <v>981</v>
      </c>
    </row>
    <row r="2" spans="1:104" s="48" customFormat="1" x14ac:dyDescent="0.3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3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3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35">
      <c r="B5" s="127" t="s">
        <v>1932</v>
      </c>
    </row>
    <row r="7" spans="1:104" x14ac:dyDescent="0.3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3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3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3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3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3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3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1001</v>
      </c>
      <c r="CF24">
        <v>0.95</v>
      </c>
      <c r="CK24">
        <v>0.92</v>
      </c>
      <c r="CP24">
        <v>0.75</v>
      </c>
      <c r="CU24">
        <v>0.57999999999999996</v>
      </c>
      <c r="CX24">
        <v>1</v>
      </c>
    </row>
    <row r="25" spans="1:104" x14ac:dyDescent="0.35">
      <c r="CE25" t="s">
        <v>1002</v>
      </c>
      <c r="CF25">
        <v>0.94</v>
      </c>
      <c r="CK25">
        <v>0.92</v>
      </c>
      <c r="CP25">
        <v>0.71</v>
      </c>
      <c r="CU25">
        <v>0.4</v>
      </c>
      <c r="CX25">
        <v>1</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33"/>
      <c r="B1" s="433"/>
      <c r="C1" s="433"/>
      <c r="D1" s="433"/>
      <c r="E1" s="433"/>
      <c r="F1" s="433"/>
      <c r="G1" s="433"/>
      <c r="H1" s="433"/>
      <c r="I1" s="46"/>
      <c r="J1" s="46"/>
      <c r="K1" s="46"/>
      <c r="L1" s="46"/>
      <c r="M1" s="46"/>
      <c r="N1" s="46"/>
      <c r="O1" s="46"/>
      <c r="P1" s="46"/>
      <c r="Q1" s="46"/>
      <c r="R1" s="46"/>
      <c r="S1" s="46"/>
      <c r="T1" s="46"/>
      <c r="U1" s="46"/>
      <c r="V1" s="46"/>
      <c r="W1" s="46"/>
      <c r="X1" s="46"/>
      <c r="Y1" s="46"/>
      <c r="Z1" s="46"/>
      <c r="AA1" s="46"/>
      <c r="AB1" s="46"/>
      <c r="AC1" s="46"/>
    </row>
    <row r="2" spans="1:29" ht="11.5" x14ac:dyDescent="0.25">
      <c r="A2" s="433"/>
      <c r="B2" s="433"/>
      <c r="C2" s="433"/>
      <c r="D2" s="433"/>
      <c r="E2" s="433"/>
      <c r="F2" s="433"/>
      <c r="G2" s="433"/>
      <c r="H2" s="433"/>
      <c r="I2" s="46"/>
      <c r="J2" s="46"/>
      <c r="K2" s="46"/>
      <c r="L2" s="46"/>
      <c r="M2" s="46"/>
      <c r="N2" s="46"/>
      <c r="O2" s="46"/>
      <c r="P2" s="46"/>
      <c r="Q2" s="46"/>
      <c r="R2" s="46"/>
      <c r="S2" s="46"/>
      <c r="T2" s="46"/>
      <c r="U2" s="46"/>
      <c r="V2" s="46"/>
      <c r="W2" s="46"/>
      <c r="X2" s="46"/>
      <c r="Y2" s="46"/>
      <c r="Z2" s="46"/>
      <c r="AA2" s="46"/>
      <c r="AB2" s="46"/>
      <c r="AC2" s="46"/>
    </row>
    <row r="3" spans="1:29" ht="11.5" x14ac:dyDescent="0.25">
      <c r="A3" s="433"/>
      <c r="B3" s="433"/>
      <c r="C3" s="433"/>
      <c r="D3" s="433"/>
      <c r="E3" s="433"/>
      <c r="F3" s="433"/>
      <c r="G3" s="433"/>
      <c r="H3" s="433"/>
      <c r="I3" s="46"/>
      <c r="J3" s="46"/>
      <c r="K3" s="46"/>
      <c r="L3" s="46"/>
      <c r="M3" s="46"/>
      <c r="N3" s="46"/>
      <c r="O3" s="46"/>
      <c r="P3" s="46"/>
      <c r="Q3" s="46"/>
      <c r="R3" s="46"/>
      <c r="S3" s="46"/>
      <c r="T3" s="46"/>
      <c r="U3" s="46"/>
      <c r="V3" s="46"/>
      <c r="W3" s="46"/>
      <c r="X3" s="46"/>
      <c r="Y3" s="46"/>
      <c r="Z3" s="46"/>
      <c r="AA3" s="46"/>
      <c r="AB3" s="46"/>
      <c r="AC3" s="46"/>
    </row>
    <row r="4" spans="1:29" ht="11.5" x14ac:dyDescent="0.25">
      <c r="A4" s="433"/>
      <c r="B4" s="433"/>
      <c r="C4" s="433"/>
      <c r="D4" s="433"/>
      <c r="E4" s="433"/>
      <c r="F4" s="433"/>
      <c r="G4" s="433"/>
      <c r="H4" s="433"/>
      <c r="I4" s="46"/>
      <c r="J4" s="46"/>
      <c r="K4" s="46"/>
      <c r="L4" s="46"/>
      <c r="M4" s="46"/>
      <c r="N4" s="46"/>
      <c r="O4" s="46"/>
      <c r="P4" s="46"/>
      <c r="Q4" s="46"/>
      <c r="R4" s="46"/>
      <c r="S4" s="46"/>
      <c r="T4" s="46"/>
      <c r="U4" s="46"/>
      <c r="V4" s="46"/>
      <c r="W4" s="46"/>
      <c r="X4" s="46"/>
      <c r="Y4" s="46"/>
      <c r="Z4" s="46"/>
      <c r="AA4" s="46"/>
      <c r="AB4" s="46"/>
      <c r="AC4" s="46"/>
    </row>
    <row r="5" spans="1:29" ht="15.5" x14ac:dyDescent="0.35">
      <c r="A5" s="434" t="s">
        <v>1003</v>
      </c>
      <c r="B5" s="434"/>
      <c r="C5" s="434"/>
      <c r="D5" s="434"/>
      <c r="E5" s="434"/>
      <c r="F5" s="434"/>
      <c r="G5" s="434"/>
      <c r="H5" s="434"/>
      <c r="I5" s="46"/>
      <c r="J5" s="46"/>
      <c r="K5" s="46"/>
      <c r="L5" s="46"/>
      <c r="M5" s="46"/>
      <c r="N5" s="46"/>
      <c r="O5" s="46"/>
      <c r="P5" s="46"/>
      <c r="Q5" s="46"/>
      <c r="R5" s="46"/>
      <c r="S5" s="46"/>
      <c r="T5" s="46"/>
      <c r="U5" s="46"/>
      <c r="V5" s="46"/>
      <c r="W5" s="46"/>
      <c r="X5" s="46"/>
      <c r="Y5" s="46"/>
      <c r="Z5" s="46"/>
      <c r="AA5" s="46"/>
      <c r="AB5" s="46"/>
      <c r="AC5" s="46"/>
    </row>
    <row r="6" spans="1:29" ht="13" x14ac:dyDescent="0.3">
      <c r="A6" s="432" t="s">
        <v>1004</v>
      </c>
      <c r="B6" s="432"/>
      <c r="C6" s="432"/>
      <c r="D6" s="432"/>
      <c r="E6" s="432"/>
      <c r="F6" s="432"/>
      <c r="G6" s="432"/>
      <c r="H6" s="432"/>
      <c r="I6" s="46"/>
      <c r="J6" s="46"/>
      <c r="K6" s="46"/>
      <c r="L6" s="46"/>
      <c r="M6" s="46"/>
      <c r="N6" s="46"/>
      <c r="O6" s="46"/>
      <c r="P6" s="46"/>
      <c r="Q6" s="46"/>
      <c r="R6" s="46"/>
      <c r="S6" s="46"/>
      <c r="T6" s="46"/>
      <c r="U6" s="46"/>
      <c r="V6" s="46"/>
      <c r="W6" s="46"/>
      <c r="X6" s="46"/>
      <c r="Y6" s="46"/>
      <c r="Z6" s="46"/>
      <c r="AA6" s="46"/>
      <c r="AB6" s="46"/>
      <c r="AC6" s="46"/>
    </row>
    <row r="7" spans="1:29" ht="13" x14ac:dyDescent="0.3">
      <c r="A7" s="432" t="s">
        <v>1005</v>
      </c>
      <c r="B7" s="432"/>
      <c r="C7" s="432"/>
      <c r="D7" s="432"/>
      <c r="E7" s="432"/>
      <c r="F7" s="432"/>
      <c r="G7" s="432"/>
      <c r="H7" s="432"/>
      <c r="I7" s="46"/>
      <c r="J7" s="46"/>
      <c r="K7" s="46"/>
      <c r="L7" s="46"/>
      <c r="M7" s="46"/>
      <c r="N7" s="46"/>
      <c r="O7" s="46"/>
      <c r="P7" s="46"/>
      <c r="Q7" s="46"/>
      <c r="R7" s="46"/>
      <c r="S7" s="46"/>
      <c r="T7" s="46"/>
      <c r="U7" s="46"/>
      <c r="V7" s="46"/>
      <c r="W7" s="46"/>
      <c r="X7" s="46"/>
      <c r="Y7" s="46"/>
      <c r="Z7" s="46"/>
      <c r="AA7" s="46"/>
      <c r="AB7" s="46"/>
      <c r="AC7" s="46"/>
    </row>
    <row r="8" spans="1:29" ht="11.5" x14ac:dyDescent="0.25">
      <c r="A8" s="433"/>
      <c r="B8" s="433"/>
      <c r="C8" s="433"/>
      <c r="D8" s="433"/>
      <c r="E8" s="433"/>
      <c r="F8" s="433"/>
      <c r="G8" s="433"/>
      <c r="H8" s="433"/>
      <c r="I8" s="46"/>
      <c r="J8" s="46"/>
      <c r="K8" s="46"/>
      <c r="L8" s="46"/>
      <c r="M8" s="46"/>
      <c r="N8" s="46"/>
      <c r="O8" s="46"/>
      <c r="P8" s="46"/>
      <c r="Q8" s="46"/>
      <c r="R8" s="46"/>
      <c r="S8" s="46"/>
      <c r="T8" s="46"/>
      <c r="U8" s="46"/>
      <c r="V8" s="46"/>
      <c r="W8" s="46"/>
      <c r="X8" s="46"/>
      <c r="Y8" s="46"/>
      <c r="Z8" s="46"/>
      <c r="AA8" s="46"/>
      <c r="AB8" s="46"/>
      <c r="AC8" s="46"/>
    </row>
    <row r="9" spans="1:29" ht="13" x14ac:dyDescent="0.3">
      <c r="A9" s="438" t="s">
        <v>1006</v>
      </c>
      <c r="B9" s="438"/>
      <c r="C9" s="438"/>
      <c r="D9" s="438"/>
      <c r="E9" s="438"/>
      <c r="F9" s="438"/>
      <c r="G9" s="438"/>
      <c r="H9" s="438"/>
      <c r="I9" s="46"/>
      <c r="J9" s="46"/>
      <c r="K9" s="46"/>
      <c r="L9" s="46"/>
      <c r="M9" s="46"/>
      <c r="N9" s="46"/>
      <c r="O9" s="46"/>
      <c r="P9" s="46"/>
      <c r="Q9" s="46"/>
      <c r="R9" s="46"/>
      <c r="S9" s="46"/>
      <c r="T9" s="46"/>
      <c r="U9" s="46"/>
      <c r="V9" s="46"/>
      <c r="W9" s="46"/>
      <c r="X9" s="46"/>
      <c r="Y9" s="46"/>
      <c r="Z9" s="46"/>
      <c r="AA9" s="46"/>
      <c r="AB9" s="46"/>
      <c r="AC9" s="46"/>
    </row>
    <row r="10" spans="1:29" ht="13" x14ac:dyDescent="0.3">
      <c r="A10" s="432" t="s">
        <v>1007</v>
      </c>
      <c r="B10" s="432"/>
      <c r="C10" s="432"/>
      <c r="D10" s="432"/>
      <c r="E10" s="432"/>
      <c r="F10" s="432"/>
      <c r="G10" s="432"/>
      <c r="H10" s="432"/>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39" t="s">
        <v>1008</v>
      </c>
      <c r="B11" s="439"/>
      <c r="C11" s="439"/>
      <c r="D11" s="439"/>
      <c r="E11" s="439"/>
      <c r="F11" s="439"/>
      <c r="G11" s="439"/>
      <c r="H11" s="439"/>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40" t="s">
        <v>1009</v>
      </c>
      <c r="B12" s="440"/>
      <c r="C12" s="440"/>
      <c r="D12" s="440"/>
      <c r="E12" s="440"/>
      <c r="F12" s="440"/>
      <c r="G12" s="440"/>
      <c r="H12" s="440"/>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35" t="s">
        <v>1010</v>
      </c>
      <c r="B13" s="435"/>
      <c r="C13" s="435"/>
      <c r="D13" s="435"/>
      <c r="E13" s="435"/>
      <c r="F13" s="435"/>
      <c r="G13" s="435"/>
      <c r="H13" s="435"/>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36" t="s">
        <v>1011</v>
      </c>
      <c r="B14" s="436"/>
      <c r="C14" s="436"/>
      <c r="D14" s="436"/>
      <c r="E14" s="436"/>
      <c r="F14" s="436"/>
      <c r="G14" s="436"/>
      <c r="H14" s="436"/>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37"/>
      <c r="B15" s="437"/>
      <c r="C15" s="437"/>
      <c r="D15" s="437"/>
      <c r="E15" s="437"/>
      <c r="F15" s="437"/>
      <c r="G15" s="437"/>
      <c r="H15" s="437"/>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x14ac:dyDescent="0.25">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x14ac:dyDescent="0.25">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x14ac:dyDescent="0.25">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x14ac:dyDescent="0.25">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x14ac:dyDescent="0.25">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33"/>
      <c r="B1" s="433"/>
      <c r="C1" s="433"/>
      <c r="D1" s="433"/>
      <c r="E1" s="433"/>
      <c r="F1" s="433"/>
      <c r="G1" s="433"/>
      <c r="H1" s="433"/>
      <c r="I1" s="46"/>
      <c r="J1" s="46"/>
      <c r="K1" s="46"/>
      <c r="L1" s="46"/>
      <c r="M1" s="46"/>
      <c r="N1" s="46"/>
      <c r="O1" s="46"/>
      <c r="P1" s="46"/>
      <c r="Q1" s="46"/>
      <c r="R1" s="46"/>
      <c r="S1" s="46"/>
      <c r="T1" s="46"/>
      <c r="U1" s="46"/>
      <c r="V1" s="46"/>
      <c r="W1" s="46"/>
      <c r="X1" s="46"/>
      <c r="Y1" s="46"/>
      <c r="Z1" s="46"/>
      <c r="AA1" s="46"/>
      <c r="AB1" s="46"/>
      <c r="AC1" s="46"/>
    </row>
    <row r="2" spans="1:29" ht="11.5" x14ac:dyDescent="0.25">
      <c r="A2" s="433"/>
      <c r="B2" s="433"/>
      <c r="C2" s="433"/>
      <c r="D2" s="433"/>
      <c r="E2" s="433"/>
      <c r="F2" s="433"/>
      <c r="G2" s="433"/>
      <c r="H2" s="433"/>
      <c r="I2" s="46"/>
      <c r="J2" s="46"/>
      <c r="K2" s="46"/>
      <c r="L2" s="46"/>
      <c r="M2" s="46"/>
      <c r="N2" s="46"/>
      <c r="O2" s="46"/>
      <c r="P2" s="46"/>
      <c r="Q2" s="46"/>
      <c r="R2" s="46"/>
      <c r="S2" s="46"/>
      <c r="T2" s="46"/>
      <c r="U2" s="46"/>
      <c r="V2" s="46"/>
      <c r="W2" s="46"/>
      <c r="X2" s="46"/>
      <c r="Y2" s="46"/>
      <c r="Z2" s="46"/>
      <c r="AA2" s="46"/>
      <c r="AB2" s="46"/>
      <c r="AC2" s="46"/>
    </row>
    <row r="3" spans="1:29" ht="11.5" x14ac:dyDescent="0.25">
      <c r="A3" s="433"/>
      <c r="B3" s="433"/>
      <c r="C3" s="433"/>
      <c r="D3" s="433"/>
      <c r="E3" s="433"/>
      <c r="F3" s="433"/>
      <c r="G3" s="433"/>
      <c r="H3" s="433"/>
      <c r="I3" s="46"/>
      <c r="J3" s="46"/>
      <c r="K3" s="46"/>
      <c r="L3" s="46"/>
      <c r="M3" s="46"/>
      <c r="N3" s="46"/>
      <c r="O3" s="46"/>
      <c r="P3" s="46"/>
      <c r="Q3" s="46"/>
      <c r="R3" s="46"/>
      <c r="S3" s="46"/>
      <c r="T3" s="46"/>
      <c r="U3" s="46"/>
      <c r="V3" s="46"/>
      <c r="W3" s="46"/>
      <c r="X3" s="46"/>
      <c r="Y3" s="46"/>
      <c r="Z3" s="46"/>
      <c r="AA3" s="46"/>
      <c r="AB3" s="46"/>
      <c r="AC3" s="46"/>
    </row>
    <row r="4" spans="1:29" ht="11.5" x14ac:dyDescent="0.25">
      <c r="A4" s="433"/>
      <c r="B4" s="433"/>
      <c r="C4" s="433"/>
      <c r="D4" s="433"/>
      <c r="E4" s="433"/>
      <c r="F4" s="433"/>
      <c r="G4" s="433"/>
      <c r="H4" s="433"/>
      <c r="I4" s="46"/>
      <c r="J4" s="46"/>
      <c r="K4" s="46"/>
      <c r="L4" s="46"/>
      <c r="M4" s="46"/>
      <c r="N4" s="46"/>
      <c r="O4" s="46"/>
      <c r="P4" s="46"/>
      <c r="Q4" s="46"/>
      <c r="R4" s="46"/>
      <c r="S4" s="46"/>
      <c r="T4" s="46"/>
      <c r="U4" s="46"/>
      <c r="V4" s="46"/>
      <c r="W4" s="46"/>
      <c r="X4" s="46"/>
      <c r="Y4" s="46"/>
      <c r="Z4" s="46"/>
      <c r="AA4" s="46"/>
      <c r="AB4" s="46"/>
      <c r="AC4" s="46"/>
    </row>
    <row r="5" spans="1:29" ht="15.5" x14ac:dyDescent="0.35">
      <c r="A5" s="434" t="s">
        <v>1003</v>
      </c>
      <c r="B5" s="434"/>
      <c r="C5" s="434"/>
      <c r="D5" s="434"/>
      <c r="E5" s="434"/>
      <c r="F5" s="434"/>
      <c r="G5" s="434"/>
      <c r="H5" s="434"/>
      <c r="I5" s="46"/>
      <c r="J5" s="46"/>
      <c r="K5" s="46"/>
      <c r="L5" s="46"/>
      <c r="M5" s="46"/>
      <c r="N5" s="46"/>
      <c r="O5" s="46"/>
      <c r="P5" s="46"/>
      <c r="Q5" s="46"/>
      <c r="R5" s="46"/>
      <c r="S5" s="46"/>
      <c r="T5" s="46"/>
      <c r="U5" s="46"/>
      <c r="V5" s="46"/>
      <c r="W5" s="46"/>
      <c r="X5" s="46"/>
      <c r="Y5" s="46"/>
      <c r="Z5" s="46"/>
      <c r="AA5" s="46"/>
      <c r="AB5" s="46"/>
      <c r="AC5" s="46"/>
    </row>
    <row r="6" spans="1:29" ht="13" x14ac:dyDescent="0.3">
      <c r="A6" s="432" t="s">
        <v>1004</v>
      </c>
      <c r="B6" s="432"/>
      <c r="C6" s="432"/>
      <c r="D6" s="432"/>
      <c r="E6" s="432"/>
      <c r="F6" s="432"/>
      <c r="G6" s="432"/>
      <c r="H6" s="432"/>
      <c r="I6" s="46"/>
      <c r="J6" s="46"/>
      <c r="K6" s="46"/>
      <c r="L6" s="46"/>
      <c r="M6" s="46"/>
      <c r="N6" s="46"/>
      <c r="O6" s="46"/>
      <c r="P6" s="46"/>
      <c r="Q6" s="46"/>
      <c r="R6" s="46"/>
      <c r="S6" s="46"/>
      <c r="T6" s="46"/>
      <c r="U6" s="46"/>
      <c r="V6" s="46"/>
      <c r="W6" s="46"/>
      <c r="X6" s="46"/>
      <c r="Y6" s="46"/>
      <c r="Z6" s="46"/>
      <c r="AA6" s="46"/>
      <c r="AB6" s="46"/>
      <c r="AC6" s="46"/>
    </row>
    <row r="7" spans="1:29" ht="13" x14ac:dyDescent="0.3">
      <c r="A7" s="432" t="s">
        <v>1005</v>
      </c>
      <c r="B7" s="432"/>
      <c r="C7" s="432"/>
      <c r="D7" s="432"/>
      <c r="E7" s="432"/>
      <c r="F7" s="432"/>
      <c r="G7" s="432"/>
      <c r="H7" s="432"/>
      <c r="I7" s="46"/>
      <c r="J7" s="46"/>
      <c r="K7" s="46"/>
      <c r="L7" s="46"/>
      <c r="M7" s="46"/>
      <c r="N7" s="46"/>
      <c r="O7" s="46"/>
      <c r="P7" s="46"/>
      <c r="Q7" s="46"/>
      <c r="R7" s="46"/>
      <c r="S7" s="46"/>
      <c r="T7" s="46"/>
      <c r="U7" s="46"/>
      <c r="V7" s="46"/>
      <c r="W7" s="46"/>
      <c r="X7" s="46"/>
      <c r="Y7" s="46"/>
      <c r="Z7" s="46"/>
      <c r="AA7" s="46"/>
      <c r="AB7" s="46"/>
      <c r="AC7" s="46"/>
    </row>
    <row r="8" spans="1:29" ht="11.5" x14ac:dyDescent="0.25">
      <c r="A8" s="433"/>
      <c r="B8" s="433"/>
      <c r="C8" s="433"/>
      <c r="D8" s="433"/>
      <c r="E8" s="433"/>
      <c r="F8" s="433"/>
      <c r="G8" s="433"/>
      <c r="H8" s="433"/>
      <c r="I8" s="46"/>
      <c r="J8" s="46"/>
      <c r="K8" s="46"/>
      <c r="L8" s="46"/>
      <c r="M8" s="46"/>
      <c r="N8" s="46"/>
      <c r="O8" s="46"/>
      <c r="P8" s="46"/>
      <c r="Q8" s="46"/>
      <c r="R8" s="46"/>
      <c r="S8" s="46"/>
      <c r="T8" s="46"/>
      <c r="U8" s="46"/>
      <c r="V8" s="46"/>
      <c r="W8" s="46"/>
      <c r="X8" s="46"/>
      <c r="Y8" s="46"/>
      <c r="Z8" s="46"/>
      <c r="AA8" s="46"/>
      <c r="AB8" s="46"/>
      <c r="AC8" s="46"/>
    </row>
    <row r="9" spans="1:29" ht="13" x14ac:dyDescent="0.3">
      <c r="A9" s="438" t="s">
        <v>1006</v>
      </c>
      <c r="B9" s="438"/>
      <c r="C9" s="438"/>
      <c r="D9" s="438"/>
      <c r="E9" s="438"/>
      <c r="F9" s="438"/>
      <c r="G9" s="438"/>
      <c r="H9" s="438"/>
      <c r="I9" s="46"/>
      <c r="J9" s="46"/>
      <c r="K9" s="46"/>
      <c r="L9" s="46"/>
      <c r="M9" s="46"/>
      <c r="N9" s="46"/>
      <c r="O9" s="46"/>
      <c r="P9" s="46"/>
      <c r="Q9" s="46"/>
      <c r="R9" s="46"/>
      <c r="S9" s="46"/>
      <c r="T9" s="46"/>
      <c r="U9" s="46"/>
      <c r="V9" s="46"/>
      <c r="W9" s="46"/>
      <c r="X9" s="46"/>
      <c r="Y9" s="46"/>
      <c r="Z9" s="46"/>
      <c r="AA9" s="46"/>
      <c r="AB9" s="46"/>
      <c r="AC9" s="46"/>
    </row>
    <row r="10" spans="1:29" ht="13" x14ac:dyDescent="0.3">
      <c r="A10" s="432" t="s">
        <v>1285</v>
      </c>
      <c r="B10" s="432"/>
      <c r="C10" s="432"/>
      <c r="D10" s="432"/>
      <c r="E10" s="432"/>
      <c r="F10" s="432"/>
      <c r="G10" s="432"/>
      <c r="H10" s="432"/>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39" t="s">
        <v>1008</v>
      </c>
      <c r="B11" s="439"/>
      <c r="C11" s="439"/>
      <c r="D11" s="439"/>
      <c r="E11" s="439"/>
      <c r="F11" s="439"/>
      <c r="G11" s="439"/>
      <c r="H11" s="439"/>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40" t="s">
        <v>1286</v>
      </c>
      <c r="B12" s="440"/>
      <c r="C12" s="440"/>
      <c r="D12" s="440"/>
      <c r="E12" s="440"/>
      <c r="F12" s="440"/>
      <c r="G12" s="440"/>
      <c r="H12" s="440"/>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35" t="s">
        <v>1010</v>
      </c>
      <c r="B13" s="435"/>
      <c r="C13" s="435"/>
      <c r="D13" s="435"/>
      <c r="E13" s="435"/>
      <c r="F13" s="435"/>
      <c r="G13" s="435"/>
      <c r="H13" s="435"/>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36" t="s">
        <v>1011</v>
      </c>
      <c r="B14" s="436"/>
      <c r="C14" s="436"/>
      <c r="D14" s="436"/>
      <c r="E14" s="436"/>
      <c r="F14" s="436"/>
      <c r="G14" s="436"/>
      <c r="H14" s="436"/>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37"/>
      <c r="B15" s="437"/>
      <c r="C15" s="437"/>
      <c r="D15" s="437"/>
      <c r="E15" s="437"/>
      <c r="F15" s="437"/>
      <c r="G15" s="437"/>
      <c r="H15" s="437"/>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hidden="1" x14ac:dyDescent="0.25">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hidden="1"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hidden="1"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hidden="1"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hidden="1"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hidden="1"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hidden="1"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hidden="1"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hidden="1"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hidden="1"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hidden="1"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hidden="1"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hidden="1"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hidden="1"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hidden="1"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hidden="1" x14ac:dyDescent="0.25">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hidden="1"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hidden="1"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hidden="1"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hidden="1"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hidden="1"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hidden="1"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hidden="1"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hidden="1"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hidden="1"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hidden="1"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hidden="1"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hidden="1"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hidden="1"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hidden="1"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hidden="1" x14ac:dyDescent="0.25">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hidden="1"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hidden="1"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hidden="1"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hidden="1"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hidden="1"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hidden="1"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hidden="1"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hidden="1"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hidden="1"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hidden="1"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hidden="1"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hidden="1"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hidden="1"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hidden="1"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hidden="1" x14ac:dyDescent="0.25">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hidden="1"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hidden="1"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hidden="1"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hidden="1"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hidden="1"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hidden="1"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hidden="1"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hidden="1"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hidden="1"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hidden="1"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hidden="1"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hidden="1"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hidden="1"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hidden="1"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hidden="1" x14ac:dyDescent="0.25">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1359</v>
      </c>
      <c r="B6" t="s">
        <v>1360</v>
      </c>
      <c r="C6" t="s">
        <v>1357</v>
      </c>
      <c r="D6" t="s">
        <v>1358</v>
      </c>
    </row>
    <row r="7" spans="1:65" x14ac:dyDescent="0.3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1362</v>
      </c>
      <c r="B8" t="s">
        <v>1363</v>
      </c>
      <c r="C8" t="s">
        <v>1357</v>
      </c>
      <c r="D8" t="s">
        <v>1358</v>
      </c>
    </row>
    <row r="9" spans="1:65" x14ac:dyDescent="0.3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1368</v>
      </c>
      <c r="B12" t="s">
        <v>1369</v>
      </c>
      <c r="C12" t="s">
        <v>1357</v>
      </c>
      <c r="D12" t="s">
        <v>1358</v>
      </c>
    </row>
    <row r="13" spans="1:65" x14ac:dyDescent="0.3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1402</v>
      </c>
      <c r="B41" t="s">
        <v>1403</v>
      </c>
      <c r="C41" t="s">
        <v>1357</v>
      </c>
      <c r="D41" t="s">
        <v>1358</v>
      </c>
    </row>
    <row r="42" spans="1:64" x14ac:dyDescent="0.3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1250</v>
      </c>
      <c r="B43" t="s">
        <v>1405</v>
      </c>
      <c r="C43" t="s">
        <v>1357</v>
      </c>
      <c r="D43" t="s">
        <v>1358</v>
      </c>
    </row>
    <row r="44" spans="1:64" x14ac:dyDescent="0.3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1419</v>
      </c>
      <c r="B54" t="s">
        <v>1420</v>
      </c>
      <c r="C54" t="s">
        <v>1357</v>
      </c>
      <c r="D54" t="s">
        <v>1358</v>
      </c>
    </row>
    <row r="55" spans="1:64" x14ac:dyDescent="0.3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1422</v>
      </c>
      <c r="B56" t="s">
        <v>1423</v>
      </c>
      <c r="C56" t="s">
        <v>1357</v>
      </c>
      <c r="D56" t="s">
        <v>1358</v>
      </c>
      <c r="BC56">
        <v>3.9</v>
      </c>
      <c r="BD56">
        <v>0.76</v>
      </c>
      <c r="BE56">
        <v>0.74</v>
      </c>
      <c r="BF56">
        <v>1.5</v>
      </c>
      <c r="BG56">
        <v>3.6</v>
      </c>
      <c r="BH56">
        <v>5.8</v>
      </c>
      <c r="BI56">
        <v>2.9</v>
      </c>
      <c r="BJ56">
        <v>6.4</v>
      </c>
      <c r="BK56">
        <v>6.4</v>
      </c>
      <c r="BL56">
        <v>7.2</v>
      </c>
    </row>
    <row r="57" spans="1:64" x14ac:dyDescent="0.3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1438</v>
      </c>
      <c r="B67" t="s">
        <v>1439</v>
      </c>
      <c r="C67" t="s">
        <v>1357</v>
      </c>
      <c r="D67" t="s">
        <v>1358</v>
      </c>
    </row>
    <row r="68" spans="1:64" x14ac:dyDescent="0.3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1449</v>
      </c>
      <c r="B73" t="s">
        <v>1450</v>
      </c>
      <c r="C73" t="s">
        <v>1357</v>
      </c>
      <c r="D73" t="s">
        <v>1358</v>
      </c>
    </row>
    <row r="74" spans="1:64" x14ac:dyDescent="0.3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1454</v>
      </c>
      <c r="B78" t="s">
        <v>1455</v>
      </c>
      <c r="C78" t="s">
        <v>1357</v>
      </c>
      <c r="D78" t="s">
        <v>1358</v>
      </c>
    </row>
    <row r="79" spans="1:64" x14ac:dyDescent="0.35">
      <c r="A79" t="s">
        <v>1456</v>
      </c>
      <c r="B79" t="s">
        <v>1457</v>
      </c>
      <c r="C79" t="s">
        <v>1357</v>
      </c>
      <c r="D79" t="s">
        <v>1358</v>
      </c>
    </row>
    <row r="80" spans="1:64" x14ac:dyDescent="0.3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1461</v>
      </c>
      <c r="B83" t="s">
        <v>1462</v>
      </c>
      <c r="C83" t="s">
        <v>1357</v>
      </c>
      <c r="D83" t="s">
        <v>1358</v>
      </c>
    </row>
    <row r="84" spans="1:64" x14ac:dyDescent="0.3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1469</v>
      </c>
      <c r="B89" t="s">
        <v>1470</v>
      </c>
      <c r="C89" t="s">
        <v>1357</v>
      </c>
      <c r="D89" t="s">
        <v>1358</v>
      </c>
    </row>
    <row r="90" spans="1:64" x14ac:dyDescent="0.3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1488</v>
      </c>
      <c r="B103" t="s">
        <v>1489</v>
      </c>
      <c r="C103" t="s">
        <v>1357</v>
      </c>
      <c r="D103" t="s">
        <v>1358</v>
      </c>
    </row>
    <row r="104" spans="1:64" x14ac:dyDescent="0.3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1493</v>
      </c>
      <c r="B107" t="s">
        <v>1494</v>
      </c>
      <c r="C107" t="s">
        <v>1357</v>
      </c>
      <c r="D107" t="s">
        <v>1358</v>
      </c>
    </row>
    <row r="108" spans="1:64" x14ac:dyDescent="0.35">
      <c r="A108" t="s">
        <v>1495</v>
      </c>
      <c r="B108" t="s">
        <v>1496</v>
      </c>
      <c r="C108" t="s">
        <v>1357</v>
      </c>
      <c r="D108" t="s">
        <v>1358</v>
      </c>
    </row>
    <row r="109" spans="1:64" x14ac:dyDescent="0.35">
      <c r="A109" t="s">
        <v>1497</v>
      </c>
      <c r="B109" t="s">
        <v>1498</v>
      </c>
      <c r="C109" t="s">
        <v>1357</v>
      </c>
      <c r="D109" t="s">
        <v>1358</v>
      </c>
    </row>
    <row r="110" spans="1:64" x14ac:dyDescent="0.35">
      <c r="A110" t="s">
        <v>1499</v>
      </c>
      <c r="B110" t="s">
        <v>1500</v>
      </c>
      <c r="C110" t="s">
        <v>1357</v>
      </c>
      <c r="D110" t="s">
        <v>1358</v>
      </c>
    </row>
    <row r="111" spans="1:64" x14ac:dyDescent="0.3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1502</v>
      </c>
      <c r="B112" t="s">
        <v>1503</v>
      </c>
      <c r="C112" t="s">
        <v>1357</v>
      </c>
      <c r="D112" t="s">
        <v>1358</v>
      </c>
    </row>
    <row r="113" spans="1:64" x14ac:dyDescent="0.35">
      <c r="A113" t="s">
        <v>1504</v>
      </c>
      <c r="B113" t="s">
        <v>1505</v>
      </c>
      <c r="C113" t="s">
        <v>1357</v>
      </c>
      <c r="D113" t="s">
        <v>1358</v>
      </c>
    </row>
    <row r="114" spans="1:64" x14ac:dyDescent="0.3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1507</v>
      </c>
      <c r="B115" t="s">
        <v>1508</v>
      </c>
      <c r="C115" t="s">
        <v>1357</v>
      </c>
      <c r="D115" t="s">
        <v>1358</v>
      </c>
    </row>
    <row r="116" spans="1:64" x14ac:dyDescent="0.3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1541</v>
      </c>
      <c r="B140" t="s">
        <v>1542</v>
      </c>
      <c r="C140" t="s">
        <v>1357</v>
      </c>
      <c r="D140" t="s">
        <v>1358</v>
      </c>
    </row>
    <row r="141" spans="1:64" x14ac:dyDescent="0.3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1545</v>
      </c>
      <c r="B142" t="s">
        <v>1546</v>
      </c>
      <c r="C142" t="s">
        <v>1357</v>
      </c>
      <c r="D142" t="s">
        <v>1358</v>
      </c>
    </row>
    <row r="143" spans="1:64" x14ac:dyDescent="0.3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1553</v>
      </c>
      <c r="B147" t="s">
        <v>1554</v>
      </c>
      <c r="C147" t="s">
        <v>1357</v>
      </c>
      <c r="D147" t="s">
        <v>1358</v>
      </c>
    </row>
    <row r="148" spans="1:64" x14ac:dyDescent="0.3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1560</v>
      </c>
      <c r="B152" t="s">
        <v>1561</v>
      </c>
      <c r="C152" t="s">
        <v>1357</v>
      </c>
      <c r="D152" t="s">
        <v>1358</v>
      </c>
    </row>
    <row r="153" spans="1:64" x14ac:dyDescent="0.3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1604</v>
      </c>
      <c r="B186" t="s">
        <v>1605</v>
      </c>
      <c r="C186" t="s">
        <v>1357</v>
      </c>
      <c r="D186" t="s">
        <v>1358</v>
      </c>
    </row>
    <row r="187" spans="1:64" x14ac:dyDescent="0.3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1607</v>
      </c>
      <c r="B188" t="s">
        <v>1608</v>
      </c>
      <c r="C188" t="s">
        <v>1357</v>
      </c>
      <c r="D188" t="s">
        <v>1358</v>
      </c>
    </row>
    <row r="189" spans="1:64" x14ac:dyDescent="0.3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1617</v>
      </c>
      <c r="B196" t="s">
        <v>1618</v>
      </c>
      <c r="C196" t="s">
        <v>1357</v>
      </c>
      <c r="D196" t="s">
        <v>1358</v>
      </c>
    </row>
    <row r="197" spans="1:64" x14ac:dyDescent="0.3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1626</v>
      </c>
      <c r="B202" t="s">
        <v>1627</v>
      </c>
      <c r="C202" t="s">
        <v>1357</v>
      </c>
      <c r="D202" t="s">
        <v>1358</v>
      </c>
    </row>
    <row r="203" spans="1:64" x14ac:dyDescent="0.35">
      <c r="A203" t="s">
        <v>1628</v>
      </c>
      <c r="B203" t="s">
        <v>1629</v>
      </c>
      <c r="C203" t="s">
        <v>1357</v>
      </c>
      <c r="D203" t="s">
        <v>1358</v>
      </c>
    </row>
    <row r="204" spans="1:64" x14ac:dyDescent="0.3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1081</v>
      </c>
      <c r="B221" t="s">
        <v>1650</v>
      </c>
      <c r="C221" t="s">
        <v>1357</v>
      </c>
      <c r="D221" t="s">
        <v>1358</v>
      </c>
      <c r="BD221">
        <v>227</v>
      </c>
      <c r="BE221">
        <v>227</v>
      </c>
      <c r="BF221">
        <v>227</v>
      </c>
      <c r="BG221">
        <v>227</v>
      </c>
      <c r="BH221">
        <v>227</v>
      </c>
      <c r="BI221">
        <v>227</v>
      </c>
      <c r="BJ221">
        <v>227</v>
      </c>
      <c r="BK221">
        <v>227</v>
      </c>
      <c r="BL221">
        <v>227</v>
      </c>
    </row>
    <row r="222" spans="1:64" x14ac:dyDescent="0.3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1653</v>
      </c>
      <c r="B223" t="s">
        <v>1654</v>
      </c>
      <c r="C223" t="s">
        <v>1357</v>
      </c>
      <c r="D223" t="s">
        <v>1358</v>
      </c>
    </row>
    <row r="224" spans="1:64" x14ac:dyDescent="0.3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1662</v>
      </c>
      <c r="B230" t="s">
        <v>1663</v>
      </c>
      <c r="C230" t="s">
        <v>1357</v>
      </c>
      <c r="D230" t="s">
        <v>1358</v>
      </c>
      <c r="BC230">
        <v>10</v>
      </c>
      <c r="BD230">
        <v>6.6</v>
      </c>
      <c r="BE230">
        <v>3.2</v>
      </c>
      <c r="BF230">
        <v>6.1</v>
      </c>
      <c r="BG230">
        <v>0</v>
      </c>
      <c r="BH230">
        <v>5.8</v>
      </c>
      <c r="BI230">
        <v>0</v>
      </c>
      <c r="BJ230">
        <v>14</v>
      </c>
      <c r="BK230">
        <v>19</v>
      </c>
      <c r="BL230">
        <v>14</v>
      </c>
    </row>
    <row r="231" spans="1:64" x14ac:dyDescent="0.3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1669</v>
      </c>
      <c r="B235" t="s">
        <v>1670</v>
      </c>
      <c r="C235" t="s">
        <v>1357</v>
      </c>
      <c r="D235" t="s">
        <v>1358</v>
      </c>
    </row>
    <row r="236" spans="1:64" x14ac:dyDescent="0.35">
      <c r="A236" t="s">
        <v>1671</v>
      </c>
      <c r="B236" t="s">
        <v>1672</v>
      </c>
      <c r="C236" t="s">
        <v>1357</v>
      </c>
      <c r="D236" t="s">
        <v>1358</v>
      </c>
    </row>
    <row r="237" spans="1:64" x14ac:dyDescent="0.3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1677</v>
      </c>
      <c r="B241" t="s">
        <v>1678</v>
      </c>
      <c r="C241" t="s">
        <v>1357</v>
      </c>
      <c r="D241" t="s">
        <v>1358</v>
      </c>
    </row>
    <row r="242" spans="1:64" x14ac:dyDescent="0.3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1680</v>
      </c>
      <c r="B243" t="s">
        <v>1681</v>
      </c>
      <c r="C243" t="s">
        <v>1357</v>
      </c>
      <c r="D243" t="s">
        <v>1358</v>
      </c>
    </row>
    <row r="244" spans="1:64" x14ac:dyDescent="0.3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1683</v>
      </c>
      <c r="B245" t="s">
        <v>1684</v>
      </c>
      <c r="C245" t="s">
        <v>1357</v>
      </c>
      <c r="D245" t="s">
        <v>1358</v>
      </c>
    </row>
    <row r="246" spans="1:64" x14ac:dyDescent="0.35">
      <c r="A246" t="s">
        <v>1685</v>
      </c>
      <c r="B246" t="s">
        <v>1686</v>
      </c>
      <c r="C246" t="s">
        <v>1357</v>
      </c>
      <c r="D246" t="s">
        <v>1358</v>
      </c>
    </row>
    <row r="247" spans="1:64" x14ac:dyDescent="0.3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1708</v>
      </c>
      <c r="B261" t="s">
        <v>1709</v>
      </c>
      <c r="C261" t="s">
        <v>1357</v>
      </c>
      <c r="D261" t="s">
        <v>1358</v>
      </c>
    </row>
    <row r="262" spans="1:65" x14ac:dyDescent="0.3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1715</v>
      </c>
      <c r="B266" t="s">
        <v>1716</v>
      </c>
      <c r="C266" t="s">
        <v>1357</v>
      </c>
      <c r="D266" t="s">
        <v>1358</v>
      </c>
    </row>
    <row r="267" spans="1:65" x14ac:dyDescent="0.3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1723</v>
      </c>
    </row>
    <row r="274" spans="8:65" s="1" customFormat="1" x14ac:dyDescent="0.35">
      <c r="I274" s="1" t="s">
        <v>1724</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1725</v>
      </c>
      <c r="D5" t="s">
        <v>1726</v>
      </c>
    </row>
    <row r="6" spans="1:65" x14ac:dyDescent="0.3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1262</v>
      </c>
      <c r="B10" t="s">
        <v>1365</v>
      </c>
      <c r="C10" t="s">
        <v>1725</v>
      </c>
      <c r="D10" t="s">
        <v>1726</v>
      </c>
    </row>
    <row r="11" spans="1:65" x14ac:dyDescent="0.35">
      <c r="A11" t="s">
        <v>1366</v>
      </c>
      <c r="B11" t="s">
        <v>1367</v>
      </c>
      <c r="C11" t="s">
        <v>1725</v>
      </c>
      <c r="D11" t="s">
        <v>1726</v>
      </c>
    </row>
    <row r="12" spans="1:65" x14ac:dyDescent="0.3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1373</v>
      </c>
      <c r="B16" t="s">
        <v>1374</v>
      </c>
      <c r="C16" t="s">
        <v>1725</v>
      </c>
      <c r="D16" t="s">
        <v>1726</v>
      </c>
    </row>
    <row r="17" spans="1:63" x14ac:dyDescent="0.35">
      <c r="A17" t="s">
        <v>1177</v>
      </c>
      <c r="B17" t="s">
        <v>1375</v>
      </c>
      <c r="C17" t="s">
        <v>1725</v>
      </c>
      <c r="D17" t="s">
        <v>1726</v>
      </c>
    </row>
    <row r="18" spans="1:63" x14ac:dyDescent="0.35">
      <c r="A18" t="s">
        <v>1218</v>
      </c>
      <c r="B18" t="s">
        <v>1376</v>
      </c>
      <c r="C18" t="s">
        <v>1725</v>
      </c>
      <c r="D18" t="s">
        <v>1726</v>
      </c>
    </row>
    <row r="19" spans="1:63" x14ac:dyDescent="0.35">
      <c r="A19" t="s">
        <v>1275</v>
      </c>
      <c r="B19" t="s">
        <v>1377</v>
      </c>
      <c r="C19" t="s">
        <v>1725</v>
      </c>
      <c r="D19" t="s">
        <v>1726</v>
      </c>
    </row>
    <row r="20" spans="1:63" x14ac:dyDescent="0.3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1276</v>
      </c>
      <c r="B22" t="s">
        <v>1380</v>
      </c>
      <c r="C22" t="s">
        <v>1725</v>
      </c>
      <c r="D22" t="s">
        <v>1726</v>
      </c>
    </row>
    <row r="23" spans="1:63" x14ac:dyDescent="0.3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1240</v>
      </c>
      <c r="B26" t="s">
        <v>1384</v>
      </c>
      <c r="C26" t="s">
        <v>1725</v>
      </c>
      <c r="D26" t="s">
        <v>1726</v>
      </c>
    </row>
    <row r="27" spans="1:63" x14ac:dyDescent="0.35">
      <c r="A27" t="s">
        <v>1120</v>
      </c>
      <c r="B27" t="s">
        <v>1385</v>
      </c>
      <c r="C27" t="s">
        <v>1725</v>
      </c>
      <c r="D27" t="s">
        <v>1726</v>
      </c>
    </row>
    <row r="28" spans="1:63" x14ac:dyDescent="0.35">
      <c r="A28" t="s">
        <v>1386</v>
      </c>
      <c r="B28" t="s">
        <v>1387</v>
      </c>
      <c r="C28" t="s">
        <v>1725</v>
      </c>
      <c r="D28" t="s">
        <v>1726</v>
      </c>
    </row>
    <row r="29" spans="1:63" x14ac:dyDescent="0.35">
      <c r="A29" t="s">
        <v>1263</v>
      </c>
      <c r="B29" t="s">
        <v>1388</v>
      </c>
      <c r="C29" t="s">
        <v>1725</v>
      </c>
      <c r="D29" t="s">
        <v>1726</v>
      </c>
    </row>
    <row r="30" spans="1:63" x14ac:dyDescent="0.35">
      <c r="A30" t="s">
        <v>1239</v>
      </c>
      <c r="B30" t="s">
        <v>1389</v>
      </c>
      <c r="C30" t="s">
        <v>1725</v>
      </c>
      <c r="D30" t="s">
        <v>1726</v>
      </c>
    </row>
    <row r="31" spans="1:63" x14ac:dyDescent="0.3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1391</v>
      </c>
      <c r="B32" t="s">
        <v>1392</v>
      </c>
      <c r="C32" t="s">
        <v>1725</v>
      </c>
      <c r="D32" t="s">
        <v>1726</v>
      </c>
    </row>
    <row r="33" spans="1:63" x14ac:dyDescent="0.3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1180</v>
      </c>
      <c r="B35" t="s">
        <v>1396</v>
      </c>
      <c r="C35" t="s">
        <v>1725</v>
      </c>
      <c r="D35" t="s">
        <v>1726</v>
      </c>
    </row>
    <row r="36" spans="1:63" x14ac:dyDescent="0.35">
      <c r="A36" t="s">
        <v>1164</v>
      </c>
      <c r="B36" t="s">
        <v>1397</v>
      </c>
      <c r="C36" t="s">
        <v>1725</v>
      </c>
      <c r="D36" t="s">
        <v>1726</v>
      </c>
    </row>
    <row r="37" spans="1:63" x14ac:dyDescent="0.3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1283</v>
      </c>
      <c r="B40" t="s">
        <v>1401</v>
      </c>
      <c r="C40" t="s">
        <v>1725</v>
      </c>
      <c r="D40" t="s">
        <v>1726</v>
      </c>
    </row>
    <row r="41" spans="1:63" x14ac:dyDescent="0.35">
      <c r="A41" t="s">
        <v>1402</v>
      </c>
      <c r="B41" t="s">
        <v>1403</v>
      </c>
      <c r="C41" t="s">
        <v>1725</v>
      </c>
      <c r="D41" t="s">
        <v>1726</v>
      </c>
    </row>
    <row r="42" spans="1:63" x14ac:dyDescent="0.35">
      <c r="A42" t="s">
        <v>1281</v>
      </c>
      <c r="B42" t="s">
        <v>1404</v>
      </c>
      <c r="C42" t="s">
        <v>1725</v>
      </c>
      <c r="D42" t="s">
        <v>1726</v>
      </c>
    </row>
    <row r="43" spans="1:63" x14ac:dyDescent="0.35">
      <c r="A43" t="s">
        <v>1250</v>
      </c>
      <c r="B43" t="s">
        <v>1405</v>
      </c>
      <c r="C43" t="s">
        <v>1725</v>
      </c>
      <c r="D43" t="s">
        <v>1726</v>
      </c>
    </row>
    <row r="44" spans="1:63" x14ac:dyDescent="0.35">
      <c r="A44" t="s">
        <v>1207</v>
      </c>
      <c r="B44" t="s">
        <v>1406</v>
      </c>
      <c r="C44" t="s">
        <v>1725</v>
      </c>
      <c r="D44" t="s">
        <v>1726</v>
      </c>
    </row>
    <row r="45" spans="1:63" x14ac:dyDescent="0.3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1419</v>
      </c>
      <c r="B54" t="s">
        <v>1420</v>
      </c>
      <c r="C54" t="s">
        <v>1725</v>
      </c>
      <c r="D54" t="s">
        <v>1726</v>
      </c>
    </row>
    <row r="55" spans="1:63" x14ac:dyDescent="0.35">
      <c r="A55" t="s">
        <v>1181</v>
      </c>
      <c r="B55" t="s">
        <v>1421</v>
      </c>
      <c r="C55" t="s">
        <v>1725</v>
      </c>
      <c r="D55" t="s">
        <v>1726</v>
      </c>
    </row>
    <row r="56" spans="1:63" x14ac:dyDescent="0.35">
      <c r="A56" t="s">
        <v>1422</v>
      </c>
      <c r="B56" t="s">
        <v>1423</v>
      </c>
      <c r="C56" t="s">
        <v>1725</v>
      </c>
      <c r="D56" t="s">
        <v>1726</v>
      </c>
    </row>
    <row r="57" spans="1:63" x14ac:dyDescent="0.35">
      <c r="A57" t="s">
        <v>1424</v>
      </c>
      <c r="B57" t="s">
        <v>1425</v>
      </c>
      <c r="C57" t="s">
        <v>1725</v>
      </c>
      <c r="D57" t="s">
        <v>1726</v>
      </c>
    </row>
    <row r="58" spans="1:63" x14ac:dyDescent="0.35">
      <c r="A58" t="s">
        <v>1121</v>
      </c>
      <c r="B58" t="s">
        <v>1426</v>
      </c>
      <c r="C58" t="s">
        <v>1725</v>
      </c>
      <c r="D58" t="s">
        <v>1726</v>
      </c>
    </row>
    <row r="59" spans="1:63" x14ac:dyDescent="0.35">
      <c r="A59" t="s">
        <v>1427</v>
      </c>
      <c r="B59" t="s">
        <v>1428</v>
      </c>
      <c r="C59" t="s">
        <v>1725</v>
      </c>
      <c r="D59" t="s">
        <v>1726</v>
      </c>
    </row>
    <row r="60" spans="1:63" x14ac:dyDescent="0.35">
      <c r="A60" t="s">
        <v>1278</v>
      </c>
      <c r="B60" t="s">
        <v>1429</v>
      </c>
      <c r="C60" t="s">
        <v>1725</v>
      </c>
      <c r="D60" t="s">
        <v>1726</v>
      </c>
    </row>
    <row r="61" spans="1:63" x14ac:dyDescent="0.3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1431</v>
      </c>
      <c r="B62" t="s">
        <v>1432</v>
      </c>
      <c r="C62" t="s">
        <v>1725</v>
      </c>
      <c r="D62" t="s">
        <v>1726</v>
      </c>
    </row>
    <row r="63" spans="1:63" x14ac:dyDescent="0.35">
      <c r="A63" t="s">
        <v>1251</v>
      </c>
      <c r="B63" t="s">
        <v>1433</v>
      </c>
      <c r="C63" t="s">
        <v>1725</v>
      </c>
      <c r="D63" t="s">
        <v>1726</v>
      </c>
    </row>
    <row r="64" spans="1:63" x14ac:dyDescent="0.3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1442</v>
      </c>
      <c r="B69" t="s">
        <v>1443</v>
      </c>
      <c r="C69" t="s">
        <v>1725</v>
      </c>
      <c r="D69" t="s">
        <v>1726</v>
      </c>
    </row>
    <row r="70" spans="1:63" x14ac:dyDescent="0.35">
      <c r="A70" t="s">
        <v>1444</v>
      </c>
      <c r="B70" t="s">
        <v>1445</v>
      </c>
      <c r="C70" t="s">
        <v>1725</v>
      </c>
      <c r="D70" t="s">
        <v>1726</v>
      </c>
    </row>
    <row r="71" spans="1:63" x14ac:dyDescent="0.3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1449</v>
      </c>
      <c r="B73" t="s">
        <v>1450</v>
      </c>
      <c r="C73" t="s">
        <v>1725</v>
      </c>
      <c r="D73" t="s">
        <v>1726</v>
      </c>
    </row>
    <row r="74" spans="1:63" x14ac:dyDescent="0.3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1273</v>
      </c>
      <c r="B75" t="s">
        <v>1452</v>
      </c>
      <c r="C75" t="s">
        <v>1725</v>
      </c>
      <c r="D75" t="s">
        <v>1726</v>
      </c>
    </row>
    <row r="76" spans="1:63" x14ac:dyDescent="0.35">
      <c r="A76" t="s">
        <v>1252</v>
      </c>
      <c r="B76" t="s">
        <v>1453</v>
      </c>
      <c r="C76" t="s">
        <v>1725</v>
      </c>
      <c r="D76" t="s">
        <v>1726</v>
      </c>
    </row>
    <row r="77" spans="1:63" x14ac:dyDescent="0.3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1454</v>
      </c>
      <c r="B78" t="s">
        <v>1455</v>
      </c>
      <c r="C78" t="s">
        <v>1725</v>
      </c>
      <c r="D78" t="s">
        <v>1726</v>
      </c>
    </row>
    <row r="79" spans="1:63" x14ac:dyDescent="0.3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1253</v>
      </c>
      <c r="B80" t="s">
        <v>1458</v>
      </c>
      <c r="C80" t="s">
        <v>1725</v>
      </c>
      <c r="D80" t="s">
        <v>1726</v>
      </c>
    </row>
    <row r="81" spans="1:63" x14ac:dyDescent="0.35">
      <c r="A81" t="s">
        <v>1222</v>
      </c>
      <c r="B81" t="s">
        <v>1459</v>
      </c>
      <c r="C81" t="s">
        <v>1725</v>
      </c>
      <c r="D81" t="s">
        <v>1726</v>
      </c>
    </row>
    <row r="82" spans="1:63" x14ac:dyDescent="0.35">
      <c r="A82" t="s">
        <v>1277</v>
      </c>
      <c r="B82" t="s">
        <v>1460</v>
      </c>
      <c r="C82" t="s">
        <v>1725</v>
      </c>
      <c r="D82" t="s">
        <v>1726</v>
      </c>
    </row>
    <row r="83" spans="1:63" x14ac:dyDescent="0.35">
      <c r="A83" t="s">
        <v>1461</v>
      </c>
      <c r="B83" t="s">
        <v>1462</v>
      </c>
      <c r="C83" t="s">
        <v>1725</v>
      </c>
      <c r="D83" t="s">
        <v>1726</v>
      </c>
    </row>
    <row r="84" spans="1:63" x14ac:dyDescent="0.35">
      <c r="A84" t="s">
        <v>1463</v>
      </c>
      <c r="B84" t="s">
        <v>1464</v>
      </c>
      <c r="C84" t="s">
        <v>1725</v>
      </c>
      <c r="D84" t="s">
        <v>1726</v>
      </c>
    </row>
    <row r="85" spans="1:63" x14ac:dyDescent="0.3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1260</v>
      </c>
      <c r="B86" t="s">
        <v>1466</v>
      </c>
      <c r="C86" t="s">
        <v>1725</v>
      </c>
      <c r="D86" t="s">
        <v>1726</v>
      </c>
    </row>
    <row r="87" spans="1:63" x14ac:dyDescent="0.3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1469</v>
      </c>
      <c r="B89" t="s">
        <v>1470</v>
      </c>
      <c r="C89" t="s">
        <v>1725</v>
      </c>
      <c r="D89" t="s">
        <v>1726</v>
      </c>
    </row>
    <row r="90" spans="1:63" x14ac:dyDescent="0.3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1265</v>
      </c>
      <c r="B94" t="s">
        <v>1476</v>
      </c>
      <c r="C94" t="s">
        <v>1725</v>
      </c>
      <c r="D94" t="s">
        <v>1726</v>
      </c>
    </row>
    <row r="95" spans="1:63" x14ac:dyDescent="0.35">
      <c r="A95" t="s">
        <v>1184</v>
      </c>
      <c r="B95" t="s">
        <v>1477</v>
      </c>
      <c r="C95" t="s">
        <v>1725</v>
      </c>
      <c r="D95" t="s">
        <v>1726</v>
      </c>
    </row>
    <row r="96" spans="1:63" x14ac:dyDescent="0.35">
      <c r="A96" t="s">
        <v>1478</v>
      </c>
      <c r="B96" t="s">
        <v>1479</v>
      </c>
      <c r="C96" t="s">
        <v>1725</v>
      </c>
      <c r="D96" t="s">
        <v>1726</v>
      </c>
    </row>
    <row r="97" spans="1:63" x14ac:dyDescent="0.3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1228</v>
      </c>
      <c r="B98" t="s">
        <v>1481</v>
      </c>
      <c r="C98" t="s">
        <v>1725</v>
      </c>
      <c r="D98" t="s">
        <v>1726</v>
      </c>
    </row>
    <row r="99" spans="1:63" x14ac:dyDescent="0.3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1483</v>
      </c>
      <c r="B100" t="s">
        <v>1484</v>
      </c>
      <c r="C100" t="s">
        <v>1725</v>
      </c>
      <c r="D100" t="s">
        <v>1726</v>
      </c>
    </row>
    <row r="101" spans="1:63" x14ac:dyDescent="0.35">
      <c r="A101" t="s">
        <v>1485</v>
      </c>
      <c r="B101" t="s">
        <v>1486</v>
      </c>
      <c r="C101" t="s">
        <v>1725</v>
      </c>
      <c r="D101" t="s">
        <v>1726</v>
      </c>
    </row>
    <row r="102" spans="1:63" x14ac:dyDescent="0.3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1264</v>
      </c>
      <c r="B104" t="s">
        <v>1490</v>
      </c>
      <c r="C104" t="s">
        <v>1725</v>
      </c>
      <c r="D104" t="s">
        <v>1726</v>
      </c>
    </row>
    <row r="105" spans="1:63" x14ac:dyDescent="0.3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1242</v>
      </c>
      <c r="B106" t="s">
        <v>1492</v>
      </c>
      <c r="C106" t="s">
        <v>1725</v>
      </c>
      <c r="D106" t="s">
        <v>1726</v>
      </c>
    </row>
    <row r="107" spans="1:63" x14ac:dyDescent="0.3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1504</v>
      </c>
      <c r="B113" t="s">
        <v>1505</v>
      </c>
      <c r="C113" t="s">
        <v>1725</v>
      </c>
      <c r="D113" t="s">
        <v>1726</v>
      </c>
    </row>
    <row r="114" spans="1:63" x14ac:dyDescent="0.3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1507</v>
      </c>
      <c r="B115" t="s">
        <v>1508</v>
      </c>
      <c r="C115" t="s">
        <v>1725</v>
      </c>
      <c r="D115" t="s">
        <v>1726</v>
      </c>
    </row>
    <row r="116" spans="1:63" x14ac:dyDescent="0.35">
      <c r="A116" t="s">
        <v>1255</v>
      </c>
      <c r="B116" t="s">
        <v>1509</v>
      </c>
      <c r="C116" t="s">
        <v>1725</v>
      </c>
      <c r="D116" t="s">
        <v>1726</v>
      </c>
    </row>
    <row r="117" spans="1:63" x14ac:dyDescent="0.3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1254</v>
      </c>
      <c r="B119" t="s">
        <v>1513</v>
      </c>
      <c r="C119" t="s">
        <v>1725</v>
      </c>
      <c r="D119" t="s">
        <v>1726</v>
      </c>
    </row>
    <row r="120" spans="1:63" x14ac:dyDescent="0.35">
      <c r="A120" t="s">
        <v>1124</v>
      </c>
      <c r="B120" t="s">
        <v>1514</v>
      </c>
      <c r="C120" t="s">
        <v>1725</v>
      </c>
      <c r="D120" t="s">
        <v>1726</v>
      </c>
    </row>
    <row r="121" spans="1:63" x14ac:dyDescent="0.35">
      <c r="A121" t="s">
        <v>1266</v>
      </c>
      <c r="B121" t="s">
        <v>1515</v>
      </c>
      <c r="C121" t="s">
        <v>1725</v>
      </c>
      <c r="D121" t="s">
        <v>1726</v>
      </c>
    </row>
    <row r="122" spans="1:63" x14ac:dyDescent="0.35">
      <c r="A122" t="s">
        <v>1187</v>
      </c>
      <c r="B122" t="s">
        <v>1516</v>
      </c>
      <c r="C122" t="s">
        <v>1725</v>
      </c>
      <c r="D122" t="s">
        <v>1726</v>
      </c>
    </row>
    <row r="123" spans="1:63" x14ac:dyDescent="0.35">
      <c r="A123" t="s">
        <v>1125</v>
      </c>
      <c r="B123" t="s">
        <v>1517</v>
      </c>
      <c r="C123" t="s">
        <v>1725</v>
      </c>
      <c r="D123" t="s">
        <v>1726</v>
      </c>
    </row>
    <row r="124" spans="1:63" x14ac:dyDescent="0.35">
      <c r="A124" t="s">
        <v>1160</v>
      </c>
      <c r="B124" t="s">
        <v>1518</v>
      </c>
      <c r="C124" t="s">
        <v>1725</v>
      </c>
      <c r="D124" t="s">
        <v>1726</v>
      </c>
    </row>
    <row r="125" spans="1:63" x14ac:dyDescent="0.3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1229</v>
      </c>
      <c r="B129" t="s">
        <v>1524</v>
      </c>
      <c r="C129" t="s">
        <v>1725</v>
      </c>
      <c r="D129" t="s">
        <v>1726</v>
      </c>
    </row>
    <row r="130" spans="1:63" x14ac:dyDescent="0.35">
      <c r="A130" t="s">
        <v>1525</v>
      </c>
      <c r="B130" t="s">
        <v>1526</v>
      </c>
      <c r="C130" t="s">
        <v>1725</v>
      </c>
      <c r="D130" t="s">
        <v>1726</v>
      </c>
    </row>
    <row r="131" spans="1:63" x14ac:dyDescent="0.3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1126</v>
      </c>
      <c r="B132" t="s">
        <v>1529</v>
      </c>
      <c r="C132" t="s">
        <v>1725</v>
      </c>
      <c r="D132" t="s">
        <v>1726</v>
      </c>
    </row>
    <row r="133" spans="1:63" x14ac:dyDescent="0.3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1127</v>
      </c>
      <c r="B135" t="s">
        <v>1534</v>
      </c>
      <c r="C135" t="s">
        <v>1725</v>
      </c>
      <c r="D135" t="s">
        <v>1726</v>
      </c>
    </row>
    <row r="136" spans="1:63" x14ac:dyDescent="0.3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1112</v>
      </c>
      <c r="B137" t="s">
        <v>1536</v>
      </c>
      <c r="C137" t="s">
        <v>1725</v>
      </c>
      <c r="D137" t="s">
        <v>1726</v>
      </c>
    </row>
    <row r="138" spans="1:63" x14ac:dyDescent="0.35">
      <c r="A138" t="s">
        <v>1537</v>
      </c>
      <c r="B138" t="s">
        <v>1538</v>
      </c>
      <c r="C138" t="s">
        <v>1725</v>
      </c>
      <c r="D138" t="s">
        <v>1726</v>
      </c>
    </row>
    <row r="139" spans="1:63" x14ac:dyDescent="0.3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1545</v>
      </c>
      <c r="B142" t="s">
        <v>1546</v>
      </c>
      <c r="C142" t="s">
        <v>1725</v>
      </c>
      <c r="D142" t="s">
        <v>1726</v>
      </c>
    </row>
    <row r="143" spans="1:63" x14ac:dyDescent="0.3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1091</v>
      </c>
      <c r="B146" t="s">
        <v>1552</v>
      </c>
      <c r="C146" t="s">
        <v>1725</v>
      </c>
      <c r="D146" t="s">
        <v>1726</v>
      </c>
    </row>
    <row r="147" spans="1:63" x14ac:dyDescent="0.3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1257</v>
      </c>
      <c r="B148" t="s">
        <v>1555</v>
      </c>
      <c r="C148" t="s">
        <v>1725</v>
      </c>
      <c r="D148" t="s">
        <v>1726</v>
      </c>
    </row>
    <row r="149" spans="1:63" x14ac:dyDescent="0.35">
      <c r="A149" t="s">
        <v>1279</v>
      </c>
      <c r="B149" t="s">
        <v>1556</v>
      </c>
      <c r="C149" t="s">
        <v>1725</v>
      </c>
      <c r="D149" t="s">
        <v>1726</v>
      </c>
    </row>
    <row r="150" spans="1:63" x14ac:dyDescent="0.35">
      <c r="A150" t="s">
        <v>1256</v>
      </c>
      <c r="B150" t="s">
        <v>1557</v>
      </c>
      <c r="C150" t="s">
        <v>1725</v>
      </c>
      <c r="D150" t="s">
        <v>1726</v>
      </c>
    </row>
    <row r="151" spans="1:63" x14ac:dyDescent="0.35">
      <c r="A151" t="s">
        <v>1558</v>
      </c>
      <c r="B151" t="s">
        <v>1559</v>
      </c>
      <c r="C151" t="s">
        <v>1725</v>
      </c>
      <c r="D151" t="s">
        <v>1726</v>
      </c>
    </row>
    <row r="152" spans="1:63" x14ac:dyDescent="0.35">
      <c r="A152" t="s">
        <v>1560</v>
      </c>
      <c r="B152" t="s">
        <v>1561</v>
      </c>
      <c r="C152" t="s">
        <v>1725</v>
      </c>
      <c r="D152" t="s">
        <v>1726</v>
      </c>
    </row>
    <row r="153" spans="1:63" x14ac:dyDescent="0.3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1563</v>
      </c>
      <c r="B154" t="s">
        <v>1564</v>
      </c>
      <c r="C154" t="s">
        <v>1725</v>
      </c>
      <c r="D154" t="s">
        <v>1726</v>
      </c>
    </row>
    <row r="155" spans="1:63" x14ac:dyDescent="0.35">
      <c r="A155" t="s">
        <v>1565</v>
      </c>
      <c r="B155" t="s">
        <v>1566</v>
      </c>
      <c r="C155" t="s">
        <v>1725</v>
      </c>
      <c r="D155" t="s">
        <v>1726</v>
      </c>
    </row>
    <row r="156" spans="1:63" x14ac:dyDescent="0.3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1149</v>
      </c>
      <c r="B157" t="s">
        <v>1568</v>
      </c>
      <c r="C157" t="s">
        <v>1725</v>
      </c>
      <c r="D157" t="s">
        <v>1726</v>
      </c>
    </row>
    <row r="158" spans="1:63" x14ac:dyDescent="0.3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1572</v>
      </c>
      <c r="B160" t="s">
        <v>1573</v>
      </c>
      <c r="C160" t="s">
        <v>1725</v>
      </c>
      <c r="D160" t="s">
        <v>1726</v>
      </c>
    </row>
    <row r="161" spans="1:63" x14ac:dyDescent="0.3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1269</v>
      </c>
      <c r="B162" t="s">
        <v>1576</v>
      </c>
      <c r="C162" t="s">
        <v>1725</v>
      </c>
      <c r="D162" t="s">
        <v>1726</v>
      </c>
    </row>
    <row r="163" spans="1:63" x14ac:dyDescent="0.3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1267</v>
      </c>
      <c r="B164" t="s">
        <v>1578</v>
      </c>
      <c r="C164" t="s">
        <v>1725</v>
      </c>
      <c r="D164" t="s">
        <v>1726</v>
      </c>
    </row>
    <row r="165" spans="1:63" x14ac:dyDescent="0.3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1268</v>
      </c>
      <c r="B167" t="s">
        <v>1582</v>
      </c>
      <c r="C167" t="s">
        <v>1725</v>
      </c>
      <c r="D167" t="s">
        <v>1726</v>
      </c>
    </row>
    <row r="168" spans="1:63" x14ac:dyDescent="0.35">
      <c r="A168" t="s">
        <v>1161</v>
      </c>
      <c r="B168" t="s">
        <v>1583</v>
      </c>
      <c r="C168" t="s">
        <v>1725</v>
      </c>
      <c r="D168" t="s">
        <v>1726</v>
      </c>
    </row>
    <row r="169" spans="1:63" x14ac:dyDescent="0.35">
      <c r="A169" t="s">
        <v>1584</v>
      </c>
      <c r="B169" t="s">
        <v>1585</v>
      </c>
      <c r="C169" t="s">
        <v>1725</v>
      </c>
      <c r="D169" t="s">
        <v>1726</v>
      </c>
    </row>
    <row r="170" spans="1:63" x14ac:dyDescent="0.3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1076</v>
      </c>
      <c r="B172" t="s">
        <v>1588</v>
      </c>
      <c r="C172" t="s">
        <v>1725</v>
      </c>
      <c r="D172" t="s">
        <v>1726</v>
      </c>
    </row>
    <row r="173" spans="1:63" x14ac:dyDescent="0.3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1591</v>
      </c>
      <c r="B175" t="s">
        <v>1592</v>
      </c>
      <c r="C175" t="s">
        <v>1725</v>
      </c>
      <c r="D175" t="s">
        <v>1726</v>
      </c>
    </row>
    <row r="176" spans="1:63" x14ac:dyDescent="0.3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1223</v>
      </c>
      <c r="B177" t="s">
        <v>1594</v>
      </c>
      <c r="C177" t="s">
        <v>1725</v>
      </c>
      <c r="D177" t="s">
        <v>1726</v>
      </c>
    </row>
    <row r="178" spans="1:63" x14ac:dyDescent="0.3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1280</v>
      </c>
      <c r="B181" t="s">
        <v>1598</v>
      </c>
      <c r="C181" t="s">
        <v>1725</v>
      </c>
      <c r="D181" t="s">
        <v>1726</v>
      </c>
    </row>
    <row r="182" spans="1:63" x14ac:dyDescent="0.35">
      <c r="A182" t="s">
        <v>1258</v>
      </c>
      <c r="B182" t="s">
        <v>1599</v>
      </c>
      <c r="C182" t="s">
        <v>1725</v>
      </c>
      <c r="D182" t="s">
        <v>1726</v>
      </c>
    </row>
    <row r="183" spans="1:63" x14ac:dyDescent="0.3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1601</v>
      </c>
      <c r="B184" t="s">
        <v>1602</v>
      </c>
      <c r="C184" t="s">
        <v>1725</v>
      </c>
      <c r="D184" t="s">
        <v>1726</v>
      </c>
    </row>
    <row r="185" spans="1:63" x14ac:dyDescent="0.35">
      <c r="A185" t="s">
        <v>1219</v>
      </c>
      <c r="B185" t="s">
        <v>1603</v>
      </c>
      <c r="C185" t="s">
        <v>1725</v>
      </c>
      <c r="D185" t="s">
        <v>1726</v>
      </c>
    </row>
    <row r="186" spans="1:63" x14ac:dyDescent="0.35">
      <c r="A186" t="s">
        <v>1604</v>
      </c>
      <c r="B186" t="s">
        <v>1605</v>
      </c>
      <c r="C186" t="s">
        <v>1725</v>
      </c>
      <c r="D186" t="s">
        <v>1726</v>
      </c>
    </row>
    <row r="187" spans="1:63" x14ac:dyDescent="0.3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1607</v>
      </c>
      <c r="B188" t="s">
        <v>1608</v>
      </c>
      <c r="C188" t="s">
        <v>1725</v>
      </c>
      <c r="D188" t="s">
        <v>1726</v>
      </c>
    </row>
    <row r="189" spans="1:63" x14ac:dyDescent="0.3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1613</v>
      </c>
      <c r="B193" t="s">
        <v>1614</v>
      </c>
      <c r="C193" t="s">
        <v>1725</v>
      </c>
      <c r="D193" t="s">
        <v>1726</v>
      </c>
    </row>
    <row r="194" spans="1:63" x14ac:dyDescent="0.3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1243</v>
      </c>
      <c r="B195" t="s">
        <v>1616</v>
      </c>
      <c r="C195" t="s">
        <v>1725</v>
      </c>
      <c r="D195" t="s">
        <v>1726</v>
      </c>
    </row>
    <row r="196" spans="1:63" x14ac:dyDescent="0.3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1189</v>
      </c>
      <c r="B197" t="s">
        <v>1619</v>
      </c>
      <c r="C197" t="s">
        <v>1725</v>
      </c>
      <c r="D197" t="s">
        <v>1726</v>
      </c>
    </row>
    <row r="198" spans="1:63" x14ac:dyDescent="0.3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1270</v>
      </c>
      <c r="B199" t="s">
        <v>1622</v>
      </c>
      <c r="C199" t="s">
        <v>1725</v>
      </c>
      <c r="D199" t="s">
        <v>1726</v>
      </c>
    </row>
    <row r="200" spans="1:63" x14ac:dyDescent="0.3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1624</v>
      </c>
      <c r="B201" t="s">
        <v>1625</v>
      </c>
      <c r="C201" t="s">
        <v>1725</v>
      </c>
      <c r="D201" t="s">
        <v>1726</v>
      </c>
    </row>
    <row r="202" spans="1:63" x14ac:dyDescent="0.35">
      <c r="A202" t="s">
        <v>1626</v>
      </c>
      <c r="B202" t="s">
        <v>1627</v>
      </c>
      <c r="C202" t="s">
        <v>1725</v>
      </c>
      <c r="D202" t="s">
        <v>1726</v>
      </c>
    </row>
    <row r="203" spans="1:63" x14ac:dyDescent="0.35">
      <c r="A203" t="s">
        <v>1628</v>
      </c>
      <c r="B203" t="s">
        <v>1629</v>
      </c>
      <c r="C203" t="s">
        <v>1725</v>
      </c>
      <c r="D203" t="s">
        <v>1726</v>
      </c>
    </row>
    <row r="204" spans="1:63" x14ac:dyDescent="0.35">
      <c r="A204" t="s">
        <v>1232</v>
      </c>
      <c r="B204" t="s">
        <v>1630</v>
      </c>
      <c r="C204" t="s">
        <v>1725</v>
      </c>
      <c r="D204" t="s">
        <v>1726</v>
      </c>
    </row>
    <row r="205" spans="1:63" x14ac:dyDescent="0.35">
      <c r="A205" t="s">
        <v>1129</v>
      </c>
      <c r="B205" t="s">
        <v>1631</v>
      </c>
      <c r="C205" t="s">
        <v>1725</v>
      </c>
      <c r="D205" t="s">
        <v>1726</v>
      </c>
    </row>
    <row r="206" spans="1:63" x14ac:dyDescent="0.35">
      <c r="A206" t="s">
        <v>1245</v>
      </c>
      <c r="B206" t="s">
        <v>1632</v>
      </c>
      <c r="C206" t="s">
        <v>1725</v>
      </c>
      <c r="D206" t="s">
        <v>1726</v>
      </c>
    </row>
    <row r="207" spans="1:63" x14ac:dyDescent="0.35">
      <c r="A207" t="s">
        <v>1246</v>
      </c>
      <c r="B207" t="s">
        <v>1633</v>
      </c>
      <c r="C207" t="s">
        <v>1725</v>
      </c>
      <c r="D207" t="s">
        <v>1726</v>
      </c>
    </row>
    <row r="208" spans="1:63" x14ac:dyDescent="0.3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1171</v>
      </c>
      <c r="B213" t="s">
        <v>1640</v>
      </c>
      <c r="C213" t="s">
        <v>1725</v>
      </c>
      <c r="D213" t="s">
        <v>1726</v>
      </c>
    </row>
    <row r="214" spans="1:63" x14ac:dyDescent="0.3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1644</v>
      </c>
      <c r="B217" t="s">
        <v>1645</v>
      </c>
      <c r="C217" t="s">
        <v>1725</v>
      </c>
      <c r="D217" t="s">
        <v>1726</v>
      </c>
    </row>
    <row r="218" spans="1:63" x14ac:dyDescent="0.3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1271</v>
      </c>
      <c r="B219" t="s">
        <v>1647</v>
      </c>
      <c r="C219" t="s">
        <v>1725</v>
      </c>
      <c r="D219" t="s">
        <v>1726</v>
      </c>
    </row>
    <row r="220" spans="1:63" x14ac:dyDescent="0.3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1653</v>
      </c>
      <c r="B223" t="s">
        <v>1654</v>
      </c>
      <c r="C223" t="s">
        <v>1725</v>
      </c>
      <c r="D223" t="s">
        <v>1726</v>
      </c>
    </row>
    <row r="224" spans="1:63" x14ac:dyDescent="0.3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1657</v>
      </c>
      <c r="B226" t="s">
        <v>1658</v>
      </c>
      <c r="C226" t="s">
        <v>1725</v>
      </c>
      <c r="D226" t="s">
        <v>1726</v>
      </c>
    </row>
    <row r="227" spans="1:63" x14ac:dyDescent="0.35">
      <c r="A227" t="s">
        <v>1272</v>
      </c>
      <c r="B227" t="s">
        <v>1659</v>
      </c>
      <c r="C227" t="s">
        <v>1725</v>
      </c>
      <c r="D227" t="s">
        <v>1726</v>
      </c>
    </row>
    <row r="228" spans="1:63" x14ac:dyDescent="0.35">
      <c r="A228" t="s">
        <v>1259</v>
      </c>
      <c r="B228" t="s">
        <v>1660</v>
      </c>
      <c r="C228" t="s">
        <v>1725</v>
      </c>
      <c r="D228" t="s">
        <v>1726</v>
      </c>
    </row>
    <row r="229" spans="1:63" x14ac:dyDescent="0.3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1662</v>
      </c>
      <c r="B230" t="s">
        <v>1663</v>
      </c>
      <c r="C230" t="s">
        <v>1725</v>
      </c>
      <c r="D230" t="s">
        <v>1726</v>
      </c>
    </row>
    <row r="231" spans="1:63" x14ac:dyDescent="0.35">
      <c r="A231" t="s">
        <v>1079</v>
      </c>
      <c r="B231" t="s">
        <v>1664</v>
      </c>
      <c r="C231" t="s">
        <v>1725</v>
      </c>
      <c r="D231" t="s">
        <v>1726</v>
      </c>
    </row>
    <row r="232" spans="1:63" x14ac:dyDescent="0.3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1666</v>
      </c>
      <c r="B233" t="s">
        <v>1667</v>
      </c>
      <c r="C233" t="s">
        <v>1725</v>
      </c>
      <c r="D233" t="s">
        <v>1726</v>
      </c>
    </row>
    <row r="234" spans="1:63" x14ac:dyDescent="0.3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1671</v>
      </c>
      <c r="B236" t="s">
        <v>1672</v>
      </c>
      <c r="C236" t="s">
        <v>1725</v>
      </c>
      <c r="D236" t="s">
        <v>1726</v>
      </c>
    </row>
    <row r="237" spans="1:63" x14ac:dyDescent="0.3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1234</v>
      </c>
      <c r="B244" t="s">
        <v>1682</v>
      </c>
      <c r="C244" t="s">
        <v>1725</v>
      </c>
      <c r="D244" t="s">
        <v>1726</v>
      </c>
    </row>
    <row r="245" spans="1:63" x14ac:dyDescent="0.3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1192</v>
      </c>
      <c r="B247" t="s">
        <v>1687</v>
      </c>
      <c r="C247" t="s">
        <v>1725</v>
      </c>
      <c r="D247" t="s">
        <v>1726</v>
      </c>
    </row>
    <row r="248" spans="1:63" x14ac:dyDescent="0.35">
      <c r="A248" t="s">
        <v>1115</v>
      </c>
      <c r="B248" t="s">
        <v>1688</v>
      </c>
      <c r="C248" t="s">
        <v>1725</v>
      </c>
      <c r="D248" t="s">
        <v>1726</v>
      </c>
    </row>
    <row r="249" spans="1:63" x14ac:dyDescent="0.3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1690</v>
      </c>
      <c r="B250" t="s">
        <v>1691</v>
      </c>
      <c r="C250" t="s">
        <v>1725</v>
      </c>
      <c r="D250" t="s">
        <v>1726</v>
      </c>
    </row>
    <row r="251" spans="1:63" x14ac:dyDescent="0.3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1248</v>
      </c>
      <c r="B253" t="s">
        <v>1695</v>
      </c>
      <c r="C253" t="s">
        <v>1725</v>
      </c>
      <c r="D253" t="s">
        <v>1726</v>
      </c>
    </row>
    <row r="254" spans="1:63" x14ac:dyDescent="0.3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1215</v>
      </c>
      <c r="B255" t="s">
        <v>1698</v>
      </c>
      <c r="C255" t="s">
        <v>1725</v>
      </c>
      <c r="D255" t="s">
        <v>1726</v>
      </c>
    </row>
    <row r="256" spans="1:63" x14ac:dyDescent="0.35">
      <c r="A256" t="s">
        <v>1699</v>
      </c>
      <c r="B256" t="s">
        <v>1700</v>
      </c>
      <c r="C256" t="s">
        <v>1725</v>
      </c>
      <c r="D256" t="s">
        <v>1726</v>
      </c>
    </row>
    <row r="257" spans="1:65" x14ac:dyDescent="0.3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1702</v>
      </c>
      <c r="B258" t="s">
        <v>1703</v>
      </c>
      <c r="C258" t="s">
        <v>1725</v>
      </c>
      <c r="D258" t="s">
        <v>1726</v>
      </c>
    </row>
    <row r="259" spans="1:65" x14ac:dyDescent="0.3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1706</v>
      </c>
      <c r="B260" t="s">
        <v>1707</v>
      </c>
      <c r="C260" t="s">
        <v>1725</v>
      </c>
      <c r="D260" t="s">
        <v>1726</v>
      </c>
    </row>
    <row r="261" spans="1:65" x14ac:dyDescent="0.35">
      <c r="A261" t="s">
        <v>1708</v>
      </c>
      <c r="B261" t="s">
        <v>1709</v>
      </c>
      <c r="C261" t="s">
        <v>1725</v>
      </c>
      <c r="D261" t="s">
        <v>1726</v>
      </c>
    </row>
    <row r="262" spans="1:65" x14ac:dyDescent="0.3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1233</v>
      </c>
      <c r="B265" t="s">
        <v>1714</v>
      </c>
      <c r="C265" t="s">
        <v>1725</v>
      </c>
      <c r="D265" t="s">
        <v>1726</v>
      </c>
    </row>
    <row r="266" spans="1:65" x14ac:dyDescent="0.35">
      <c r="A266" t="s">
        <v>1715</v>
      </c>
      <c r="B266" t="s">
        <v>1716</v>
      </c>
      <c r="C266" t="s">
        <v>1725</v>
      </c>
      <c r="D266" t="s">
        <v>1726</v>
      </c>
    </row>
    <row r="267" spans="1:65" x14ac:dyDescent="0.3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1727</v>
      </c>
    </row>
    <row r="274" spans="8:65" s="1" customFormat="1" x14ac:dyDescent="0.35">
      <c r="I274" s="1" t="s">
        <v>1724</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1728</v>
      </c>
      <c r="D5" t="s">
        <v>1729</v>
      </c>
    </row>
    <row r="6" spans="1:65" hidden="1" x14ac:dyDescent="0.35">
      <c r="A6" t="s">
        <v>1359</v>
      </c>
      <c r="B6" t="s">
        <v>1360</v>
      </c>
      <c r="C6" t="s">
        <v>1728</v>
      </c>
      <c r="D6" t="s">
        <v>1729</v>
      </c>
      <c r="AI6">
        <v>14.358738254179832</v>
      </c>
      <c r="AS6">
        <v>20.753712385085958</v>
      </c>
      <c r="BC6">
        <v>23.992611756927229</v>
      </c>
      <c r="BJ6">
        <v>35.420131503789072</v>
      </c>
    </row>
    <row r="7" spans="1:65" hidden="1" x14ac:dyDescent="0.3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1362</v>
      </c>
      <c r="B8" t="s">
        <v>1363</v>
      </c>
      <c r="C8" t="s">
        <v>1728</v>
      </c>
      <c r="D8" t="s">
        <v>1729</v>
      </c>
      <c r="AI8">
        <v>3.7489882458819337</v>
      </c>
      <c r="AS8">
        <v>8.7280119132884924</v>
      </c>
      <c r="BC8">
        <v>12.577187944338032</v>
      </c>
      <c r="BJ8">
        <v>15.485747394646275</v>
      </c>
    </row>
    <row r="9" spans="1:65" hidden="1" x14ac:dyDescent="0.35">
      <c r="A9" t="s">
        <v>1083</v>
      </c>
      <c r="B9" t="s">
        <v>1364</v>
      </c>
      <c r="C9" t="s">
        <v>1728</v>
      </c>
      <c r="D9" t="s">
        <v>1729</v>
      </c>
      <c r="AO9">
        <v>4.0999999999999996</v>
      </c>
      <c r="AT9">
        <v>4.9000000000000004</v>
      </c>
      <c r="BI9">
        <v>12.5</v>
      </c>
    </row>
    <row r="10" spans="1:65" hidden="1" x14ac:dyDescent="0.35">
      <c r="A10" t="s">
        <v>1262</v>
      </c>
      <c r="B10" t="s">
        <v>1365</v>
      </c>
      <c r="C10" t="s">
        <v>1728</v>
      </c>
      <c r="D10" t="s">
        <v>1729</v>
      </c>
      <c r="AS10">
        <v>17.899999999999999</v>
      </c>
      <c r="AU10">
        <v>8</v>
      </c>
      <c r="AX10">
        <v>25</v>
      </c>
      <c r="BB10">
        <v>10.6</v>
      </c>
      <c r="BK10">
        <v>3.7</v>
      </c>
    </row>
    <row r="11" spans="1:65" hidden="1" x14ac:dyDescent="0.35">
      <c r="A11" t="s">
        <v>1366</v>
      </c>
      <c r="B11" t="s">
        <v>1367</v>
      </c>
      <c r="C11" t="s">
        <v>1728</v>
      </c>
      <c r="D11" t="s">
        <v>1729</v>
      </c>
    </row>
    <row r="12" spans="1:65" hidden="1" x14ac:dyDescent="0.35">
      <c r="A12" t="s">
        <v>1368</v>
      </c>
      <c r="B12" t="s">
        <v>1369</v>
      </c>
      <c r="C12" t="s">
        <v>1728</v>
      </c>
      <c r="D12" t="s">
        <v>1729</v>
      </c>
      <c r="AI12">
        <v>31.213033833706938</v>
      </c>
      <c r="AS12">
        <v>39.421917148558393</v>
      </c>
      <c r="BC12">
        <v>42.852282757414741</v>
      </c>
      <c r="BJ12">
        <v>38.737887619727374</v>
      </c>
    </row>
    <row r="13" spans="1:65" hidden="1" x14ac:dyDescent="0.35">
      <c r="A13" t="s">
        <v>1134</v>
      </c>
      <c r="B13" t="s">
        <v>1370</v>
      </c>
      <c r="C13" t="s">
        <v>1728</v>
      </c>
      <c r="D13" t="s">
        <v>1729</v>
      </c>
      <c r="AN13">
        <v>23.6</v>
      </c>
    </row>
    <row r="14" spans="1:65" hidden="1" x14ac:dyDescent="0.35">
      <c r="A14" t="s">
        <v>1204</v>
      </c>
      <c r="B14" t="s">
        <v>1371</v>
      </c>
      <c r="C14" t="s">
        <v>1728</v>
      </c>
      <c r="D14" t="s">
        <v>1729</v>
      </c>
      <c r="AT14">
        <v>63.8</v>
      </c>
      <c r="AX14">
        <v>69.900000000000006</v>
      </c>
      <c r="BE14">
        <v>53.5</v>
      </c>
      <c r="BF14">
        <v>78.2</v>
      </c>
    </row>
    <row r="15" spans="1:65" hidden="1" x14ac:dyDescent="0.35">
      <c r="A15" t="s">
        <v>1118</v>
      </c>
      <c r="B15" t="s">
        <v>1372</v>
      </c>
      <c r="C15" t="s">
        <v>1728</v>
      </c>
      <c r="D15" t="s">
        <v>1729</v>
      </c>
      <c r="AJ15">
        <v>25.2</v>
      </c>
      <c r="AS15">
        <v>22.3</v>
      </c>
      <c r="AX15">
        <v>19.5</v>
      </c>
      <c r="BC15">
        <v>26.8</v>
      </c>
      <c r="BH15">
        <v>28</v>
      </c>
      <c r="BI15">
        <v>28</v>
      </c>
    </row>
    <row r="16" spans="1:65" hidden="1" x14ac:dyDescent="0.35">
      <c r="A16" t="s">
        <v>1373</v>
      </c>
      <c r="B16" t="s">
        <v>1374</v>
      </c>
      <c r="C16" t="s">
        <v>1728</v>
      </c>
      <c r="D16" t="s">
        <v>1729</v>
      </c>
    </row>
    <row r="17" spans="1:65" hidden="1" x14ac:dyDescent="0.35">
      <c r="A17" t="s">
        <v>1177</v>
      </c>
      <c r="B17" t="s">
        <v>1375</v>
      </c>
      <c r="C17" t="s">
        <v>1728</v>
      </c>
      <c r="D17" t="s">
        <v>1729</v>
      </c>
      <c r="Z17">
        <v>44.6</v>
      </c>
      <c r="AG17">
        <v>50.6</v>
      </c>
    </row>
    <row r="18" spans="1:65" hidden="1" x14ac:dyDescent="0.3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35">
      <c r="A19" t="s">
        <v>1275</v>
      </c>
      <c r="B19" t="s">
        <v>1377</v>
      </c>
      <c r="C19" t="s">
        <v>1728</v>
      </c>
      <c r="D19" t="s">
        <v>1729</v>
      </c>
      <c r="AO19">
        <v>46.8</v>
      </c>
      <c r="BB19">
        <v>67.599999999999994</v>
      </c>
      <c r="BF19">
        <v>63</v>
      </c>
    </row>
    <row r="20" spans="1:65" hidden="1" x14ac:dyDescent="0.35">
      <c r="A20" t="s">
        <v>1119</v>
      </c>
      <c r="B20" t="s">
        <v>1378</v>
      </c>
      <c r="C20" t="s">
        <v>1728</v>
      </c>
      <c r="D20" t="s">
        <v>1729</v>
      </c>
      <c r="AS20">
        <v>16.7</v>
      </c>
      <c r="AT20">
        <v>11.9</v>
      </c>
      <c r="AY20">
        <v>14.3</v>
      </c>
      <c r="BD20">
        <v>13.9</v>
      </c>
    </row>
    <row r="21" spans="1:65" hidden="1" x14ac:dyDescent="0.3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3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1093</v>
      </c>
      <c r="B23" t="s">
        <v>1381</v>
      </c>
      <c r="C23" t="s">
        <v>1728</v>
      </c>
      <c r="D23" t="s">
        <v>1729</v>
      </c>
      <c r="AA23">
        <v>0.7</v>
      </c>
      <c r="AO23">
        <v>3.4</v>
      </c>
      <c r="AT23">
        <v>7.2</v>
      </c>
      <c r="AY23">
        <v>6.1</v>
      </c>
      <c r="BE23">
        <v>7.9</v>
      </c>
      <c r="BG23">
        <v>12.5</v>
      </c>
      <c r="BK23">
        <v>12</v>
      </c>
    </row>
    <row r="24" spans="1:65" hidden="1" x14ac:dyDescent="0.3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1240</v>
      </c>
      <c r="B26" t="s">
        <v>1384</v>
      </c>
      <c r="C26" t="s">
        <v>1728</v>
      </c>
      <c r="D26" t="s">
        <v>1729</v>
      </c>
      <c r="U26">
        <v>6</v>
      </c>
      <c r="AN26">
        <v>45.6</v>
      </c>
      <c r="AQ26">
        <v>39.6</v>
      </c>
      <c r="AX26">
        <v>36.799999999999997</v>
      </c>
      <c r="AZ26">
        <v>40.1</v>
      </c>
    </row>
    <row r="27" spans="1:65" hidden="1" x14ac:dyDescent="0.35">
      <c r="A27" t="s">
        <v>1120</v>
      </c>
      <c r="B27" t="s">
        <v>1385</v>
      </c>
      <c r="C27" t="s">
        <v>1728</v>
      </c>
      <c r="D27" t="s">
        <v>1729</v>
      </c>
      <c r="AH27">
        <v>30.3</v>
      </c>
      <c r="AN27">
        <v>30.6</v>
      </c>
    </row>
    <row r="28" spans="1:65" hidden="1" x14ac:dyDescent="0.35">
      <c r="A28" t="s">
        <v>1386</v>
      </c>
      <c r="B28" t="s">
        <v>1387</v>
      </c>
      <c r="C28" t="s">
        <v>1728</v>
      </c>
      <c r="D28" t="s">
        <v>1729</v>
      </c>
      <c r="AG28">
        <v>60.1</v>
      </c>
    </row>
    <row r="29" spans="1:65" hidden="1" x14ac:dyDescent="0.35">
      <c r="A29" t="s">
        <v>1263</v>
      </c>
      <c r="B29" t="s">
        <v>1388</v>
      </c>
      <c r="C29" t="s">
        <v>1728</v>
      </c>
      <c r="D29" t="s">
        <v>1729</v>
      </c>
      <c r="O29">
        <v>3.1</v>
      </c>
      <c r="AS29">
        <v>16.2</v>
      </c>
      <c r="AY29">
        <v>11.3</v>
      </c>
      <c r="BE29">
        <v>12</v>
      </c>
    </row>
    <row r="30" spans="1:65" hidden="1" x14ac:dyDescent="0.35">
      <c r="A30" t="s">
        <v>1239</v>
      </c>
      <c r="B30" t="s">
        <v>1389</v>
      </c>
      <c r="C30" t="s">
        <v>1728</v>
      </c>
      <c r="D30" t="s">
        <v>1729</v>
      </c>
      <c r="AN30">
        <v>42.1</v>
      </c>
      <c r="AX30">
        <v>56.5</v>
      </c>
      <c r="BE30">
        <v>52</v>
      </c>
      <c r="BJ30">
        <v>59.27</v>
      </c>
    </row>
    <row r="31" spans="1:65" hidden="1" x14ac:dyDescent="0.35">
      <c r="A31" t="s">
        <v>1195</v>
      </c>
      <c r="B31" t="s">
        <v>1390</v>
      </c>
      <c r="C31" t="s">
        <v>1728</v>
      </c>
      <c r="D31" t="s">
        <v>1729</v>
      </c>
      <c r="AJ31">
        <v>41.8</v>
      </c>
      <c r="AR31">
        <v>49.3</v>
      </c>
      <c r="AY31">
        <v>31.5</v>
      </c>
      <c r="BD31">
        <v>52</v>
      </c>
      <c r="BI31">
        <v>48.5</v>
      </c>
    </row>
    <row r="32" spans="1:65" hidden="1" x14ac:dyDescent="0.35">
      <c r="A32" t="s">
        <v>1391</v>
      </c>
      <c r="B32" t="s">
        <v>1392</v>
      </c>
      <c r="C32" t="s">
        <v>1728</v>
      </c>
      <c r="D32" t="s">
        <v>1729</v>
      </c>
    </row>
    <row r="33" spans="1:64" hidden="1" x14ac:dyDescent="0.35">
      <c r="A33" t="s">
        <v>1393</v>
      </c>
      <c r="B33" t="s">
        <v>1394</v>
      </c>
      <c r="C33" t="s">
        <v>1728</v>
      </c>
      <c r="D33" t="s">
        <v>1729</v>
      </c>
      <c r="AB33">
        <v>9.9</v>
      </c>
      <c r="AH33">
        <v>12.2</v>
      </c>
      <c r="AM33">
        <v>17.7</v>
      </c>
      <c r="AQ33">
        <v>25.2</v>
      </c>
      <c r="AS33">
        <v>30.5</v>
      </c>
      <c r="AV33">
        <v>34.9</v>
      </c>
      <c r="AW33">
        <v>34.9</v>
      </c>
      <c r="BA33">
        <v>34.5</v>
      </c>
      <c r="BI33">
        <v>45.1</v>
      </c>
    </row>
    <row r="34" spans="1:64" hidden="1" x14ac:dyDescent="0.35">
      <c r="A34" t="s">
        <v>1206</v>
      </c>
      <c r="B34" t="s">
        <v>1395</v>
      </c>
      <c r="C34" t="s">
        <v>1728</v>
      </c>
      <c r="D34" t="s">
        <v>1729</v>
      </c>
      <c r="AE34">
        <v>56.5</v>
      </c>
      <c r="AO34">
        <v>70.3</v>
      </c>
      <c r="AZ34">
        <v>77.099999999999994</v>
      </c>
      <c r="BF34">
        <v>77.7</v>
      </c>
    </row>
    <row r="35" spans="1:64" hidden="1" x14ac:dyDescent="0.35">
      <c r="A35" t="s">
        <v>1180</v>
      </c>
      <c r="B35" t="s">
        <v>1396</v>
      </c>
      <c r="C35" t="s">
        <v>1728</v>
      </c>
      <c r="D35" t="s">
        <v>1729</v>
      </c>
      <c r="Z35">
        <v>44.7</v>
      </c>
      <c r="AG35">
        <v>53.3</v>
      </c>
      <c r="BE35">
        <v>55.4</v>
      </c>
    </row>
    <row r="36" spans="1:64" hidden="1" x14ac:dyDescent="0.35">
      <c r="A36" t="s">
        <v>1164</v>
      </c>
      <c r="B36" t="s">
        <v>1397</v>
      </c>
      <c r="C36" t="s">
        <v>1728</v>
      </c>
      <c r="D36" t="s">
        <v>1729</v>
      </c>
    </row>
    <row r="37" spans="1:64" hidden="1" x14ac:dyDescent="0.35">
      <c r="A37" t="s">
        <v>1146</v>
      </c>
      <c r="B37" t="s">
        <v>1398</v>
      </c>
      <c r="C37" t="s">
        <v>1728</v>
      </c>
      <c r="D37" t="s">
        <v>1729</v>
      </c>
      <c r="AM37">
        <v>18.8</v>
      </c>
      <c r="AS37">
        <v>30.7</v>
      </c>
      <c r="AZ37">
        <v>35.4</v>
      </c>
      <c r="BC37">
        <v>65.400000000000006</v>
      </c>
    </row>
    <row r="38" spans="1:64" hidden="1" x14ac:dyDescent="0.35">
      <c r="A38" t="s">
        <v>585</v>
      </c>
      <c r="B38" t="s">
        <v>1399</v>
      </c>
      <c r="C38" t="s">
        <v>1728</v>
      </c>
      <c r="D38" t="s">
        <v>1729</v>
      </c>
      <c r="AC38">
        <v>18.600000000000001</v>
      </c>
      <c r="AG38">
        <v>31.7</v>
      </c>
      <c r="AO38">
        <v>46.508599498865998</v>
      </c>
      <c r="AS38">
        <v>42.1</v>
      </c>
      <c r="AZ38">
        <v>51.2</v>
      </c>
      <c r="BA38">
        <v>51.2</v>
      </c>
    </row>
    <row r="39" spans="1:64" hidden="1" x14ac:dyDescent="0.35">
      <c r="A39" t="s">
        <v>589</v>
      </c>
      <c r="B39" t="s">
        <v>1400</v>
      </c>
      <c r="C39" t="s">
        <v>1728</v>
      </c>
      <c r="D39" t="s">
        <v>1729</v>
      </c>
      <c r="AN39">
        <v>3.3</v>
      </c>
      <c r="AS39">
        <v>11.7</v>
      </c>
      <c r="AY39">
        <v>11.2</v>
      </c>
      <c r="BC39">
        <v>12.1</v>
      </c>
      <c r="BD39">
        <v>12.1</v>
      </c>
      <c r="BL39">
        <v>14.4</v>
      </c>
    </row>
    <row r="40" spans="1:64" hidden="1" x14ac:dyDescent="0.35">
      <c r="A40" t="s">
        <v>1283</v>
      </c>
      <c r="B40" t="s">
        <v>1401</v>
      </c>
      <c r="C40" t="s">
        <v>1728</v>
      </c>
      <c r="D40" t="s">
        <v>1729</v>
      </c>
      <c r="AC40">
        <v>69.7</v>
      </c>
      <c r="AN40">
        <v>73.3</v>
      </c>
      <c r="AQ40">
        <v>76</v>
      </c>
      <c r="AU40">
        <v>72</v>
      </c>
    </row>
    <row r="41" spans="1:64" hidden="1" x14ac:dyDescent="0.35">
      <c r="A41" t="s">
        <v>1402</v>
      </c>
      <c r="B41" t="s">
        <v>1403</v>
      </c>
      <c r="C41" t="s">
        <v>1728</v>
      </c>
      <c r="D41" t="s">
        <v>1729</v>
      </c>
    </row>
    <row r="42" spans="1:64" hidden="1" x14ac:dyDescent="0.35">
      <c r="A42" t="s">
        <v>1281</v>
      </c>
      <c r="B42" t="s">
        <v>1404</v>
      </c>
      <c r="C42" t="s">
        <v>1728</v>
      </c>
      <c r="D42" t="s">
        <v>1729</v>
      </c>
      <c r="Y42">
        <v>64.900000000000006</v>
      </c>
      <c r="AN42">
        <v>77.5</v>
      </c>
      <c r="BE42">
        <v>69.2</v>
      </c>
      <c r="BJ42">
        <v>67.3</v>
      </c>
    </row>
    <row r="43" spans="1:64" hidden="1" x14ac:dyDescent="0.35">
      <c r="A43" t="s">
        <v>1250</v>
      </c>
      <c r="B43" t="s">
        <v>1405</v>
      </c>
      <c r="C43" t="s">
        <v>1728</v>
      </c>
      <c r="D43" t="s">
        <v>1729</v>
      </c>
    </row>
    <row r="44" spans="1:64" hidden="1" x14ac:dyDescent="0.35">
      <c r="A44" t="s">
        <v>1207</v>
      </c>
      <c r="B44" t="s">
        <v>1406</v>
      </c>
      <c r="C44" t="s">
        <v>1728</v>
      </c>
      <c r="D44" t="s">
        <v>1729</v>
      </c>
      <c r="AT44">
        <v>57.9</v>
      </c>
      <c r="AY44">
        <v>64.2</v>
      </c>
      <c r="BI44">
        <v>69.844748571179693</v>
      </c>
    </row>
    <row r="45" spans="1:64" hidden="1" x14ac:dyDescent="0.3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35">
      <c r="A47" t="s">
        <v>1084</v>
      </c>
      <c r="B47" t="s">
        <v>1410</v>
      </c>
      <c r="C47" t="s">
        <v>1728</v>
      </c>
      <c r="D47" t="s">
        <v>1729</v>
      </c>
      <c r="W47">
        <v>0.6</v>
      </c>
      <c r="AJ47">
        <v>4.3</v>
      </c>
      <c r="AQ47">
        <v>7.1</v>
      </c>
      <c r="AS47">
        <v>11.1</v>
      </c>
      <c r="AW47">
        <v>13.1</v>
      </c>
      <c r="AY47">
        <v>15.2</v>
      </c>
      <c r="BD47">
        <v>14.4</v>
      </c>
      <c r="BG47">
        <v>21</v>
      </c>
      <c r="BK47">
        <v>15</v>
      </c>
    </row>
    <row r="48" spans="1:64" hidden="1" x14ac:dyDescent="0.3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35">
      <c r="A49" t="s">
        <v>1413</v>
      </c>
      <c r="B49" t="s">
        <v>1414</v>
      </c>
      <c r="C49" t="s">
        <v>1728</v>
      </c>
      <c r="D49" t="s">
        <v>1729</v>
      </c>
      <c r="AX49">
        <v>12.7</v>
      </c>
      <c r="BE49">
        <v>20</v>
      </c>
      <c r="BH49">
        <v>18.5</v>
      </c>
    </row>
    <row r="50" spans="1:64" hidden="1" x14ac:dyDescent="0.3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1072</v>
      </c>
      <c r="B51" t="s">
        <v>1416</v>
      </c>
      <c r="C51" t="s">
        <v>1728</v>
      </c>
      <c r="D51" t="s">
        <v>1729</v>
      </c>
      <c r="AO51">
        <v>11.4</v>
      </c>
      <c r="AS51">
        <v>20.9</v>
      </c>
      <c r="BE51">
        <v>14.2</v>
      </c>
    </row>
    <row r="52" spans="1:64" hidden="1" x14ac:dyDescent="0.35">
      <c r="A52" t="s">
        <v>1095</v>
      </c>
      <c r="B52" t="s">
        <v>1417</v>
      </c>
      <c r="C52" t="s">
        <v>1728</v>
      </c>
      <c r="D52" t="s">
        <v>1729</v>
      </c>
      <c r="AH52">
        <v>19</v>
      </c>
      <c r="AQ52">
        <v>46</v>
      </c>
      <c r="AX52">
        <v>57.1</v>
      </c>
      <c r="BK52">
        <v>54.7</v>
      </c>
    </row>
    <row r="53" spans="1:64" hidden="1" x14ac:dyDescent="0.3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1419</v>
      </c>
      <c r="B54" t="s">
        <v>1420</v>
      </c>
      <c r="C54" t="s">
        <v>1728</v>
      </c>
      <c r="D54" t="s">
        <v>1729</v>
      </c>
      <c r="AI54">
        <v>48.520713335264219</v>
      </c>
      <c r="BC54">
        <v>54.554142163060199</v>
      </c>
    </row>
    <row r="55" spans="1:64" hidden="1" x14ac:dyDescent="0.35">
      <c r="A55" t="s">
        <v>1181</v>
      </c>
      <c r="B55" t="s">
        <v>1421</v>
      </c>
      <c r="C55" t="s">
        <v>1728</v>
      </c>
      <c r="D55" t="s">
        <v>1729</v>
      </c>
      <c r="AF55">
        <v>67</v>
      </c>
      <c r="AS55">
        <v>72.2</v>
      </c>
      <c r="AY55">
        <v>71.599999999999994</v>
      </c>
      <c r="BD55">
        <v>73.2</v>
      </c>
      <c r="BG55">
        <v>72.2</v>
      </c>
      <c r="BL55">
        <v>67.940551779009098</v>
      </c>
    </row>
    <row r="56" spans="1:64" hidden="1" x14ac:dyDescent="0.35">
      <c r="A56" t="s">
        <v>1422</v>
      </c>
      <c r="B56" t="s">
        <v>1423</v>
      </c>
      <c r="C56" t="s">
        <v>1728</v>
      </c>
      <c r="D56" t="s">
        <v>1729</v>
      </c>
    </row>
    <row r="57" spans="1:64" hidden="1" x14ac:dyDescent="0.35">
      <c r="A57" t="s">
        <v>1424</v>
      </c>
      <c r="B57" t="s">
        <v>1425</v>
      </c>
      <c r="C57" t="s">
        <v>1728</v>
      </c>
      <c r="D57" t="s">
        <v>1729</v>
      </c>
    </row>
    <row r="58" spans="1:64" hidden="1" x14ac:dyDescent="0.35">
      <c r="A58" t="s">
        <v>1121</v>
      </c>
      <c r="B58" t="s">
        <v>1426</v>
      </c>
      <c r="C58" t="s">
        <v>1728</v>
      </c>
      <c r="D58" t="s">
        <v>1729</v>
      </c>
    </row>
    <row r="59" spans="1:64" hidden="1" x14ac:dyDescent="0.35">
      <c r="A59" t="s">
        <v>1427</v>
      </c>
      <c r="B59" t="s">
        <v>1428</v>
      </c>
      <c r="C59" t="s">
        <v>1728</v>
      </c>
      <c r="D59" t="s">
        <v>1729</v>
      </c>
      <c r="O59">
        <v>24.3</v>
      </c>
      <c r="V59">
        <v>49.3</v>
      </c>
      <c r="AJ59">
        <v>53</v>
      </c>
      <c r="AL59">
        <v>44.9</v>
      </c>
      <c r="AP59">
        <v>62.6</v>
      </c>
      <c r="AX59">
        <v>69.900000000000006</v>
      </c>
      <c r="BA59">
        <v>77.599999999999994</v>
      </c>
    </row>
    <row r="60" spans="1:64" hidden="1" x14ac:dyDescent="0.35">
      <c r="A60" t="s">
        <v>1278</v>
      </c>
      <c r="B60" t="s">
        <v>1429</v>
      </c>
      <c r="C60" t="s">
        <v>1728</v>
      </c>
      <c r="D60" t="s">
        <v>1729</v>
      </c>
      <c r="P60">
        <v>48.25</v>
      </c>
      <c r="Q60">
        <v>60.580071729299902</v>
      </c>
      <c r="AD60">
        <v>67.599999999999994</v>
      </c>
      <c r="AK60">
        <v>65.599999999999994</v>
      </c>
      <c r="AX60">
        <v>61.6</v>
      </c>
      <c r="BA60">
        <v>49.2</v>
      </c>
      <c r="BD60">
        <v>80.2</v>
      </c>
    </row>
    <row r="61" spans="1:64" hidden="1" x14ac:dyDescent="0.35">
      <c r="A61" t="s">
        <v>1073</v>
      </c>
      <c r="B61" t="s">
        <v>1430</v>
      </c>
      <c r="C61" t="s">
        <v>1728</v>
      </c>
      <c r="D61" t="s">
        <v>1729</v>
      </c>
      <c r="AU61">
        <v>5.8</v>
      </c>
      <c r="AY61">
        <v>17.100000000000001</v>
      </c>
      <c r="BE61">
        <v>18</v>
      </c>
    </row>
    <row r="62" spans="1:64" hidden="1" x14ac:dyDescent="0.35">
      <c r="A62" t="s">
        <v>1431</v>
      </c>
      <c r="B62" t="s">
        <v>1432</v>
      </c>
      <c r="C62" t="s">
        <v>1728</v>
      </c>
      <c r="D62" t="s">
        <v>1729</v>
      </c>
      <c r="Z62">
        <v>57.5</v>
      </c>
      <c r="AA62">
        <v>57.5</v>
      </c>
      <c r="AF62">
        <v>47.9</v>
      </c>
    </row>
    <row r="63" spans="1:64" hidden="1" x14ac:dyDescent="0.35">
      <c r="A63" t="s">
        <v>1251</v>
      </c>
      <c r="B63" t="s">
        <v>1433</v>
      </c>
      <c r="C63" t="s">
        <v>1728</v>
      </c>
      <c r="D63" t="s">
        <v>1729</v>
      </c>
      <c r="O63">
        <v>54</v>
      </c>
      <c r="T63">
        <v>59.9</v>
      </c>
      <c r="AG63">
        <v>72</v>
      </c>
    </row>
    <row r="64" spans="1:64" hidden="1" x14ac:dyDescent="0.3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1110</v>
      </c>
      <c r="B65" t="s">
        <v>1435</v>
      </c>
      <c r="C65" t="s">
        <v>1728</v>
      </c>
      <c r="D65" t="s">
        <v>1729</v>
      </c>
      <c r="AF65">
        <v>31.3</v>
      </c>
      <c r="AK65">
        <v>43.2</v>
      </c>
      <c r="AN65">
        <v>49.4</v>
      </c>
      <c r="AS65">
        <v>55</v>
      </c>
      <c r="AU65">
        <v>51.8</v>
      </c>
      <c r="AY65">
        <v>53.9</v>
      </c>
      <c r="BE65">
        <v>48</v>
      </c>
      <c r="BF65">
        <v>49.5</v>
      </c>
    </row>
    <row r="66" spans="1:66" hidden="1" x14ac:dyDescent="0.35">
      <c r="A66" t="s">
        <v>1436</v>
      </c>
      <c r="B66" t="s">
        <v>1437</v>
      </c>
      <c r="C66" t="s">
        <v>1728</v>
      </c>
      <c r="D66" t="s">
        <v>1729</v>
      </c>
      <c r="AI66">
        <v>74.041920026887112</v>
      </c>
      <c r="AS66">
        <v>76.099559041395096</v>
      </c>
      <c r="BJ66">
        <v>71.47623154765823</v>
      </c>
    </row>
    <row r="67" spans="1:66" hidden="1" x14ac:dyDescent="0.35">
      <c r="A67" t="s">
        <v>1438</v>
      </c>
      <c r="B67" t="s">
        <v>1439</v>
      </c>
      <c r="C67" t="s">
        <v>1728</v>
      </c>
      <c r="D67" t="s">
        <v>1729</v>
      </c>
      <c r="AI67">
        <v>36.452204123392384</v>
      </c>
      <c r="AS67">
        <v>42.237641915320637</v>
      </c>
      <c r="BC67">
        <v>48.025769068213073</v>
      </c>
      <c r="BJ67">
        <v>47.796847729428798</v>
      </c>
    </row>
    <row r="68" spans="1:66" hidden="1" x14ac:dyDescent="0.35">
      <c r="A68" t="s">
        <v>1440</v>
      </c>
      <c r="B68" t="s">
        <v>1441</v>
      </c>
      <c r="C68" t="s">
        <v>1728</v>
      </c>
      <c r="D68" t="s">
        <v>1729</v>
      </c>
      <c r="AI68">
        <v>72.39990793700818</v>
      </c>
      <c r="AS68">
        <v>74.489572537257885</v>
      </c>
      <c r="BJ68">
        <v>69.644356251152942</v>
      </c>
    </row>
    <row r="69" spans="1:66" hidden="1" x14ac:dyDescent="0.35">
      <c r="A69" t="s">
        <v>1442</v>
      </c>
      <c r="B69" t="s">
        <v>1443</v>
      </c>
      <c r="C69" t="s">
        <v>1728</v>
      </c>
      <c r="D69" t="s">
        <v>1729</v>
      </c>
      <c r="BC69">
        <v>46.865159036736408</v>
      </c>
    </row>
    <row r="70" spans="1:66" hidden="1" x14ac:dyDescent="0.35">
      <c r="A70" t="s">
        <v>1444</v>
      </c>
      <c r="B70" t="s">
        <v>1445</v>
      </c>
      <c r="C70" t="s">
        <v>1728</v>
      </c>
      <c r="D70" t="s">
        <v>1729</v>
      </c>
      <c r="BC70">
        <v>58.298965991139319</v>
      </c>
    </row>
    <row r="71" spans="1:66" hidden="1" x14ac:dyDescent="0.35">
      <c r="A71" t="s">
        <v>1209</v>
      </c>
      <c r="B71" t="s">
        <v>1446</v>
      </c>
      <c r="C71" t="s">
        <v>1728</v>
      </c>
      <c r="D71" t="s">
        <v>1729</v>
      </c>
      <c r="X71">
        <v>25.8</v>
      </c>
      <c r="AA71">
        <v>32.9</v>
      </c>
      <c r="AF71">
        <v>35.799999999999997</v>
      </c>
      <c r="AH71">
        <v>41.6</v>
      </c>
      <c r="AM71">
        <v>45.9</v>
      </c>
      <c r="AR71">
        <v>51.4</v>
      </c>
      <c r="AW71">
        <v>58.7</v>
      </c>
      <c r="BE71">
        <v>71.7</v>
      </c>
    </row>
    <row r="72" spans="1:66" hidden="1" x14ac:dyDescent="0.3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1449</v>
      </c>
      <c r="B73" t="s">
        <v>1450</v>
      </c>
      <c r="C73" t="s">
        <v>1728</v>
      </c>
      <c r="D73" t="s">
        <v>1729</v>
      </c>
    </row>
    <row r="74" spans="1:66" hidden="1" x14ac:dyDescent="0.35">
      <c r="A74" t="s">
        <v>597</v>
      </c>
      <c r="B74" t="s">
        <v>1451</v>
      </c>
      <c r="C74" t="s">
        <v>1728</v>
      </c>
      <c r="D74" t="s">
        <v>1729</v>
      </c>
      <c r="AN74">
        <v>4</v>
      </c>
      <c r="AO74">
        <v>4</v>
      </c>
      <c r="AU74">
        <v>7.2</v>
      </c>
      <c r="BC74">
        <v>7</v>
      </c>
    </row>
    <row r="75" spans="1:66" hidden="1" x14ac:dyDescent="0.3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35">
      <c r="A76" t="s">
        <v>1252</v>
      </c>
      <c r="B76" t="s">
        <v>1453</v>
      </c>
      <c r="C76" t="s">
        <v>1728</v>
      </c>
      <c r="D76" t="s">
        <v>1729</v>
      </c>
      <c r="AM76">
        <v>56.4</v>
      </c>
      <c r="AX76">
        <v>57.9</v>
      </c>
    </row>
    <row r="77" spans="1:66" x14ac:dyDescent="0.3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35">
      <c r="A78" t="s">
        <v>1454</v>
      </c>
      <c r="B78" t="s">
        <v>1455</v>
      </c>
      <c r="C78" t="s">
        <v>1728</v>
      </c>
      <c r="D78" t="s">
        <v>1729</v>
      </c>
      <c r="BN78" s="86"/>
    </row>
    <row r="79" spans="1:66" hidden="1" x14ac:dyDescent="0.35">
      <c r="A79" t="s">
        <v>1456</v>
      </c>
      <c r="B79" t="s">
        <v>1457</v>
      </c>
      <c r="C79" t="s">
        <v>1728</v>
      </c>
      <c r="D79" t="s">
        <v>1729</v>
      </c>
      <c r="AI79">
        <v>6.9706743775684634</v>
      </c>
      <c r="AS79">
        <v>17.056998932717931</v>
      </c>
      <c r="BC79">
        <v>20.144738028522603</v>
      </c>
      <c r="BJ79">
        <v>24.066766901603117</v>
      </c>
      <c r="BN79" s="86"/>
    </row>
    <row r="80" spans="1:66" hidden="1" x14ac:dyDescent="0.3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35">
      <c r="A81" t="s">
        <v>1222</v>
      </c>
      <c r="B81" t="s">
        <v>1459</v>
      </c>
      <c r="C81" t="s">
        <v>1728</v>
      </c>
      <c r="D81" t="s">
        <v>1729</v>
      </c>
      <c r="S81">
        <v>35.1</v>
      </c>
      <c r="BN81" s="86"/>
    </row>
    <row r="82" spans="1:66" hidden="1" x14ac:dyDescent="0.3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35">
      <c r="A83" t="s">
        <v>1461</v>
      </c>
      <c r="B83" t="s">
        <v>1462</v>
      </c>
      <c r="C83" t="s">
        <v>1728</v>
      </c>
      <c r="D83" t="s">
        <v>1729</v>
      </c>
      <c r="BN83" s="86"/>
    </row>
    <row r="84" spans="1:66" hidden="1" x14ac:dyDescent="0.35">
      <c r="A84" t="s">
        <v>1463</v>
      </c>
      <c r="B84" t="s">
        <v>1464</v>
      </c>
      <c r="C84" t="s">
        <v>1728</v>
      </c>
      <c r="D84" t="s">
        <v>1729</v>
      </c>
      <c r="BN84" s="86"/>
    </row>
    <row r="85" spans="1:66" hidden="1" x14ac:dyDescent="0.35">
      <c r="A85" t="s">
        <v>1088</v>
      </c>
      <c r="B85" t="s">
        <v>1465</v>
      </c>
      <c r="C85" t="s">
        <v>1728</v>
      </c>
      <c r="D85" t="s">
        <v>1729</v>
      </c>
      <c r="AS85">
        <v>13.4</v>
      </c>
      <c r="BE85">
        <v>19.399999999999999</v>
      </c>
      <c r="BN85" s="86"/>
    </row>
    <row r="86" spans="1:66" hidden="1" x14ac:dyDescent="0.3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1122</v>
      </c>
      <c r="B87" t="s">
        <v>1467</v>
      </c>
      <c r="C87" t="s">
        <v>1728</v>
      </c>
      <c r="D87" t="s">
        <v>1729</v>
      </c>
      <c r="AR87">
        <v>19.8</v>
      </c>
      <c r="AS87">
        <v>19.8</v>
      </c>
      <c r="AX87">
        <v>19.8</v>
      </c>
      <c r="AY87">
        <v>31.1</v>
      </c>
      <c r="BB87">
        <v>26.7</v>
      </c>
      <c r="BC87">
        <v>34.700000000000003</v>
      </c>
      <c r="BK87">
        <v>32.700000000000003</v>
      </c>
      <c r="BN87" s="86"/>
    </row>
    <row r="88" spans="1:66" hidden="1" x14ac:dyDescent="0.3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1469</v>
      </c>
      <c r="B89" t="s">
        <v>1470</v>
      </c>
      <c r="C89" t="s">
        <v>1728</v>
      </c>
      <c r="D89" t="s">
        <v>1729</v>
      </c>
      <c r="BN89" s="86"/>
    </row>
    <row r="90" spans="1:66" hidden="1" x14ac:dyDescent="0.35">
      <c r="A90" t="s">
        <v>1098</v>
      </c>
      <c r="B90" t="s">
        <v>1471</v>
      </c>
      <c r="C90" t="s">
        <v>1728</v>
      </c>
      <c r="D90" t="s">
        <v>1729</v>
      </c>
      <c r="AK90">
        <v>1</v>
      </c>
      <c r="AL90">
        <v>1</v>
      </c>
      <c r="AR90">
        <v>4.2</v>
      </c>
      <c r="AX90">
        <v>5.7</v>
      </c>
      <c r="BE90">
        <v>4.5999999999999996</v>
      </c>
      <c r="BI90">
        <v>7.8</v>
      </c>
      <c r="BK90">
        <v>10.3</v>
      </c>
      <c r="BN90" s="86"/>
    </row>
    <row r="91" spans="1:66" hidden="1" x14ac:dyDescent="0.35">
      <c r="A91" t="s">
        <v>1472</v>
      </c>
      <c r="B91" t="s">
        <v>1473</v>
      </c>
      <c r="C91" t="s">
        <v>1728</v>
      </c>
      <c r="D91" t="s">
        <v>1729</v>
      </c>
      <c r="AI91">
        <v>6.7</v>
      </c>
      <c r="AS91">
        <v>8.6999999999999993</v>
      </c>
      <c r="AT91">
        <v>12.7</v>
      </c>
      <c r="BC91">
        <v>8.5</v>
      </c>
      <c r="BF91">
        <v>8.1</v>
      </c>
      <c r="BK91">
        <v>16.3</v>
      </c>
      <c r="BM91">
        <v>17.100000000000001</v>
      </c>
      <c r="BN91" s="86"/>
    </row>
    <row r="92" spans="1:66" hidden="1" x14ac:dyDescent="0.35">
      <c r="A92" t="s">
        <v>1099</v>
      </c>
      <c r="B92" t="s">
        <v>1474</v>
      </c>
      <c r="C92" t="s">
        <v>1728</v>
      </c>
      <c r="D92" t="s">
        <v>1729</v>
      </c>
      <c r="AS92">
        <v>4.5</v>
      </c>
      <c r="AY92">
        <v>9.6</v>
      </c>
      <c r="BC92">
        <v>13.1</v>
      </c>
      <c r="BG92">
        <v>14.4</v>
      </c>
      <c r="BL92">
        <v>20.2</v>
      </c>
      <c r="BN92" s="86"/>
    </row>
    <row r="93" spans="1:66" hidden="1" x14ac:dyDescent="0.35">
      <c r="A93" t="s">
        <v>1087</v>
      </c>
      <c r="B93" t="s">
        <v>1475</v>
      </c>
      <c r="C93" t="s">
        <v>1728</v>
      </c>
      <c r="D93" t="s">
        <v>1729</v>
      </c>
      <c r="AS93">
        <v>6.5</v>
      </c>
      <c r="BD93">
        <v>9.5</v>
      </c>
      <c r="BN93" s="86"/>
    </row>
    <row r="94" spans="1:66" hidden="1" x14ac:dyDescent="0.35">
      <c r="A94" t="s">
        <v>1265</v>
      </c>
      <c r="B94" t="s">
        <v>1476</v>
      </c>
      <c r="C94" t="s">
        <v>1728</v>
      </c>
      <c r="D94" t="s">
        <v>1729</v>
      </c>
      <c r="AB94">
        <v>31.6</v>
      </c>
      <c r="AR94">
        <v>33.6</v>
      </c>
      <c r="AT94">
        <v>45.9</v>
      </c>
      <c r="BN94" s="86"/>
    </row>
    <row r="95" spans="1:66" hidden="1" x14ac:dyDescent="0.35">
      <c r="A95" t="s">
        <v>1184</v>
      </c>
      <c r="B95" t="s">
        <v>1477</v>
      </c>
      <c r="C95" t="s">
        <v>1728</v>
      </c>
      <c r="D95" t="s">
        <v>1729</v>
      </c>
      <c r="AD95">
        <v>27.3</v>
      </c>
      <c r="AI95">
        <v>52.1</v>
      </c>
      <c r="BN95" s="86"/>
    </row>
    <row r="96" spans="1:66" hidden="1" x14ac:dyDescent="0.35">
      <c r="A96" t="s">
        <v>1478</v>
      </c>
      <c r="B96" t="s">
        <v>1479</v>
      </c>
      <c r="C96" t="s">
        <v>1728</v>
      </c>
      <c r="D96" t="s">
        <v>1729</v>
      </c>
      <c r="BN96" s="86"/>
    </row>
    <row r="97" spans="1:66" hidden="1" x14ac:dyDescent="0.35">
      <c r="A97" t="s">
        <v>1198</v>
      </c>
      <c r="B97" t="s">
        <v>1480</v>
      </c>
      <c r="C97" t="s">
        <v>1728</v>
      </c>
      <c r="D97" t="s">
        <v>1729</v>
      </c>
      <c r="W97">
        <v>15.2</v>
      </c>
      <c r="AB97">
        <v>20.6</v>
      </c>
      <c r="AF97">
        <v>19.100000000000001</v>
      </c>
      <c r="AN97">
        <v>26.9</v>
      </c>
      <c r="AR97">
        <v>30.9</v>
      </c>
      <c r="AU97">
        <v>34.5</v>
      </c>
      <c r="BB97">
        <v>44</v>
      </c>
      <c r="BH97">
        <v>48.9</v>
      </c>
      <c r="BN97" s="86"/>
    </row>
    <row r="98" spans="1:66" hidden="1" x14ac:dyDescent="0.35">
      <c r="A98" t="s">
        <v>1228</v>
      </c>
      <c r="B98" t="s">
        <v>1481</v>
      </c>
      <c r="C98" t="s">
        <v>1728</v>
      </c>
      <c r="D98" t="s">
        <v>1729</v>
      </c>
      <c r="AU98">
        <v>58.3</v>
      </c>
      <c r="BN98" s="86"/>
    </row>
    <row r="99" spans="1:66" hidden="1" x14ac:dyDescent="0.35">
      <c r="A99" t="s">
        <v>1211</v>
      </c>
      <c r="B99" t="s">
        <v>1482</v>
      </c>
      <c r="C99" t="s">
        <v>1728</v>
      </c>
      <c r="D99" t="s">
        <v>1729</v>
      </c>
      <c r="T99">
        <v>23.4</v>
      </c>
      <c r="AK99">
        <v>36.9</v>
      </c>
      <c r="AS99">
        <v>36.299999999999997</v>
      </c>
      <c r="AX99">
        <v>33.6</v>
      </c>
      <c r="AY99">
        <v>33</v>
      </c>
      <c r="AZ99">
        <v>33</v>
      </c>
      <c r="BB99">
        <v>40</v>
      </c>
      <c r="BG99">
        <v>32.5</v>
      </c>
      <c r="BN99" s="86"/>
    </row>
    <row r="100" spans="1:66" hidden="1" x14ac:dyDescent="0.35">
      <c r="A100" t="s">
        <v>1483</v>
      </c>
      <c r="B100" t="s">
        <v>1484</v>
      </c>
      <c r="C100" t="s">
        <v>1728</v>
      </c>
      <c r="D100" t="s">
        <v>1729</v>
      </c>
      <c r="AI100">
        <v>62.358209176801232</v>
      </c>
      <c r="AS100">
        <v>66.623126410012702</v>
      </c>
      <c r="BN100" s="86"/>
    </row>
    <row r="101" spans="1:66" hidden="1" x14ac:dyDescent="0.3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35">
      <c r="A103" t="s">
        <v>1488</v>
      </c>
      <c r="B103" t="s">
        <v>1489</v>
      </c>
      <c r="C103" t="s">
        <v>1728</v>
      </c>
      <c r="D103" t="s">
        <v>1729</v>
      </c>
      <c r="AI103">
        <v>5.5597444521443471</v>
      </c>
      <c r="AS103">
        <v>12.139790619301492</v>
      </c>
      <c r="BC103">
        <v>20.22477169081025</v>
      </c>
      <c r="BJ103">
        <v>26.686730700532966</v>
      </c>
      <c r="BN103" s="86"/>
    </row>
    <row r="104" spans="1:66" hidden="1" x14ac:dyDescent="0.35">
      <c r="A104" t="s">
        <v>1264</v>
      </c>
      <c r="B104" t="s">
        <v>1490</v>
      </c>
      <c r="C104" t="s">
        <v>1728</v>
      </c>
      <c r="D104" t="s">
        <v>1729</v>
      </c>
      <c r="O104">
        <v>7</v>
      </c>
      <c r="BN104" s="86"/>
    </row>
    <row r="105" spans="1:66" hidden="1" x14ac:dyDescent="0.3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3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35">
      <c r="A107" t="s">
        <v>1493</v>
      </c>
      <c r="B107" t="s">
        <v>1494</v>
      </c>
      <c r="C107" t="s">
        <v>1728</v>
      </c>
      <c r="D107" t="s">
        <v>1729</v>
      </c>
      <c r="AI107">
        <v>59.544368418512754</v>
      </c>
      <c r="AS107">
        <v>61.769007454525742</v>
      </c>
      <c r="BJ107">
        <v>61.169515606261442</v>
      </c>
      <c r="BN107" s="86"/>
    </row>
    <row r="108" spans="1:66" hidden="1" x14ac:dyDescent="0.35">
      <c r="A108" t="s">
        <v>1495</v>
      </c>
      <c r="B108" t="s">
        <v>1496</v>
      </c>
      <c r="C108" t="s">
        <v>1728</v>
      </c>
      <c r="D108" t="s">
        <v>1729</v>
      </c>
      <c r="AI108">
        <v>51.333503465717193</v>
      </c>
      <c r="AS108">
        <v>53.476094893081004</v>
      </c>
      <c r="BC108">
        <v>44.534836559611563</v>
      </c>
      <c r="BJ108">
        <v>53.353280864362901</v>
      </c>
      <c r="BN108" s="86"/>
    </row>
    <row r="109" spans="1:66" hidden="1" x14ac:dyDescent="0.35">
      <c r="A109" t="s">
        <v>1497</v>
      </c>
      <c r="B109" t="s">
        <v>1498</v>
      </c>
      <c r="C109" t="s">
        <v>1728</v>
      </c>
      <c r="D109" t="s">
        <v>1729</v>
      </c>
      <c r="AI109">
        <v>11.898754124018946</v>
      </c>
      <c r="AS109">
        <v>21.840676772838354</v>
      </c>
      <c r="BC109">
        <v>26.817318363299293</v>
      </c>
      <c r="BJ109">
        <v>31.342561968024381</v>
      </c>
      <c r="BN109" s="86"/>
    </row>
    <row r="110" spans="1:66" hidden="1" x14ac:dyDescent="0.35">
      <c r="A110" t="s">
        <v>1499</v>
      </c>
      <c r="B110" t="s">
        <v>1500</v>
      </c>
      <c r="C110" t="s">
        <v>1728</v>
      </c>
      <c r="D110" t="s">
        <v>1729</v>
      </c>
      <c r="AI110">
        <v>8.8016008142949218</v>
      </c>
      <c r="AS110">
        <v>21.405928214563129</v>
      </c>
      <c r="BC110">
        <v>20.735152966124531</v>
      </c>
      <c r="BJ110">
        <v>23.822484829020137</v>
      </c>
      <c r="BN110" s="86"/>
    </row>
    <row r="111" spans="1:66" hidden="1" x14ac:dyDescent="0.3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1502</v>
      </c>
      <c r="B112" t="s">
        <v>1503</v>
      </c>
      <c r="C112" t="s">
        <v>1728</v>
      </c>
      <c r="D112" t="s">
        <v>1729</v>
      </c>
      <c r="AI112">
        <v>13.71379372190542</v>
      </c>
      <c r="AS112">
        <v>22.064417746598192</v>
      </c>
      <c r="BC112">
        <v>29.696910692493006</v>
      </c>
      <c r="BJ112">
        <v>35.067694960697722</v>
      </c>
      <c r="BN112" s="86"/>
    </row>
    <row r="113" spans="1:66" hidden="1" x14ac:dyDescent="0.35">
      <c r="A113" t="s">
        <v>1504</v>
      </c>
      <c r="B113" t="s">
        <v>1505</v>
      </c>
      <c r="C113" t="s">
        <v>1728</v>
      </c>
      <c r="D113" t="s">
        <v>1729</v>
      </c>
      <c r="BN113" s="86"/>
    </row>
    <row r="114" spans="1:66" hidden="1" x14ac:dyDescent="0.3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35">
      <c r="A115" t="s">
        <v>1507</v>
      </c>
      <c r="B115" t="s">
        <v>1508</v>
      </c>
      <c r="C115" t="s">
        <v>1728</v>
      </c>
      <c r="D115" t="s">
        <v>1729</v>
      </c>
      <c r="BN115" s="86"/>
    </row>
    <row r="116" spans="1:66" hidden="1" x14ac:dyDescent="0.35">
      <c r="A116" t="s">
        <v>1255</v>
      </c>
      <c r="B116" t="s">
        <v>1509</v>
      </c>
      <c r="C116" t="s">
        <v>1728</v>
      </c>
      <c r="D116" t="s">
        <v>1729</v>
      </c>
      <c r="AQ116">
        <v>67.599999999999994</v>
      </c>
      <c r="AU116">
        <v>66</v>
      </c>
      <c r="AW116">
        <v>69.880952380952394</v>
      </c>
      <c r="AX116">
        <v>61.4</v>
      </c>
      <c r="BC116">
        <v>70.906949352178998</v>
      </c>
      <c r="BN116" s="86"/>
    </row>
    <row r="117" spans="1:66" hidden="1" x14ac:dyDescent="0.3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35">
      <c r="A118" t="s">
        <v>1123</v>
      </c>
      <c r="B118" t="s">
        <v>1512</v>
      </c>
      <c r="C118" t="s">
        <v>1728</v>
      </c>
      <c r="D118" t="s">
        <v>1729</v>
      </c>
      <c r="S118">
        <v>12.9</v>
      </c>
      <c r="AH118">
        <v>10.4</v>
      </c>
      <c r="AS118">
        <v>25.4</v>
      </c>
      <c r="AY118">
        <v>32.799999999999997</v>
      </c>
      <c r="BD118">
        <v>33.799999999999997</v>
      </c>
      <c r="BK118">
        <v>36.1</v>
      </c>
      <c r="BN118" s="86"/>
    </row>
    <row r="119" spans="1:66" hidden="1" x14ac:dyDescent="0.35">
      <c r="A119" t="s">
        <v>1254</v>
      </c>
      <c r="B119" t="s">
        <v>1513</v>
      </c>
      <c r="C119" t="s">
        <v>1728</v>
      </c>
      <c r="D119" t="s">
        <v>1729</v>
      </c>
      <c r="BN119" s="86"/>
    </row>
    <row r="120" spans="1:66" hidden="1" x14ac:dyDescent="0.35">
      <c r="A120" t="s">
        <v>1124</v>
      </c>
      <c r="B120" t="s">
        <v>1514</v>
      </c>
      <c r="C120" t="s">
        <v>1728</v>
      </c>
      <c r="D120" t="s">
        <v>1729</v>
      </c>
      <c r="AG120">
        <v>51.9</v>
      </c>
      <c r="BN120" s="86"/>
    </row>
    <row r="121" spans="1:66" hidden="1" x14ac:dyDescent="0.35">
      <c r="A121" t="s">
        <v>1266</v>
      </c>
      <c r="B121" t="s">
        <v>1515</v>
      </c>
      <c r="C121" t="s">
        <v>1728</v>
      </c>
      <c r="D121" t="s">
        <v>1729</v>
      </c>
      <c r="X121">
        <v>32.700000000000003</v>
      </c>
      <c r="AO121">
        <v>40.6</v>
      </c>
      <c r="BF121">
        <v>51.8</v>
      </c>
      <c r="BN121" s="86"/>
    </row>
    <row r="122" spans="1:66" hidden="1" x14ac:dyDescent="0.3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3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1138</v>
      </c>
      <c r="B125" t="s">
        <v>1519</v>
      </c>
      <c r="C125" t="s">
        <v>1728</v>
      </c>
      <c r="D125" t="s">
        <v>1729</v>
      </c>
      <c r="AN125">
        <v>46.1</v>
      </c>
      <c r="AR125">
        <v>54.3</v>
      </c>
      <c r="AY125">
        <v>49.4</v>
      </c>
      <c r="BD125">
        <v>49.8</v>
      </c>
      <c r="BH125">
        <v>53.6</v>
      </c>
      <c r="BK125">
        <v>50.09</v>
      </c>
      <c r="BN125" s="86"/>
    </row>
    <row r="126" spans="1:66" hidden="1" x14ac:dyDescent="0.3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1521</v>
      </c>
      <c r="B127" t="s">
        <v>1522</v>
      </c>
      <c r="C127" t="s">
        <v>1728</v>
      </c>
      <c r="D127" t="s">
        <v>1729</v>
      </c>
      <c r="AP127">
        <v>48.9</v>
      </c>
      <c r="AY127">
        <v>45.8</v>
      </c>
      <c r="BE127">
        <v>33.700000000000003</v>
      </c>
      <c r="BG127">
        <v>40</v>
      </c>
      <c r="BJ127">
        <v>49</v>
      </c>
      <c r="BK127">
        <v>37.799999999999997</v>
      </c>
      <c r="BN127" s="86"/>
    </row>
    <row r="128" spans="1:66" hidden="1" x14ac:dyDescent="0.3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35">
      <c r="A129" t="s">
        <v>1229</v>
      </c>
      <c r="B129" t="s">
        <v>1524</v>
      </c>
      <c r="C129" t="s">
        <v>1728</v>
      </c>
      <c r="D129" t="s">
        <v>1729</v>
      </c>
      <c r="AS129">
        <v>31.1</v>
      </c>
      <c r="BB129">
        <v>18</v>
      </c>
      <c r="BL129">
        <v>27.2</v>
      </c>
      <c r="BN129" s="86"/>
    </row>
    <row r="130" spans="1:66" hidden="1" x14ac:dyDescent="0.35">
      <c r="A130" t="s">
        <v>1525</v>
      </c>
      <c r="B130" t="s">
        <v>1526</v>
      </c>
      <c r="C130" t="s">
        <v>1728</v>
      </c>
      <c r="D130" t="s">
        <v>1729</v>
      </c>
      <c r="AC130">
        <v>37</v>
      </c>
      <c r="BN130" s="86"/>
    </row>
    <row r="131" spans="1:66" hidden="1" x14ac:dyDescent="0.3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1126</v>
      </c>
      <c r="B132" t="s">
        <v>1529</v>
      </c>
      <c r="C132" t="s">
        <v>1728</v>
      </c>
      <c r="D132" t="s">
        <v>1729</v>
      </c>
      <c r="AD132">
        <v>37.299999999999997</v>
      </c>
      <c r="AF132">
        <v>31.7</v>
      </c>
      <c r="AM132">
        <v>47.4</v>
      </c>
      <c r="AO132">
        <v>40.9</v>
      </c>
      <c r="AR132">
        <v>39.299999999999997</v>
      </c>
      <c r="BN132" s="86"/>
    </row>
    <row r="133" spans="1:66" hidden="1" x14ac:dyDescent="0.35">
      <c r="A133" t="s">
        <v>1530</v>
      </c>
      <c r="B133" t="s">
        <v>1531</v>
      </c>
      <c r="C133" t="s">
        <v>1728</v>
      </c>
      <c r="D133" t="s">
        <v>1729</v>
      </c>
      <c r="BN133" s="86"/>
    </row>
    <row r="134" spans="1:66" hidden="1" x14ac:dyDescent="0.35">
      <c r="A134" t="s">
        <v>1532</v>
      </c>
      <c r="B134" t="s">
        <v>1533</v>
      </c>
      <c r="C134" t="s">
        <v>1728</v>
      </c>
      <c r="D134" t="s">
        <v>1729</v>
      </c>
      <c r="AL134">
        <v>15.1</v>
      </c>
      <c r="AS134">
        <v>28.9</v>
      </c>
      <c r="AX134">
        <v>35</v>
      </c>
      <c r="BE134">
        <v>42.7</v>
      </c>
      <c r="BJ134">
        <v>49</v>
      </c>
      <c r="BN134" s="86"/>
    </row>
    <row r="135" spans="1:66" hidden="1" x14ac:dyDescent="0.35">
      <c r="A135" t="s">
        <v>1127</v>
      </c>
      <c r="B135" t="s">
        <v>1534</v>
      </c>
      <c r="C135" t="s">
        <v>1728</v>
      </c>
      <c r="D135" t="s">
        <v>1729</v>
      </c>
      <c r="P135">
        <v>23</v>
      </c>
      <c r="AC135">
        <v>46.7</v>
      </c>
      <c r="AO135">
        <v>37.200000000000003</v>
      </c>
      <c r="AS135">
        <v>40.4</v>
      </c>
      <c r="AW135">
        <v>34.200000000000003</v>
      </c>
      <c r="BB135">
        <v>46.8</v>
      </c>
      <c r="BN135" s="86"/>
    </row>
    <row r="136" spans="1:66" hidden="1" x14ac:dyDescent="0.35">
      <c r="A136" t="s">
        <v>1100</v>
      </c>
      <c r="B136" t="s">
        <v>1535</v>
      </c>
      <c r="C136" t="s">
        <v>1728</v>
      </c>
      <c r="D136" t="s">
        <v>1729</v>
      </c>
      <c r="AE136">
        <v>5.5</v>
      </c>
      <c r="AZ136">
        <v>10.3</v>
      </c>
      <c r="BF136">
        <v>19.100000000000001</v>
      </c>
      <c r="BI136">
        <v>30.2</v>
      </c>
      <c r="BM136">
        <v>23.8</v>
      </c>
      <c r="BN136" s="86"/>
    </row>
    <row r="137" spans="1:66" hidden="1" x14ac:dyDescent="0.35">
      <c r="A137" t="s">
        <v>1112</v>
      </c>
      <c r="B137" t="s">
        <v>1536</v>
      </c>
      <c r="C137" t="s">
        <v>1728</v>
      </c>
      <c r="D137" t="s">
        <v>1729</v>
      </c>
      <c r="AN137">
        <v>25.7</v>
      </c>
      <c r="AV137">
        <v>23.7</v>
      </c>
      <c r="AZ137">
        <v>20.399999999999999</v>
      </c>
      <c r="BG137">
        <v>16.3</v>
      </c>
      <c r="BN137" s="86"/>
    </row>
    <row r="138" spans="1:66" hidden="1" x14ac:dyDescent="0.35">
      <c r="A138" t="s">
        <v>1537</v>
      </c>
      <c r="B138" t="s">
        <v>1538</v>
      </c>
      <c r="C138" t="s">
        <v>1728</v>
      </c>
      <c r="D138" t="s">
        <v>1729</v>
      </c>
      <c r="Z138">
        <v>50.7</v>
      </c>
      <c r="AG138">
        <v>45.9</v>
      </c>
      <c r="BE138">
        <v>52.5</v>
      </c>
      <c r="BN138" s="86"/>
    </row>
    <row r="139" spans="1:66" hidden="1" x14ac:dyDescent="0.35">
      <c r="A139" t="s">
        <v>1539</v>
      </c>
      <c r="B139" t="s">
        <v>1540</v>
      </c>
      <c r="C139" t="s">
        <v>1728</v>
      </c>
      <c r="D139" t="s">
        <v>1729</v>
      </c>
      <c r="BN139" s="86"/>
    </row>
    <row r="140" spans="1:66" hidden="1" x14ac:dyDescent="0.35">
      <c r="A140" t="s">
        <v>1541</v>
      </c>
      <c r="B140" t="s">
        <v>1542</v>
      </c>
      <c r="C140" t="s">
        <v>1728</v>
      </c>
      <c r="D140" t="s">
        <v>1729</v>
      </c>
      <c r="AI140">
        <v>13.657033344503597</v>
      </c>
      <c r="AS140">
        <v>21.094790035580274</v>
      </c>
      <c r="BC140">
        <v>29.252902714689203</v>
      </c>
      <c r="BJ140">
        <v>35.187941070601156</v>
      </c>
      <c r="BN140" s="86"/>
    </row>
    <row r="141" spans="1:66" hidden="1" x14ac:dyDescent="0.35">
      <c r="A141" t="s">
        <v>1543</v>
      </c>
      <c r="B141" t="s">
        <v>1544</v>
      </c>
      <c r="C141" t="s">
        <v>1728</v>
      </c>
      <c r="D141" t="s">
        <v>1729</v>
      </c>
      <c r="AI141">
        <v>9.9744231466827742</v>
      </c>
      <c r="AS141">
        <v>14.036427019605622</v>
      </c>
      <c r="BC141">
        <v>21.317700477030844</v>
      </c>
      <c r="BJ141">
        <v>28.152851492084451</v>
      </c>
      <c r="BN141" s="86"/>
    </row>
    <row r="142" spans="1:66" hidden="1" x14ac:dyDescent="0.35">
      <c r="A142" t="s">
        <v>1545</v>
      </c>
      <c r="B142" t="s">
        <v>1546</v>
      </c>
      <c r="C142" t="s">
        <v>1728</v>
      </c>
      <c r="D142" t="s">
        <v>1729</v>
      </c>
      <c r="BN142" s="86"/>
    </row>
    <row r="143" spans="1:66" hidden="1" x14ac:dyDescent="0.3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35">
      <c r="A144" t="s">
        <v>1548</v>
      </c>
      <c r="B144" t="s">
        <v>1549</v>
      </c>
      <c r="C144" t="s">
        <v>1728</v>
      </c>
      <c r="D144" t="s">
        <v>1729</v>
      </c>
      <c r="AI144">
        <v>33.877738499912546</v>
      </c>
      <c r="AS144">
        <v>39.989501951125554</v>
      </c>
      <c r="BC144">
        <v>45.271869015143622</v>
      </c>
      <c r="BJ144">
        <v>44.613452061523944</v>
      </c>
      <c r="BN144" s="86"/>
    </row>
    <row r="145" spans="1:66" hidden="1" x14ac:dyDescent="0.35">
      <c r="A145" t="s">
        <v>1550</v>
      </c>
      <c r="B145" t="s">
        <v>1551</v>
      </c>
      <c r="C145" t="s">
        <v>1728</v>
      </c>
      <c r="D145" t="s">
        <v>1729</v>
      </c>
      <c r="AI145">
        <v>51.599088938009317</v>
      </c>
      <c r="AS145">
        <v>53.486466774357936</v>
      </c>
      <c r="BC145">
        <v>44.78749584899208</v>
      </c>
      <c r="BJ145">
        <v>53.37546004436895</v>
      </c>
      <c r="BN145" s="86"/>
    </row>
    <row r="146" spans="1:66" hidden="1" x14ac:dyDescent="0.3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1553</v>
      </c>
      <c r="B147" t="s">
        <v>1554</v>
      </c>
      <c r="C147" t="s">
        <v>1728</v>
      </c>
      <c r="D147" t="s">
        <v>1729</v>
      </c>
      <c r="AI147">
        <v>76.275994842826989</v>
      </c>
      <c r="AS147">
        <v>79.921719026934753</v>
      </c>
      <c r="BJ147">
        <v>75.740393869379716</v>
      </c>
      <c r="BN147" s="86"/>
    </row>
    <row r="148" spans="1:66" hidden="1" x14ac:dyDescent="0.35">
      <c r="A148" t="s">
        <v>1257</v>
      </c>
      <c r="B148" t="s">
        <v>1555</v>
      </c>
      <c r="C148" t="s">
        <v>1728</v>
      </c>
      <c r="D148" t="s">
        <v>1729</v>
      </c>
      <c r="AN148">
        <v>33.200000000000003</v>
      </c>
      <c r="AY148">
        <v>50.4</v>
      </c>
      <c r="BB148">
        <v>52.1676300578035</v>
      </c>
      <c r="BN148" s="86"/>
    </row>
    <row r="149" spans="1:66" hidden="1" x14ac:dyDescent="0.35">
      <c r="A149" t="s">
        <v>1279</v>
      </c>
      <c r="B149" t="s">
        <v>1556</v>
      </c>
      <c r="C149" t="s">
        <v>1728</v>
      </c>
      <c r="D149" t="s">
        <v>1729</v>
      </c>
      <c r="BN149" s="86"/>
    </row>
    <row r="150" spans="1:66" hidden="1" x14ac:dyDescent="0.35">
      <c r="A150" t="s">
        <v>1256</v>
      </c>
      <c r="B150" t="s">
        <v>1557</v>
      </c>
      <c r="C150" t="s">
        <v>1728</v>
      </c>
      <c r="D150" t="s">
        <v>1729</v>
      </c>
      <c r="AN150">
        <v>55.5</v>
      </c>
      <c r="BN150" s="86"/>
    </row>
    <row r="151" spans="1:66" hidden="1" x14ac:dyDescent="0.35">
      <c r="A151" t="s">
        <v>1558</v>
      </c>
      <c r="B151" t="s">
        <v>1559</v>
      </c>
      <c r="C151" t="s">
        <v>1728</v>
      </c>
      <c r="D151" t="s">
        <v>1729</v>
      </c>
      <c r="BN151" s="86"/>
    </row>
    <row r="152" spans="1:66" hidden="1" x14ac:dyDescent="0.35">
      <c r="A152" t="s">
        <v>1560</v>
      </c>
      <c r="B152" t="s">
        <v>1561</v>
      </c>
      <c r="C152" t="s">
        <v>1728</v>
      </c>
      <c r="D152" t="s">
        <v>1729</v>
      </c>
      <c r="BN152" s="86"/>
    </row>
    <row r="153" spans="1:66" hidden="1" x14ac:dyDescent="0.3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35">
      <c r="A154" t="s">
        <v>1563</v>
      </c>
      <c r="B154" t="s">
        <v>1564</v>
      </c>
      <c r="C154" t="s">
        <v>1728</v>
      </c>
      <c r="D154" t="s">
        <v>1729</v>
      </c>
      <c r="BN154" s="86"/>
    </row>
    <row r="155" spans="1:66" hidden="1" x14ac:dyDescent="0.35">
      <c r="A155" t="s">
        <v>1565</v>
      </c>
      <c r="B155" t="s">
        <v>1566</v>
      </c>
      <c r="C155" t="s">
        <v>1728</v>
      </c>
      <c r="D155" t="s">
        <v>1729</v>
      </c>
      <c r="AP155">
        <v>49.9</v>
      </c>
      <c r="AS155">
        <v>43.7</v>
      </c>
      <c r="AX155">
        <v>43.9</v>
      </c>
      <c r="BE155">
        <v>41.7</v>
      </c>
      <c r="BM155">
        <v>43.89</v>
      </c>
      <c r="BN155" s="86"/>
    </row>
    <row r="156" spans="1:66" hidden="1" x14ac:dyDescent="0.3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35">
      <c r="A157" t="s">
        <v>1149</v>
      </c>
      <c r="B157" t="s">
        <v>1568</v>
      </c>
      <c r="C157" t="s">
        <v>1728</v>
      </c>
      <c r="D157" t="s">
        <v>1729</v>
      </c>
      <c r="AJ157">
        <v>19</v>
      </c>
      <c r="AR157">
        <v>33</v>
      </c>
      <c r="AW157">
        <v>34</v>
      </c>
      <c r="BB157">
        <v>27</v>
      </c>
      <c r="BJ157">
        <v>14.7</v>
      </c>
      <c r="BN157" s="86"/>
    </row>
    <row r="158" spans="1:66" hidden="1" x14ac:dyDescent="0.35">
      <c r="A158" t="s">
        <v>1569</v>
      </c>
      <c r="B158" t="s">
        <v>1570</v>
      </c>
      <c r="C158" t="s">
        <v>1728</v>
      </c>
      <c r="D158" t="s">
        <v>1729</v>
      </c>
      <c r="AI158">
        <v>34.275896326155568</v>
      </c>
      <c r="AS158">
        <v>49.618322255286728</v>
      </c>
      <c r="BC158">
        <v>51.583380306844695</v>
      </c>
      <c r="BN158" s="86"/>
    </row>
    <row r="159" spans="1:66" hidden="1" x14ac:dyDescent="0.3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1572</v>
      </c>
      <c r="B160" t="s">
        <v>1573</v>
      </c>
      <c r="C160" t="s">
        <v>1728</v>
      </c>
      <c r="D160" t="s">
        <v>1729</v>
      </c>
      <c r="O160">
        <v>18.100000000000001</v>
      </c>
      <c r="AD160">
        <v>19.399999999999999</v>
      </c>
      <c r="AZ160">
        <v>42.4</v>
      </c>
      <c r="BN160" s="86"/>
    </row>
    <row r="161" spans="1:66" hidden="1" x14ac:dyDescent="0.35">
      <c r="A161" t="s">
        <v>1574</v>
      </c>
      <c r="B161" t="s">
        <v>1575</v>
      </c>
      <c r="C161" t="s">
        <v>1728</v>
      </c>
      <c r="D161" t="s">
        <v>1729</v>
      </c>
      <c r="AI161">
        <v>53.977893456758842</v>
      </c>
      <c r="AS161">
        <v>56.361245539656366</v>
      </c>
      <c r="BJ161">
        <v>56.010354019056933</v>
      </c>
      <c r="BN161" s="86"/>
    </row>
    <row r="162" spans="1:66" hidden="1" x14ac:dyDescent="0.35">
      <c r="A162" t="s">
        <v>1269</v>
      </c>
      <c r="B162" t="s">
        <v>1576</v>
      </c>
      <c r="C162" t="s">
        <v>1728</v>
      </c>
      <c r="D162" t="s">
        <v>1729</v>
      </c>
      <c r="O162">
        <v>3.1</v>
      </c>
      <c r="BD162">
        <v>12.8</v>
      </c>
      <c r="BL162">
        <v>14</v>
      </c>
      <c r="BN162" s="86"/>
    </row>
    <row r="163" spans="1:66" hidden="1" x14ac:dyDescent="0.3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35">
      <c r="A164" t="s">
        <v>1267</v>
      </c>
      <c r="B164" t="s">
        <v>1578</v>
      </c>
      <c r="C164" t="s">
        <v>1728</v>
      </c>
      <c r="D164" t="s">
        <v>1729</v>
      </c>
      <c r="P164">
        <v>16</v>
      </c>
      <c r="AL164">
        <v>46</v>
      </c>
      <c r="BN164" s="86"/>
    </row>
    <row r="165" spans="1:66" hidden="1" x14ac:dyDescent="0.35">
      <c r="A165" t="s">
        <v>1169</v>
      </c>
      <c r="B165" t="s">
        <v>1579</v>
      </c>
      <c r="C165" t="s">
        <v>1728</v>
      </c>
      <c r="D165" t="s">
        <v>1729</v>
      </c>
      <c r="AJ165">
        <v>13.6</v>
      </c>
      <c r="AP165">
        <v>28.3</v>
      </c>
      <c r="AT165">
        <v>32.799999999999997</v>
      </c>
      <c r="AZ165">
        <v>38.4</v>
      </c>
      <c r="BC165">
        <v>45.8</v>
      </c>
      <c r="BI165">
        <v>51.3</v>
      </c>
      <c r="BN165" s="86"/>
    </row>
    <row r="166" spans="1:66" hidden="1" x14ac:dyDescent="0.35">
      <c r="A166" t="s">
        <v>1580</v>
      </c>
      <c r="B166" t="s">
        <v>1581</v>
      </c>
      <c r="C166" t="s">
        <v>1728</v>
      </c>
      <c r="D166" t="s">
        <v>1729</v>
      </c>
      <c r="AI166">
        <v>34.040256345668169</v>
      </c>
      <c r="AS166">
        <v>49.956660565034376</v>
      </c>
      <c r="BC166">
        <v>51.95426356216084</v>
      </c>
      <c r="BN166" s="86"/>
    </row>
    <row r="167" spans="1:66" hidden="1" x14ac:dyDescent="0.35">
      <c r="A167" t="s">
        <v>1268</v>
      </c>
      <c r="B167" t="s">
        <v>1582</v>
      </c>
      <c r="C167" t="s">
        <v>1728</v>
      </c>
      <c r="D167" t="s">
        <v>1729</v>
      </c>
      <c r="O167">
        <v>7</v>
      </c>
      <c r="AS167">
        <v>30.7</v>
      </c>
      <c r="AY167">
        <v>17.399999999999999</v>
      </c>
      <c r="BF167">
        <v>15.4</v>
      </c>
      <c r="BK167">
        <v>11.6</v>
      </c>
      <c r="BN167" s="86"/>
    </row>
    <row r="168" spans="1:66" hidden="1" x14ac:dyDescent="0.3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35">
      <c r="A169" t="s">
        <v>1584</v>
      </c>
      <c r="B169" t="s">
        <v>1585</v>
      </c>
      <c r="C169" t="s">
        <v>1728</v>
      </c>
      <c r="D169" t="s">
        <v>1729</v>
      </c>
      <c r="O169">
        <v>16</v>
      </c>
      <c r="BN169" s="86"/>
    </row>
    <row r="170" spans="1:66" hidden="1" x14ac:dyDescent="0.35">
      <c r="A170" t="s">
        <v>601</v>
      </c>
      <c r="B170" t="s">
        <v>1586</v>
      </c>
      <c r="C170" t="s">
        <v>1728</v>
      </c>
      <c r="D170" t="s">
        <v>1729</v>
      </c>
      <c r="AP170">
        <v>5.0999999999999996</v>
      </c>
      <c r="AV170">
        <v>11.7</v>
      </c>
      <c r="AW170">
        <v>11.7</v>
      </c>
      <c r="BA170">
        <v>14.7</v>
      </c>
      <c r="BB170">
        <v>10.4</v>
      </c>
      <c r="BD170">
        <v>11.3</v>
      </c>
      <c r="BH170">
        <v>25.3</v>
      </c>
      <c r="BN170" s="86"/>
    </row>
    <row r="171" spans="1:66" hidden="1" x14ac:dyDescent="0.35">
      <c r="A171" t="s">
        <v>1102</v>
      </c>
      <c r="B171" t="s">
        <v>1587</v>
      </c>
      <c r="C171" t="s">
        <v>1728</v>
      </c>
      <c r="D171" t="s">
        <v>1729</v>
      </c>
      <c r="Z171">
        <v>0.3</v>
      </c>
      <c r="AJ171">
        <v>1.2</v>
      </c>
      <c r="AT171">
        <v>5.4</v>
      </c>
      <c r="AZ171">
        <v>8</v>
      </c>
      <c r="BD171">
        <v>10.1</v>
      </c>
      <c r="BH171">
        <v>15.6</v>
      </c>
      <c r="BN171" s="86"/>
    </row>
    <row r="172" spans="1:66" hidden="1" x14ac:dyDescent="0.35">
      <c r="A172" t="s">
        <v>1076</v>
      </c>
      <c r="B172" t="s">
        <v>1588</v>
      </c>
      <c r="C172" t="s">
        <v>1728</v>
      </c>
      <c r="D172" t="s">
        <v>1729</v>
      </c>
      <c r="T172">
        <v>29.2</v>
      </c>
      <c r="AD172">
        <v>44.2</v>
      </c>
      <c r="AJ172">
        <v>49.2</v>
      </c>
      <c r="AU172">
        <v>39.299999999999997</v>
      </c>
      <c r="BG172">
        <v>32</v>
      </c>
      <c r="BN172" s="86"/>
    </row>
    <row r="173" spans="1:66" hidden="1" x14ac:dyDescent="0.3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3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35">
      <c r="A175" t="s">
        <v>1591</v>
      </c>
      <c r="B175" t="s">
        <v>1592</v>
      </c>
      <c r="C175" t="s">
        <v>1728</v>
      </c>
      <c r="D175" t="s">
        <v>1729</v>
      </c>
      <c r="AI175">
        <v>66.599999999999994</v>
      </c>
      <c r="AS175">
        <v>68.491873481454562</v>
      </c>
      <c r="BC175">
        <v>70.400000000000006</v>
      </c>
      <c r="BJ175">
        <v>66.099999999999994</v>
      </c>
      <c r="BN175" s="86"/>
    </row>
    <row r="176" spans="1:66" hidden="1" x14ac:dyDescent="0.35">
      <c r="A176" t="s">
        <v>603</v>
      </c>
      <c r="B176" t="s">
        <v>1593</v>
      </c>
      <c r="C176" t="s">
        <v>1728</v>
      </c>
      <c r="D176" t="s">
        <v>1729</v>
      </c>
      <c r="AH176">
        <v>32.1</v>
      </c>
      <c r="AK176">
        <v>26</v>
      </c>
      <c r="AS176">
        <v>42.6</v>
      </c>
      <c r="AZ176">
        <v>53.5</v>
      </c>
      <c r="BF176">
        <v>55.3</v>
      </c>
      <c r="BN176" s="86"/>
    </row>
    <row r="177" spans="1:66" hidden="1" x14ac:dyDescent="0.35">
      <c r="A177" t="s">
        <v>1223</v>
      </c>
      <c r="B177" t="s">
        <v>1594</v>
      </c>
      <c r="C177" t="s">
        <v>1728</v>
      </c>
      <c r="D177" t="s">
        <v>1729</v>
      </c>
      <c r="BN177" s="86"/>
    </row>
    <row r="178" spans="1:66" hidden="1" x14ac:dyDescent="0.3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1201</v>
      </c>
      <c r="B180" t="s">
        <v>1597</v>
      </c>
      <c r="C180" t="s">
        <v>1728</v>
      </c>
      <c r="D180" t="s">
        <v>1729</v>
      </c>
      <c r="Z180">
        <v>22.8</v>
      </c>
      <c r="AL180">
        <v>44.9</v>
      </c>
      <c r="AQ180">
        <v>57.4</v>
      </c>
      <c r="AT180">
        <v>66.099999999999994</v>
      </c>
      <c r="AZ180">
        <v>69.8</v>
      </c>
      <c r="BE180">
        <v>77.400000000000006</v>
      </c>
      <c r="BN180" s="86"/>
    </row>
    <row r="181" spans="1:66" hidden="1" x14ac:dyDescent="0.3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1258</v>
      </c>
      <c r="B182" t="s">
        <v>1599</v>
      </c>
      <c r="C182" t="s">
        <v>1728</v>
      </c>
      <c r="D182" t="s">
        <v>1729</v>
      </c>
      <c r="W182">
        <v>65.2</v>
      </c>
      <c r="AH182">
        <v>69.2</v>
      </c>
      <c r="AQ182">
        <v>78.3</v>
      </c>
      <c r="AX182">
        <v>82.2</v>
      </c>
      <c r="BN182" s="86"/>
    </row>
    <row r="183" spans="1:66" hidden="1" x14ac:dyDescent="0.3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1601</v>
      </c>
      <c r="B184" t="s">
        <v>1602</v>
      </c>
      <c r="C184" t="s">
        <v>1728</v>
      </c>
      <c r="D184" t="s">
        <v>1729</v>
      </c>
      <c r="AZ184">
        <v>25.1</v>
      </c>
      <c r="BN184" s="86"/>
    </row>
    <row r="185" spans="1:66" hidden="1" x14ac:dyDescent="0.35">
      <c r="A185" t="s">
        <v>1219</v>
      </c>
      <c r="B185" t="s">
        <v>1603</v>
      </c>
      <c r="C185" t="s">
        <v>1728</v>
      </c>
      <c r="D185" t="s">
        <v>1729</v>
      </c>
      <c r="U185">
        <v>61.5</v>
      </c>
      <c r="AN185">
        <v>72.3</v>
      </c>
      <c r="BH185">
        <v>74.7</v>
      </c>
      <c r="BN185" s="86"/>
    </row>
    <row r="186" spans="1:66" hidden="1" x14ac:dyDescent="0.35">
      <c r="A186" t="s">
        <v>1604</v>
      </c>
      <c r="B186" t="s">
        <v>1605</v>
      </c>
      <c r="C186" t="s">
        <v>1728</v>
      </c>
      <c r="D186" t="s">
        <v>1729</v>
      </c>
      <c r="AI186">
        <v>59.5124098791864</v>
      </c>
      <c r="AS186">
        <v>63.914418628955403</v>
      </c>
      <c r="BC186">
        <v>68.084516543018438</v>
      </c>
      <c r="BN186" s="86"/>
    </row>
    <row r="187" spans="1:66" hidden="1" x14ac:dyDescent="0.35">
      <c r="A187" t="s">
        <v>1128</v>
      </c>
      <c r="B187" t="s">
        <v>1606</v>
      </c>
      <c r="C187" t="s">
        <v>1728</v>
      </c>
      <c r="D187" t="s">
        <v>1729</v>
      </c>
      <c r="AH187">
        <v>7.5</v>
      </c>
      <c r="AN187">
        <v>18.2</v>
      </c>
      <c r="AS187">
        <v>24.6</v>
      </c>
      <c r="BA187">
        <v>15.3</v>
      </c>
      <c r="BG187">
        <v>18.8</v>
      </c>
      <c r="BN187" s="86"/>
    </row>
    <row r="188" spans="1:66" hidden="1" x14ac:dyDescent="0.35">
      <c r="A188" t="s">
        <v>1607</v>
      </c>
      <c r="B188" t="s">
        <v>1608</v>
      </c>
      <c r="C188" t="s">
        <v>1728</v>
      </c>
      <c r="D188" t="s">
        <v>1729</v>
      </c>
      <c r="AS188">
        <v>26.141506029600837</v>
      </c>
      <c r="BN188" s="86"/>
    </row>
    <row r="189" spans="1:66" hidden="1" x14ac:dyDescent="0.3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1202</v>
      </c>
      <c r="B190" t="s">
        <v>1610</v>
      </c>
      <c r="C190" t="s">
        <v>1728</v>
      </c>
      <c r="D190" t="s">
        <v>1729</v>
      </c>
      <c r="U190">
        <v>45.9</v>
      </c>
      <c r="X190">
        <v>54.1</v>
      </c>
      <c r="AC190">
        <v>54.2</v>
      </c>
      <c r="AD190">
        <v>54.2</v>
      </c>
      <c r="BB190">
        <v>59.5</v>
      </c>
      <c r="BF190">
        <v>60.1</v>
      </c>
      <c r="BH190">
        <v>46.9</v>
      </c>
      <c r="BN190" s="86"/>
    </row>
    <row r="191" spans="1:66" hidden="1" x14ac:dyDescent="0.3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1613</v>
      </c>
      <c r="B193" t="s">
        <v>1614</v>
      </c>
      <c r="C193" t="s">
        <v>1728</v>
      </c>
      <c r="D193" t="s">
        <v>1729</v>
      </c>
      <c r="AV193">
        <v>29.7</v>
      </c>
      <c r="BN193" s="86"/>
    </row>
    <row r="194" spans="1:66" hidden="1" x14ac:dyDescent="0.35">
      <c r="A194" t="s">
        <v>1224</v>
      </c>
      <c r="B194" t="s">
        <v>1615</v>
      </c>
      <c r="C194" t="s">
        <v>1728</v>
      </c>
      <c r="D194" t="s">
        <v>1729</v>
      </c>
      <c r="AO194">
        <v>19.600000000000001</v>
      </c>
      <c r="AP194">
        <v>19.600000000000001</v>
      </c>
      <c r="AY194">
        <v>24.3</v>
      </c>
      <c r="AZ194">
        <v>24.3</v>
      </c>
      <c r="BK194">
        <v>30.5</v>
      </c>
      <c r="BN194" s="86"/>
    </row>
    <row r="195" spans="1:66" hidden="1" x14ac:dyDescent="0.35">
      <c r="A195" t="s">
        <v>1243</v>
      </c>
      <c r="B195" t="s">
        <v>1616</v>
      </c>
      <c r="C195" t="s">
        <v>1728</v>
      </c>
      <c r="D195" t="s">
        <v>1729</v>
      </c>
      <c r="Q195">
        <v>13.2</v>
      </c>
      <c r="V195">
        <v>26.3</v>
      </c>
      <c r="AJ195">
        <v>28</v>
      </c>
      <c r="BD195">
        <v>41.2</v>
      </c>
      <c r="BN195" s="86"/>
    </row>
    <row r="196" spans="1:66" hidden="1" x14ac:dyDescent="0.35">
      <c r="A196" t="s">
        <v>1617</v>
      </c>
      <c r="B196" t="s">
        <v>1618</v>
      </c>
      <c r="C196" t="s">
        <v>1728</v>
      </c>
      <c r="D196" t="s">
        <v>1729</v>
      </c>
      <c r="AI196">
        <v>5.5019892937674904</v>
      </c>
      <c r="AS196">
        <v>12.066684000560063</v>
      </c>
      <c r="BC196">
        <v>16.819905983573118</v>
      </c>
      <c r="BJ196">
        <v>22.884442373810714</v>
      </c>
      <c r="BN196" s="86"/>
    </row>
    <row r="197" spans="1:66" hidden="1" x14ac:dyDescent="0.35">
      <c r="A197" t="s">
        <v>1189</v>
      </c>
      <c r="B197" t="s">
        <v>1619</v>
      </c>
      <c r="C197" t="s">
        <v>1728</v>
      </c>
      <c r="D197" t="s">
        <v>1729</v>
      </c>
      <c r="M197">
        <v>50.8</v>
      </c>
      <c r="S197">
        <v>55</v>
      </c>
      <c r="U197">
        <v>57.6</v>
      </c>
      <c r="AA197">
        <v>62.1</v>
      </c>
      <c r="AO197">
        <v>67.599999999999994</v>
      </c>
      <c r="AU197">
        <v>72.2</v>
      </c>
      <c r="BN197" s="86"/>
    </row>
    <row r="198" spans="1:66" hidden="1" x14ac:dyDescent="0.3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35">
      <c r="A199" t="s">
        <v>1270</v>
      </c>
      <c r="B199" t="s">
        <v>1622</v>
      </c>
      <c r="C199" t="s">
        <v>1728</v>
      </c>
      <c r="D199" t="s">
        <v>1729</v>
      </c>
      <c r="Y199">
        <v>37.799999999999997</v>
      </c>
      <c r="AP199">
        <v>70.400000000000006</v>
      </c>
      <c r="AY199">
        <v>82.5</v>
      </c>
      <c r="BG199">
        <v>67.083438816994502</v>
      </c>
      <c r="BN199" s="86"/>
    </row>
    <row r="200" spans="1:66" hidden="1" x14ac:dyDescent="0.3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3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35">
      <c r="A202" t="s">
        <v>1626</v>
      </c>
      <c r="B202" t="s">
        <v>1627</v>
      </c>
      <c r="C202" t="s">
        <v>1728</v>
      </c>
      <c r="D202" t="s">
        <v>1729</v>
      </c>
      <c r="BN202" s="86"/>
    </row>
    <row r="203" spans="1:66" hidden="1" x14ac:dyDescent="0.35">
      <c r="A203" t="s">
        <v>1628</v>
      </c>
      <c r="B203" t="s">
        <v>1629</v>
      </c>
      <c r="C203" t="s">
        <v>1728</v>
      </c>
      <c r="D203" t="s">
        <v>1729</v>
      </c>
      <c r="AI203">
        <v>64.595692648770239</v>
      </c>
      <c r="AS203">
        <v>64.380557801988985</v>
      </c>
      <c r="BC203">
        <v>69.911178900535702</v>
      </c>
      <c r="BN203" s="86"/>
    </row>
    <row r="204" spans="1:66" hidden="1" x14ac:dyDescent="0.35">
      <c r="A204" t="s">
        <v>1232</v>
      </c>
      <c r="B204" t="s">
        <v>1630</v>
      </c>
      <c r="C204" t="s">
        <v>1728</v>
      </c>
      <c r="D204" t="s">
        <v>1729</v>
      </c>
      <c r="BN204" s="86"/>
    </row>
    <row r="205" spans="1:66" hidden="1" x14ac:dyDescent="0.35">
      <c r="A205" t="s">
        <v>1129</v>
      </c>
      <c r="B205" t="s">
        <v>1631</v>
      </c>
      <c r="C205" t="s">
        <v>1728</v>
      </c>
      <c r="D205" t="s">
        <v>1729</v>
      </c>
      <c r="AF205">
        <v>28.9</v>
      </c>
      <c r="AQ205">
        <v>32.299999999999997</v>
      </c>
      <c r="BE205">
        <v>34.4</v>
      </c>
      <c r="BN205" s="86"/>
    </row>
    <row r="206" spans="1:66" hidden="1" x14ac:dyDescent="0.35">
      <c r="A206" t="s">
        <v>1245</v>
      </c>
      <c r="B206" t="s">
        <v>1632</v>
      </c>
      <c r="C206" t="s">
        <v>1728</v>
      </c>
      <c r="D206" t="s">
        <v>1729</v>
      </c>
      <c r="W206">
        <v>5.3</v>
      </c>
      <c r="AL206">
        <v>14.5</v>
      </c>
      <c r="AR206">
        <v>29.5</v>
      </c>
      <c r="AW206">
        <v>38.200000000000003</v>
      </c>
      <c r="AX206">
        <v>50.5</v>
      </c>
      <c r="BN206" s="86"/>
    </row>
    <row r="207" spans="1:66" hidden="1" x14ac:dyDescent="0.3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3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35">
      <c r="A209" t="s">
        <v>1635</v>
      </c>
      <c r="B209" t="s">
        <v>1636</v>
      </c>
      <c r="C209" t="s">
        <v>1728</v>
      </c>
      <c r="D209" t="s">
        <v>1729</v>
      </c>
      <c r="AI209">
        <v>36.020230628973458</v>
      </c>
      <c r="AS209">
        <v>39.908808721588336</v>
      </c>
      <c r="BC209">
        <v>45.162204640285495</v>
      </c>
      <c r="BJ209">
        <v>45.600981419537888</v>
      </c>
      <c r="BN209" s="86"/>
    </row>
    <row r="210" spans="1:66" hidden="1" x14ac:dyDescent="0.35">
      <c r="A210" t="s">
        <v>1130</v>
      </c>
      <c r="B210" t="s">
        <v>1637</v>
      </c>
      <c r="C210" t="s">
        <v>1728</v>
      </c>
      <c r="D210" t="s">
        <v>1729</v>
      </c>
      <c r="AP210">
        <v>28.5</v>
      </c>
      <c r="BI210">
        <v>20.8</v>
      </c>
      <c r="BN210" s="86"/>
    </row>
    <row r="211" spans="1:66" hidden="1" x14ac:dyDescent="0.35">
      <c r="A211" t="s">
        <v>1114</v>
      </c>
      <c r="B211" t="s">
        <v>1638</v>
      </c>
      <c r="C211" t="s">
        <v>1728</v>
      </c>
      <c r="D211" t="s">
        <v>1729</v>
      </c>
      <c r="X211">
        <v>3.9</v>
      </c>
      <c r="AI211">
        <v>5.6</v>
      </c>
      <c r="AL211">
        <v>6.9</v>
      </c>
      <c r="AR211">
        <v>5.4</v>
      </c>
      <c r="AY211">
        <v>9</v>
      </c>
      <c r="BC211">
        <v>8.5</v>
      </c>
      <c r="BG211">
        <v>11.7</v>
      </c>
      <c r="BN211" s="86"/>
    </row>
    <row r="212" spans="1:66" hidden="1" x14ac:dyDescent="0.3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1171</v>
      </c>
      <c r="B213" t="s">
        <v>1640</v>
      </c>
      <c r="C213" t="s">
        <v>1728</v>
      </c>
      <c r="D213" t="s">
        <v>1729</v>
      </c>
      <c r="R213">
        <v>52.8</v>
      </c>
      <c r="V213">
        <v>62.8</v>
      </c>
      <c r="AA213">
        <v>58.8</v>
      </c>
      <c r="AF213">
        <v>53</v>
      </c>
      <c r="AK213">
        <v>52</v>
      </c>
      <c r="AP213">
        <v>55</v>
      </c>
      <c r="BN213" s="86"/>
    </row>
    <row r="214" spans="1:66" hidden="1" x14ac:dyDescent="0.35">
      <c r="A214" t="s">
        <v>1225</v>
      </c>
      <c r="B214" t="s">
        <v>1641</v>
      </c>
      <c r="C214" t="s">
        <v>1728</v>
      </c>
      <c r="D214" t="s">
        <v>1729</v>
      </c>
      <c r="AZ214">
        <v>27.4</v>
      </c>
      <c r="BH214">
        <v>24.3</v>
      </c>
      <c r="BN214" s="86"/>
    </row>
    <row r="215" spans="1:66" hidden="1" x14ac:dyDescent="0.3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3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35">
      <c r="A217" t="s">
        <v>1644</v>
      </c>
      <c r="B217" t="s">
        <v>1645</v>
      </c>
      <c r="C217" t="s">
        <v>1728</v>
      </c>
      <c r="D217" t="s">
        <v>1729</v>
      </c>
      <c r="BN217" s="86"/>
    </row>
    <row r="218" spans="1:66" hidden="1" x14ac:dyDescent="0.35">
      <c r="A218" t="s">
        <v>1080</v>
      </c>
      <c r="B218" t="s">
        <v>1646</v>
      </c>
      <c r="C218" t="s">
        <v>1728</v>
      </c>
      <c r="D218" t="s">
        <v>1729</v>
      </c>
      <c r="AR218">
        <v>1</v>
      </c>
      <c r="AY218">
        <v>1.1000000000000001</v>
      </c>
      <c r="BD218">
        <v>1.5</v>
      </c>
      <c r="BL218">
        <v>0.9</v>
      </c>
      <c r="BN218" s="86"/>
    </row>
    <row r="219" spans="1:66" hidden="1" x14ac:dyDescent="0.35">
      <c r="A219" t="s">
        <v>1271</v>
      </c>
      <c r="B219" t="s">
        <v>1647</v>
      </c>
      <c r="C219" t="s">
        <v>1728</v>
      </c>
      <c r="D219" t="s">
        <v>1729</v>
      </c>
      <c r="O219">
        <v>3.7</v>
      </c>
      <c r="AS219">
        <v>33</v>
      </c>
      <c r="AY219">
        <v>18.899999999999999</v>
      </c>
      <c r="BC219">
        <v>22.3</v>
      </c>
      <c r="BG219">
        <v>18.399999999999999</v>
      </c>
      <c r="BL219">
        <v>21.4</v>
      </c>
      <c r="BN219" s="86"/>
    </row>
    <row r="220" spans="1:66" hidden="1" x14ac:dyDescent="0.35">
      <c r="A220" t="s">
        <v>1648</v>
      </c>
      <c r="B220" t="s">
        <v>1649</v>
      </c>
      <c r="C220" t="s">
        <v>1728</v>
      </c>
      <c r="D220" t="s">
        <v>1729</v>
      </c>
      <c r="AI220">
        <v>10.535110005132699</v>
      </c>
      <c r="AS220">
        <v>15.861261662699617</v>
      </c>
      <c r="BC220">
        <v>18.901557813527596</v>
      </c>
      <c r="BJ220">
        <v>27.530043697602235</v>
      </c>
      <c r="BN220" s="86"/>
    </row>
    <row r="221" spans="1:66" hidden="1" x14ac:dyDescent="0.35">
      <c r="A221" t="s">
        <v>1081</v>
      </c>
      <c r="B221" t="s">
        <v>1650</v>
      </c>
      <c r="C221" t="s">
        <v>1728</v>
      </c>
      <c r="D221" t="s">
        <v>1729</v>
      </c>
      <c r="AY221">
        <v>3.3</v>
      </c>
      <c r="BC221">
        <v>1.7</v>
      </c>
      <c r="BD221">
        <v>6.5</v>
      </c>
      <c r="BH221">
        <v>5</v>
      </c>
      <c r="BN221" s="86"/>
    </row>
    <row r="222" spans="1:66" hidden="1" x14ac:dyDescent="0.35">
      <c r="A222" t="s">
        <v>1651</v>
      </c>
      <c r="B222" t="s">
        <v>1652</v>
      </c>
      <c r="C222" t="s">
        <v>1728</v>
      </c>
      <c r="D222" t="s">
        <v>1729</v>
      </c>
      <c r="AI222">
        <v>10.535110005132696</v>
      </c>
      <c r="AS222">
        <v>15.861261662699617</v>
      </c>
      <c r="BC222">
        <v>18.901557813527599</v>
      </c>
      <c r="BJ222">
        <v>27.530043697602231</v>
      </c>
      <c r="BN222" s="86"/>
    </row>
    <row r="223" spans="1:66" hidden="1" x14ac:dyDescent="0.35">
      <c r="A223" t="s">
        <v>1653</v>
      </c>
      <c r="B223" t="s">
        <v>1654</v>
      </c>
      <c r="C223" t="s">
        <v>1728</v>
      </c>
      <c r="D223" t="s">
        <v>1729</v>
      </c>
      <c r="AS223">
        <v>27.711031718142401</v>
      </c>
      <c r="BN223" s="86"/>
    </row>
    <row r="224" spans="1:66" hidden="1" x14ac:dyDescent="0.35">
      <c r="A224" t="s">
        <v>1089</v>
      </c>
      <c r="B224" t="s">
        <v>1655</v>
      </c>
      <c r="C224" t="s">
        <v>1728</v>
      </c>
      <c r="D224" t="s">
        <v>1729</v>
      </c>
      <c r="AS224">
        <v>28</v>
      </c>
      <c r="AY224">
        <v>28.5</v>
      </c>
      <c r="BB224">
        <v>33.700000000000003</v>
      </c>
      <c r="BG224">
        <v>37.4</v>
      </c>
      <c r="BL224">
        <v>46.1</v>
      </c>
      <c r="BN224" s="86"/>
    </row>
    <row r="225" spans="1:66" hidden="1" x14ac:dyDescent="0.35">
      <c r="A225" t="s">
        <v>1214</v>
      </c>
      <c r="B225" t="s">
        <v>1656</v>
      </c>
      <c r="C225" t="s">
        <v>1728</v>
      </c>
      <c r="D225" t="s">
        <v>1729</v>
      </c>
      <c r="AK225">
        <v>46.6</v>
      </c>
      <c r="AS225">
        <v>40.700000000000003</v>
      </c>
      <c r="AY225">
        <v>45</v>
      </c>
      <c r="BC225">
        <v>47.2</v>
      </c>
      <c r="BK225">
        <v>38.5</v>
      </c>
      <c r="BN225" s="86"/>
    </row>
    <row r="226" spans="1:66" hidden="1" x14ac:dyDescent="0.35">
      <c r="A226" t="s">
        <v>1657</v>
      </c>
      <c r="B226" t="s">
        <v>1658</v>
      </c>
      <c r="C226" t="s">
        <v>1728</v>
      </c>
      <c r="D226" t="s">
        <v>1729</v>
      </c>
      <c r="AJ226">
        <v>41</v>
      </c>
      <c r="AP226">
        <v>65.599999999999994</v>
      </c>
      <c r="BN226" s="86"/>
    </row>
    <row r="227" spans="1:66" hidden="1" x14ac:dyDescent="0.35">
      <c r="A227" t="s">
        <v>1272</v>
      </c>
      <c r="B227" t="s">
        <v>1659</v>
      </c>
      <c r="C227" t="s">
        <v>1728</v>
      </c>
      <c r="D227" t="s">
        <v>1729</v>
      </c>
      <c r="O227">
        <v>14.2</v>
      </c>
      <c r="AN227">
        <v>63.2</v>
      </c>
      <c r="BN227" s="86"/>
    </row>
    <row r="228" spans="1:66" hidden="1" x14ac:dyDescent="0.35">
      <c r="A228" t="s">
        <v>1259</v>
      </c>
      <c r="B228" t="s">
        <v>1660</v>
      </c>
      <c r="C228" t="s">
        <v>1728</v>
      </c>
      <c r="D228" t="s">
        <v>1729</v>
      </c>
      <c r="Z228">
        <v>72</v>
      </c>
      <c r="AO228">
        <v>64.8</v>
      </c>
      <c r="BF228">
        <v>68.8</v>
      </c>
      <c r="BJ228">
        <v>68.099999999999994</v>
      </c>
      <c r="BN228" s="86"/>
    </row>
    <row r="229" spans="1:66" hidden="1" x14ac:dyDescent="0.3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35">
      <c r="A230" t="s">
        <v>1662</v>
      </c>
      <c r="B230" t="s">
        <v>1663</v>
      </c>
      <c r="C230" t="s">
        <v>1728</v>
      </c>
      <c r="D230" t="s">
        <v>1729</v>
      </c>
      <c r="BN230" s="86"/>
    </row>
    <row r="231" spans="1:66" hidden="1" x14ac:dyDescent="0.35">
      <c r="A231" t="s">
        <v>1079</v>
      </c>
      <c r="B231" t="s">
        <v>1664</v>
      </c>
      <c r="C231" t="s">
        <v>1728</v>
      </c>
      <c r="D231" t="s">
        <v>1729</v>
      </c>
      <c r="BN231" s="86"/>
    </row>
    <row r="232" spans="1:66" hidden="1" x14ac:dyDescent="0.35">
      <c r="A232" t="s">
        <v>1132</v>
      </c>
      <c r="B232" t="s">
        <v>1665</v>
      </c>
      <c r="C232" t="s">
        <v>1728</v>
      </c>
      <c r="D232" t="s">
        <v>1729</v>
      </c>
      <c r="W232">
        <v>22.4</v>
      </c>
      <c r="AL232">
        <v>28.3</v>
      </c>
      <c r="AT232">
        <v>35.1</v>
      </c>
      <c r="AY232">
        <v>46.6</v>
      </c>
      <c r="BB232">
        <v>37.5</v>
      </c>
      <c r="BN232" s="86"/>
    </row>
    <row r="233" spans="1:66" hidden="1" x14ac:dyDescent="0.35">
      <c r="A233" t="s">
        <v>1666</v>
      </c>
      <c r="B233" t="s">
        <v>1667</v>
      </c>
      <c r="C233" t="s">
        <v>1728</v>
      </c>
      <c r="D233" t="s">
        <v>1729</v>
      </c>
      <c r="BN233" s="86"/>
    </row>
    <row r="234" spans="1:66" hidden="1" x14ac:dyDescent="0.35">
      <c r="A234" t="s">
        <v>1085</v>
      </c>
      <c r="B234" t="s">
        <v>1668</v>
      </c>
      <c r="C234" t="s">
        <v>1728</v>
      </c>
      <c r="D234" t="s">
        <v>1729</v>
      </c>
      <c r="AP234">
        <v>1.2</v>
      </c>
      <c r="AS234">
        <v>6.4</v>
      </c>
      <c r="AW234">
        <v>1.7</v>
      </c>
      <c r="BC234">
        <v>4.5</v>
      </c>
      <c r="BH234">
        <v>5</v>
      </c>
      <c r="BL234">
        <v>6.7</v>
      </c>
      <c r="BN234" s="86"/>
    </row>
    <row r="235" spans="1:66" hidden="1" x14ac:dyDescent="0.35">
      <c r="A235" t="s">
        <v>1669</v>
      </c>
      <c r="B235" t="s">
        <v>1670</v>
      </c>
      <c r="C235" t="s">
        <v>1728</v>
      </c>
      <c r="D235" t="s">
        <v>1729</v>
      </c>
      <c r="AI235">
        <v>74.344760907810937</v>
      </c>
      <c r="AS235">
        <v>76.324711379774996</v>
      </c>
      <c r="BJ235">
        <v>71.510219915722203</v>
      </c>
      <c r="BN235" s="86"/>
    </row>
    <row r="236" spans="1:66" hidden="1" x14ac:dyDescent="0.35">
      <c r="A236" t="s">
        <v>1671</v>
      </c>
      <c r="B236" t="s">
        <v>1672</v>
      </c>
      <c r="C236" t="s">
        <v>1728</v>
      </c>
      <c r="D236" t="s">
        <v>1729</v>
      </c>
      <c r="BC236">
        <v>46.320135014112168</v>
      </c>
      <c r="BN236" s="86"/>
    </row>
    <row r="237" spans="1:66" hidden="1" x14ac:dyDescent="0.35">
      <c r="A237" t="s">
        <v>1107</v>
      </c>
      <c r="B237" t="s">
        <v>1673</v>
      </c>
      <c r="C237" t="s">
        <v>1728</v>
      </c>
      <c r="D237" t="s">
        <v>1729</v>
      </c>
      <c r="AG237">
        <v>3.1</v>
      </c>
      <c r="AQ237">
        <v>7</v>
      </c>
      <c r="AS237">
        <v>13.3</v>
      </c>
      <c r="AY237">
        <v>11.6</v>
      </c>
      <c r="BC237">
        <v>13.7</v>
      </c>
      <c r="BG237">
        <v>17.2</v>
      </c>
      <c r="BJ237">
        <v>21.5</v>
      </c>
      <c r="BN237" s="86"/>
    </row>
    <row r="238" spans="1:66" hidden="1" x14ac:dyDescent="0.3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1140</v>
      </c>
      <c r="B239" t="s">
        <v>1675</v>
      </c>
      <c r="C239" t="s">
        <v>1728</v>
      </c>
      <c r="D239" t="s">
        <v>1729</v>
      </c>
      <c r="AS239">
        <v>28.3</v>
      </c>
      <c r="AX239">
        <v>36.200000000000003</v>
      </c>
      <c r="AZ239">
        <v>31.7</v>
      </c>
      <c r="BE239">
        <v>25.8</v>
      </c>
      <c r="BJ239">
        <v>27.1</v>
      </c>
      <c r="BN239" s="86"/>
    </row>
    <row r="240" spans="1:66" hidden="1" x14ac:dyDescent="0.35">
      <c r="A240" t="s">
        <v>1141</v>
      </c>
      <c r="B240" t="s">
        <v>1676</v>
      </c>
      <c r="C240" t="s">
        <v>1728</v>
      </c>
      <c r="D240" t="s">
        <v>1729</v>
      </c>
      <c r="AS240">
        <v>45.2</v>
      </c>
      <c r="AY240">
        <v>46.9</v>
      </c>
      <c r="BH240">
        <v>47.1</v>
      </c>
      <c r="BI240">
        <v>47.1</v>
      </c>
      <c r="BL240">
        <v>47.3</v>
      </c>
      <c r="BN240" s="86"/>
    </row>
    <row r="241" spans="1:66" hidden="1" x14ac:dyDescent="0.35">
      <c r="A241" t="s">
        <v>1677</v>
      </c>
      <c r="B241" t="s">
        <v>1678</v>
      </c>
      <c r="C241" t="s">
        <v>1728</v>
      </c>
      <c r="D241" t="s">
        <v>1729</v>
      </c>
      <c r="BN241" s="86"/>
    </row>
    <row r="242" spans="1:66" hidden="1" x14ac:dyDescent="0.3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35">
      <c r="A243" t="s">
        <v>1680</v>
      </c>
      <c r="B243" t="s">
        <v>1681</v>
      </c>
      <c r="C243" t="s">
        <v>1728</v>
      </c>
      <c r="D243" t="s">
        <v>1729</v>
      </c>
      <c r="AI243">
        <v>34.040256345668169</v>
      </c>
      <c r="AS243">
        <v>50.103479569329643</v>
      </c>
      <c r="BC243">
        <v>52.040610005849487</v>
      </c>
      <c r="BN243" s="86"/>
    </row>
    <row r="244" spans="1:66" hidden="1" x14ac:dyDescent="0.35">
      <c r="A244" t="s">
        <v>1234</v>
      </c>
      <c r="B244" t="s">
        <v>1682</v>
      </c>
      <c r="C244" t="s">
        <v>1728</v>
      </c>
      <c r="D244" t="s">
        <v>1729</v>
      </c>
      <c r="BE244">
        <v>28.4</v>
      </c>
      <c r="BL244">
        <v>25.2</v>
      </c>
      <c r="BN244" s="86"/>
    </row>
    <row r="245" spans="1:66" hidden="1" x14ac:dyDescent="0.35">
      <c r="A245" t="s">
        <v>1683</v>
      </c>
      <c r="B245" t="s">
        <v>1684</v>
      </c>
      <c r="C245" t="s">
        <v>1728</v>
      </c>
      <c r="D245" t="s">
        <v>1729</v>
      </c>
      <c r="AI245">
        <v>36.020230628973458</v>
      </c>
      <c r="AS245">
        <v>39.908808721588329</v>
      </c>
      <c r="BC245">
        <v>45.162204640285502</v>
      </c>
      <c r="BJ245">
        <v>45.600981419537895</v>
      </c>
      <c r="BN245" s="86"/>
    </row>
    <row r="246" spans="1:66" hidden="1" x14ac:dyDescent="0.35">
      <c r="A246" t="s">
        <v>1685</v>
      </c>
      <c r="B246" t="s">
        <v>1686</v>
      </c>
      <c r="C246" t="s">
        <v>1728</v>
      </c>
      <c r="D246" t="s">
        <v>1729</v>
      </c>
      <c r="AI246">
        <v>10.535110005132697</v>
      </c>
      <c r="AS246">
        <v>15.861261662699624</v>
      </c>
      <c r="BC246">
        <v>18.901557813527599</v>
      </c>
      <c r="BJ246">
        <v>27.530043697602235</v>
      </c>
      <c r="BN246" s="86"/>
    </row>
    <row r="247" spans="1:66" hidden="1" x14ac:dyDescent="0.35">
      <c r="A247" t="s">
        <v>1192</v>
      </c>
      <c r="B247" t="s">
        <v>1687</v>
      </c>
      <c r="C247" t="s">
        <v>1728</v>
      </c>
      <c r="D247" t="s">
        <v>1729</v>
      </c>
      <c r="P247">
        <v>36.5</v>
      </c>
      <c r="V247">
        <v>53.4</v>
      </c>
      <c r="AF247">
        <v>44.4</v>
      </c>
      <c r="AS247">
        <v>33.299999999999997</v>
      </c>
      <c r="AY247">
        <v>38.1</v>
      </c>
      <c r="BD247">
        <v>37.6</v>
      </c>
      <c r="BN247" s="86"/>
    </row>
    <row r="248" spans="1:66" hidden="1" x14ac:dyDescent="0.3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3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1690</v>
      </c>
      <c r="B250" t="s">
        <v>1691</v>
      </c>
      <c r="C250" t="s">
        <v>1728</v>
      </c>
      <c r="D250" t="s">
        <v>1729</v>
      </c>
      <c r="AZ250">
        <v>22.4</v>
      </c>
      <c r="BN250" s="86"/>
    </row>
    <row r="251" spans="1:66" hidden="1" x14ac:dyDescent="0.35">
      <c r="A251" t="s">
        <v>1692</v>
      </c>
      <c r="B251" t="s">
        <v>1693</v>
      </c>
      <c r="C251" t="s">
        <v>1728</v>
      </c>
      <c r="D251" t="s">
        <v>1729</v>
      </c>
      <c r="AK251">
        <v>6.6</v>
      </c>
      <c r="AM251">
        <v>13.1</v>
      </c>
      <c r="AO251">
        <v>13.3</v>
      </c>
      <c r="AR251">
        <v>18.8</v>
      </c>
      <c r="AW251">
        <v>23.4</v>
      </c>
      <c r="AX251">
        <v>20</v>
      </c>
      <c r="BC251">
        <v>27.4</v>
      </c>
      <c r="BI251">
        <v>32</v>
      </c>
      <c r="BN251" s="86"/>
    </row>
    <row r="252" spans="1:66" hidden="1" x14ac:dyDescent="0.3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1248</v>
      </c>
      <c r="B253" t="s">
        <v>1695</v>
      </c>
      <c r="C253" t="s">
        <v>1728</v>
      </c>
      <c r="D253" t="s">
        <v>1729</v>
      </c>
      <c r="AR253">
        <v>37.6</v>
      </c>
      <c r="AX253">
        <v>58.5</v>
      </c>
      <c r="AZ253">
        <v>47.5</v>
      </c>
      <c r="BE253">
        <v>47.8</v>
      </c>
      <c r="BN253" s="86"/>
    </row>
    <row r="254" spans="1:66" hidden="1" x14ac:dyDescent="0.35">
      <c r="A254" t="s">
        <v>1696</v>
      </c>
      <c r="B254" t="s">
        <v>1697</v>
      </c>
      <c r="C254" t="s">
        <v>1728</v>
      </c>
      <c r="D254" t="s">
        <v>1729</v>
      </c>
      <c r="AI254">
        <v>75.194862660775925</v>
      </c>
      <c r="AS254">
        <v>77.254867767247703</v>
      </c>
      <c r="BJ254">
        <v>73.097506712649249</v>
      </c>
      <c r="BN254" s="86"/>
    </row>
    <row r="255" spans="1:66" hidden="1" x14ac:dyDescent="0.35">
      <c r="A255" t="s">
        <v>1215</v>
      </c>
      <c r="B255" t="s">
        <v>1698</v>
      </c>
      <c r="C255" t="s">
        <v>1728</v>
      </c>
      <c r="D255" t="s">
        <v>1729</v>
      </c>
      <c r="AE255">
        <v>72.400000000000006</v>
      </c>
      <c r="AW255">
        <v>74.8</v>
      </c>
      <c r="BH255">
        <v>78.274219633171299</v>
      </c>
      <c r="BN255" s="86"/>
    </row>
    <row r="256" spans="1:66" hidden="1" x14ac:dyDescent="0.3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1142</v>
      </c>
      <c r="B257" t="s">
        <v>1701</v>
      </c>
      <c r="C257" t="s">
        <v>1728</v>
      </c>
      <c r="D257" t="s">
        <v>1729</v>
      </c>
      <c r="AO257">
        <v>51.3</v>
      </c>
      <c r="AS257">
        <v>63.6</v>
      </c>
      <c r="AU257">
        <v>62.8</v>
      </c>
      <c r="AY257">
        <v>61.9</v>
      </c>
      <c r="BN257" s="86"/>
    </row>
    <row r="258" spans="1:66" hidden="1" x14ac:dyDescent="0.35">
      <c r="A258" t="s">
        <v>1702</v>
      </c>
      <c r="B258" t="s">
        <v>1703</v>
      </c>
      <c r="C258" t="s">
        <v>1728</v>
      </c>
      <c r="D258" t="s">
        <v>1729</v>
      </c>
      <c r="Z258">
        <v>51.6</v>
      </c>
      <c r="AG258">
        <v>55.9</v>
      </c>
      <c r="BN258" s="86"/>
    </row>
    <row r="259" spans="1:66" hidden="1" x14ac:dyDescent="0.35">
      <c r="A259" t="s">
        <v>1704</v>
      </c>
      <c r="B259" t="s">
        <v>1705</v>
      </c>
      <c r="C259" t="s">
        <v>1728</v>
      </c>
      <c r="D259" t="s">
        <v>1729</v>
      </c>
      <c r="V259">
        <v>46.1</v>
      </c>
      <c r="AL259">
        <v>54.5</v>
      </c>
      <c r="AQ259">
        <v>61.7</v>
      </c>
      <c r="BN259" s="86"/>
    </row>
    <row r="260" spans="1:66" hidden="1" x14ac:dyDescent="0.35">
      <c r="A260" t="s">
        <v>1706</v>
      </c>
      <c r="B260" t="s">
        <v>1707</v>
      </c>
      <c r="C260" t="s">
        <v>1728</v>
      </c>
      <c r="D260" t="s">
        <v>1729</v>
      </c>
      <c r="BN260" s="86"/>
    </row>
    <row r="261" spans="1:66" hidden="1" x14ac:dyDescent="0.35">
      <c r="A261" t="s">
        <v>1708</v>
      </c>
      <c r="B261" t="s">
        <v>1709</v>
      </c>
      <c r="C261" t="s">
        <v>1728</v>
      </c>
      <c r="D261" t="s">
        <v>1729</v>
      </c>
      <c r="AU261">
        <v>72.599999999999994</v>
      </c>
      <c r="BN261" s="86"/>
    </row>
    <row r="262" spans="1:66" hidden="1" x14ac:dyDescent="0.3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1226</v>
      </c>
      <c r="B263" t="s">
        <v>1712</v>
      </c>
      <c r="C263" t="s">
        <v>1728</v>
      </c>
      <c r="D263" t="s">
        <v>1729</v>
      </c>
      <c r="AC263">
        <v>20.8</v>
      </c>
      <c r="AN263">
        <v>32.1</v>
      </c>
      <c r="AZ263">
        <v>37</v>
      </c>
      <c r="BF263">
        <v>37.1</v>
      </c>
      <c r="BN263" s="86"/>
    </row>
    <row r="264" spans="1:66" hidden="1" x14ac:dyDescent="0.35">
      <c r="A264" t="s">
        <v>1022</v>
      </c>
      <c r="B264" t="s">
        <v>1713</v>
      </c>
      <c r="C264" t="s">
        <v>1728</v>
      </c>
      <c r="D264" t="s">
        <v>1729</v>
      </c>
      <c r="AI264">
        <v>53.495480705570358</v>
      </c>
      <c r="AS264">
        <v>55.41656771461178</v>
      </c>
      <c r="BC264">
        <v>48.415906173198515</v>
      </c>
      <c r="BJ264">
        <v>53.803504118733848</v>
      </c>
      <c r="BN264" s="86"/>
    </row>
    <row r="265" spans="1:66" hidden="1" x14ac:dyDescent="0.35">
      <c r="A265" t="s">
        <v>1233</v>
      </c>
      <c r="B265" t="s">
        <v>1714</v>
      </c>
      <c r="C265" t="s">
        <v>1728</v>
      </c>
      <c r="D265" t="s">
        <v>1729</v>
      </c>
      <c r="AQ265">
        <v>23.2</v>
      </c>
      <c r="BB265">
        <v>26.7</v>
      </c>
      <c r="BG265">
        <v>24.3</v>
      </c>
      <c r="BN265" s="86"/>
    </row>
    <row r="266" spans="1:66" hidden="1" x14ac:dyDescent="0.35">
      <c r="A266" t="s">
        <v>1715</v>
      </c>
      <c r="B266" t="s">
        <v>1716</v>
      </c>
      <c r="C266" t="s">
        <v>1728</v>
      </c>
      <c r="D266" t="s">
        <v>1729</v>
      </c>
      <c r="BN266" s="86"/>
    </row>
    <row r="267" spans="1:66" hidden="1" x14ac:dyDescent="0.35">
      <c r="A267" t="s">
        <v>1717</v>
      </c>
      <c r="B267" t="s">
        <v>1718</v>
      </c>
      <c r="C267" t="s">
        <v>1728</v>
      </c>
      <c r="D267" t="s">
        <v>1729</v>
      </c>
      <c r="X267">
        <v>1.6</v>
      </c>
      <c r="AK267">
        <v>6.1</v>
      </c>
      <c r="AP267">
        <v>9.8000000000000007</v>
      </c>
      <c r="AV267">
        <v>13.4</v>
      </c>
      <c r="AY267">
        <v>19.2</v>
      </c>
      <c r="BF267">
        <v>25.2</v>
      </c>
      <c r="BN267" s="86"/>
    </row>
    <row r="268" spans="1:66" hidden="1" x14ac:dyDescent="0.35">
      <c r="A268" t="s">
        <v>607</v>
      </c>
      <c r="B268" t="s">
        <v>1719</v>
      </c>
      <c r="C268" t="s">
        <v>1728</v>
      </c>
      <c r="D268" t="s">
        <v>1729</v>
      </c>
      <c r="AG268">
        <v>48.4</v>
      </c>
      <c r="AH268">
        <v>48.4</v>
      </c>
      <c r="AQ268">
        <v>55.1</v>
      </c>
      <c r="AV268">
        <v>59.8</v>
      </c>
      <c r="AW268">
        <v>59.8</v>
      </c>
      <c r="BI268">
        <v>54</v>
      </c>
      <c r="BN268" s="86"/>
    </row>
    <row r="269" spans="1:66" hidden="1" x14ac:dyDescent="0.3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3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1731</v>
      </c>
    </row>
    <row r="273" spans="8:66" s="1" customFormat="1" x14ac:dyDescent="0.35">
      <c r="BH273" s="1">
        <f>BH272+BH77</f>
        <v>60.3</v>
      </c>
      <c r="BI273" s="1">
        <f>BI272+BI77</f>
        <v>57.400000000000006</v>
      </c>
      <c r="BJ273" s="1">
        <f>BJ272+BJ77</f>
        <v>58.045380301448304</v>
      </c>
      <c r="BK273" s="1">
        <f>BK272+BK77</f>
        <v>58.4</v>
      </c>
      <c r="BN273" s="87" t="s">
        <v>1732</v>
      </c>
    </row>
    <row r="274" spans="8:66" s="1" customFormat="1" x14ac:dyDescent="0.35">
      <c r="I274" s="1" t="s">
        <v>1724</v>
      </c>
      <c r="BN274" s="87" t="s">
        <v>1733</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1737</v>
      </c>
      <c r="D5" t="s">
        <v>1738</v>
      </c>
    </row>
    <row r="6" spans="1:65" hidden="1" x14ac:dyDescent="0.35">
      <c r="A6" t="s">
        <v>1359</v>
      </c>
      <c r="B6" t="s">
        <v>1360</v>
      </c>
      <c r="C6" t="s">
        <v>1737</v>
      </c>
      <c r="D6" t="s">
        <v>1738</v>
      </c>
      <c r="BC6">
        <v>25.432069149232998</v>
      </c>
      <c r="BJ6">
        <v>22.321067933728632</v>
      </c>
    </row>
    <row r="7" spans="1:65" hidden="1" x14ac:dyDescent="0.35">
      <c r="A7" t="s">
        <v>1144</v>
      </c>
      <c r="B7" t="s">
        <v>1361</v>
      </c>
      <c r="C7" t="s">
        <v>1737</v>
      </c>
      <c r="D7" t="s">
        <v>1738</v>
      </c>
      <c r="BI7">
        <v>24.5</v>
      </c>
    </row>
    <row r="8" spans="1:65" hidden="1" x14ac:dyDescent="0.35">
      <c r="A8" t="s">
        <v>1362</v>
      </c>
      <c r="B8" t="s">
        <v>1363</v>
      </c>
      <c r="C8" t="s">
        <v>1737</v>
      </c>
      <c r="D8" t="s">
        <v>1738</v>
      </c>
      <c r="AI8">
        <v>23.558726346809131</v>
      </c>
      <c r="AS8">
        <v>23.690605164947261</v>
      </c>
      <c r="BC8">
        <v>22.771091977052873</v>
      </c>
      <c r="BJ8">
        <v>22.958818927252459</v>
      </c>
    </row>
    <row r="9" spans="1:65" hidden="1" x14ac:dyDescent="0.35">
      <c r="A9" t="s">
        <v>1083</v>
      </c>
      <c r="B9" t="s">
        <v>1364</v>
      </c>
      <c r="C9" t="s">
        <v>1737</v>
      </c>
      <c r="D9" t="s">
        <v>1738</v>
      </c>
      <c r="BI9">
        <v>38</v>
      </c>
    </row>
    <row r="10" spans="1:65" hidden="1" x14ac:dyDescent="0.35">
      <c r="A10" t="s">
        <v>1262</v>
      </c>
      <c r="B10" t="s">
        <v>1365</v>
      </c>
      <c r="C10" t="s">
        <v>1737</v>
      </c>
      <c r="D10" t="s">
        <v>1738</v>
      </c>
      <c r="BB10">
        <v>12.9</v>
      </c>
      <c r="BK10">
        <v>15.1</v>
      </c>
    </row>
    <row r="11" spans="1:65" hidden="1" x14ac:dyDescent="0.35">
      <c r="A11" t="s">
        <v>1366</v>
      </c>
      <c r="B11" t="s">
        <v>1367</v>
      </c>
      <c r="C11" t="s">
        <v>1737</v>
      </c>
      <c r="D11" t="s">
        <v>1738</v>
      </c>
    </row>
    <row r="12" spans="1:65" hidden="1" x14ac:dyDescent="0.35">
      <c r="A12" t="s">
        <v>1368</v>
      </c>
      <c r="B12" t="s">
        <v>1369</v>
      </c>
      <c r="C12" t="s">
        <v>1737</v>
      </c>
      <c r="D12" t="s">
        <v>1738</v>
      </c>
      <c r="BC12">
        <v>14.241775777841585</v>
      </c>
    </row>
    <row r="13" spans="1:65" hidden="1" x14ac:dyDescent="0.35">
      <c r="A13" t="s">
        <v>1134</v>
      </c>
      <c r="B13" t="s">
        <v>1370</v>
      </c>
      <c r="C13" t="s">
        <v>1737</v>
      </c>
      <c r="D13" t="s">
        <v>1738</v>
      </c>
    </row>
    <row r="14" spans="1:65" hidden="1" x14ac:dyDescent="0.35">
      <c r="A14" t="s">
        <v>1204</v>
      </c>
      <c r="B14" t="s">
        <v>1371</v>
      </c>
      <c r="C14" t="s">
        <v>1737</v>
      </c>
      <c r="D14" t="s">
        <v>1738</v>
      </c>
    </row>
    <row r="15" spans="1:65" hidden="1" x14ac:dyDescent="0.35">
      <c r="A15" t="s">
        <v>1118</v>
      </c>
      <c r="B15" t="s">
        <v>1372</v>
      </c>
      <c r="C15" t="s">
        <v>1737</v>
      </c>
      <c r="D15" t="s">
        <v>1738</v>
      </c>
      <c r="AS15">
        <v>18.100000000000001</v>
      </c>
      <c r="AX15">
        <v>19.3</v>
      </c>
      <c r="BC15">
        <v>13.5</v>
      </c>
      <c r="BH15">
        <v>12.5</v>
      </c>
      <c r="BI15">
        <v>12.5</v>
      </c>
    </row>
    <row r="16" spans="1:65" hidden="1" x14ac:dyDescent="0.35">
      <c r="A16" t="s">
        <v>1373</v>
      </c>
      <c r="B16" t="s">
        <v>1374</v>
      </c>
      <c r="C16" t="s">
        <v>1737</v>
      </c>
      <c r="D16" t="s">
        <v>1738</v>
      </c>
    </row>
    <row r="17" spans="1:65" hidden="1" x14ac:dyDescent="0.35">
      <c r="A17" t="s">
        <v>1177</v>
      </c>
      <c r="B17" t="s">
        <v>1375</v>
      </c>
      <c r="C17" t="s">
        <v>1737</v>
      </c>
      <c r="D17" t="s">
        <v>1738</v>
      </c>
    </row>
    <row r="18" spans="1:65" hidden="1" x14ac:dyDescent="0.35">
      <c r="A18" t="s">
        <v>1218</v>
      </c>
      <c r="B18" t="s">
        <v>1376</v>
      </c>
      <c r="C18" t="s">
        <v>1737</v>
      </c>
      <c r="D18" t="s">
        <v>1738</v>
      </c>
    </row>
    <row r="19" spans="1:65" hidden="1" x14ac:dyDescent="0.35">
      <c r="A19" t="s">
        <v>1275</v>
      </c>
      <c r="B19" t="s">
        <v>1377</v>
      </c>
      <c r="C19" t="s">
        <v>1737</v>
      </c>
      <c r="D19" t="s">
        <v>1738</v>
      </c>
    </row>
    <row r="20" spans="1:65" hidden="1" x14ac:dyDescent="0.35">
      <c r="A20" t="s">
        <v>1119</v>
      </c>
      <c r="B20" t="s">
        <v>1378</v>
      </c>
      <c r="C20" t="s">
        <v>1737</v>
      </c>
      <c r="D20" t="s">
        <v>1738</v>
      </c>
      <c r="AT20">
        <v>11.5</v>
      </c>
      <c r="AY20">
        <v>15.4</v>
      </c>
    </row>
    <row r="21" spans="1:65" hidden="1" x14ac:dyDescent="0.35">
      <c r="A21" t="s">
        <v>587</v>
      </c>
      <c r="B21" t="s">
        <v>1379</v>
      </c>
      <c r="C21" t="s">
        <v>1737</v>
      </c>
      <c r="D21" t="s">
        <v>1738</v>
      </c>
      <c r="AF21">
        <v>25.1</v>
      </c>
      <c r="AU21">
        <v>29</v>
      </c>
      <c r="BC21">
        <v>32.4</v>
      </c>
      <c r="BD21">
        <v>32.4</v>
      </c>
      <c r="BI21">
        <v>29.7</v>
      </c>
      <c r="BJ21">
        <v>29.7</v>
      </c>
    </row>
    <row r="22" spans="1:65" hidden="1" x14ac:dyDescent="0.35">
      <c r="A22" t="s">
        <v>1276</v>
      </c>
      <c r="B22" t="s">
        <v>1380</v>
      </c>
      <c r="C22" t="s">
        <v>1737</v>
      </c>
      <c r="D22" t="s">
        <v>1738</v>
      </c>
      <c r="AK22">
        <v>3.4</v>
      </c>
    </row>
    <row r="23" spans="1:65" hidden="1" x14ac:dyDescent="0.35">
      <c r="A23" t="s">
        <v>1093</v>
      </c>
      <c r="B23" t="s">
        <v>1381</v>
      </c>
      <c r="C23" t="s">
        <v>1737</v>
      </c>
      <c r="D23" t="s">
        <v>1738</v>
      </c>
      <c r="AO23">
        <v>27.7</v>
      </c>
      <c r="AT23">
        <v>27.9</v>
      </c>
      <c r="AY23">
        <v>27.3</v>
      </c>
      <c r="BE23">
        <v>32.6</v>
      </c>
      <c r="BG23">
        <v>33.1</v>
      </c>
      <c r="BK23">
        <v>32.299999999999997</v>
      </c>
    </row>
    <row r="24" spans="1:65" hidden="1" x14ac:dyDescent="0.3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1145</v>
      </c>
      <c r="B25" t="s">
        <v>1383</v>
      </c>
      <c r="C25" t="s">
        <v>1737</v>
      </c>
      <c r="D25" t="s">
        <v>1738</v>
      </c>
      <c r="AM25">
        <v>21.6</v>
      </c>
      <c r="AP25">
        <v>19.7</v>
      </c>
      <c r="AS25">
        <v>18.2</v>
      </c>
      <c r="AW25">
        <v>15</v>
      </c>
      <c r="AZ25">
        <v>16.8</v>
      </c>
      <c r="BD25">
        <v>13.5</v>
      </c>
      <c r="BF25">
        <v>13.9</v>
      </c>
      <c r="BG25">
        <v>12</v>
      </c>
      <c r="BL25">
        <v>13.7</v>
      </c>
    </row>
    <row r="26" spans="1:65" hidden="1" x14ac:dyDescent="0.35">
      <c r="A26" t="s">
        <v>1240</v>
      </c>
      <c r="B26" t="s">
        <v>1384</v>
      </c>
      <c r="C26" t="s">
        <v>1737</v>
      </c>
      <c r="D26" t="s">
        <v>1738</v>
      </c>
      <c r="AQ26">
        <v>29.7</v>
      </c>
    </row>
    <row r="27" spans="1:65" hidden="1" x14ac:dyDescent="0.35">
      <c r="A27" t="s">
        <v>1120</v>
      </c>
      <c r="B27" t="s">
        <v>1385</v>
      </c>
      <c r="C27" t="s">
        <v>1737</v>
      </c>
      <c r="D27" t="s">
        <v>1738</v>
      </c>
    </row>
    <row r="28" spans="1:65" hidden="1" x14ac:dyDescent="0.35">
      <c r="A28" t="s">
        <v>1386</v>
      </c>
      <c r="B28" t="s">
        <v>1387</v>
      </c>
      <c r="C28" t="s">
        <v>1737</v>
      </c>
      <c r="D28" t="s">
        <v>1738</v>
      </c>
    </row>
    <row r="29" spans="1:65" hidden="1" x14ac:dyDescent="0.35">
      <c r="A29" t="s">
        <v>1263</v>
      </c>
      <c r="B29" t="s">
        <v>1388</v>
      </c>
      <c r="C29" t="s">
        <v>1737</v>
      </c>
      <c r="D29" t="s">
        <v>1738</v>
      </c>
      <c r="BE29">
        <v>9</v>
      </c>
    </row>
    <row r="30" spans="1:65" hidden="1" x14ac:dyDescent="0.35">
      <c r="A30" t="s">
        <v>1239</v>
      </c>
      <c r="B30" t="s">
        <v>1389</v>
      </c>
      <c r="C30" t="s">
        <v>1737</v>
      </c>
      <c r="D30" t="s">
        <v>1738</v>
      </c>
      <c r="BE30">
        <v>7</v>
      </c>
    </row>
    <row r="31" spans="1:65" hidden="1" x14ac:dyDescent="0.35">
      <c r="A31" t="s">
        <v>1195</v>
      </c>
      <c r="B31" t="s">
        <v>1390</v>
      </c>
      <c r="C31" t="s">
        <v>1737</v>
      </c>
      <c r="D31" t="s">
        <v>1738</v>
      </c>
      <c r="AJ31">
        <v>25.7</v>
      </c>
      <c r="AR31">
        <v>20.8</v>
      </c>
      <c r="BD31">
        <v>15.9</v>
      </c>
      <c r="BI31">
        <v>22.2</v>
      </c>
    </row>
    <row r="32" spans="1:65" hidden="1" x14ac:dyDescent="0.35">
      <c r="A32" t="s">
        <v>1391</v>
      </c>
      <c r="B32" t="s">
        <v>1392</v>
      </c>
      <c r="C32" t="s">
        <v>1737</v>
      </c>
      <c r="D32" t="s">
        <v>1738</v>
      </c>
    </row>
    <row r="33" spans="1:64" hidden="1" x14ac:dyDescent="0.35">
      <c r="A33" t="s">
        <v>1393</v>
      </c>
      <c r="B33" t="s">
        <v>1394</v>
      </c>
      <c r="C33" t="s">
        <v>1737</v>
      </c>
      <c r="D33" t="s">
        <v>1738</v>
      </c>
      <c r="AH33">
        <v>35.700000000000003</v>
      </c>
      <c r="AM33">
        <v>28.9</v>
      </c>
      <c r="AQ33">
        <v>26.6</v>
      </c>
      <c r="AV33">
        <v>22.8</v>
      </c>
      <c r="AW33">
        <v>22.8</v>
      </c>
      <c r="BA33">
        <v>20.100000000000001</v>
      </c>
      <c r="BI33">
        <v>23.2</v>
      </c>
    </row>
    <row r="34" spans="1:64" hidden="1" x14ac:dyDescent="0.35">
      <c r="A34" t="s">
        <v>1206</v>
      </c>
      <c r="B34" t="s">
        <v>1395</v>
      </c>
      <c r="C34" t="s">
        <v>1737</v>
      </c>
      <c r="D34" t="s">
        <v>1738</v>
      </c>
      <c r="AE34">
        <v>12.8</v>
      </c>
      <c r="AO34">
        <v>10.8</v>
      </c>
      <c r="AY34">
        <v>6</v>
      </c>
      <c r="AZ34">
        <v>6</v>
      </c>
    </row>
    <row r="35" spans="1:64" hidden="1" x14ac:dyDescent="0.35">
      <c r="A35" t="s">
        <v>1180</v>
      </c>
      <c r="B35" t="s">
        <v>1396</v>
      </c>
      <c r="C35" t="s">
        <v>1737</v>
      </c>
      <c r="D35" t="s">
        <v>1738</v>
      </c>
      <c r="BE35">
        <v>19.899999999999999</v>
      </c>
    </row>
    <row r="36" spans="1:64" hidden="1" x14ac:dyDescent="0.35">
      <c r="A36" t="s">
        <v>1164</v>
      </c>
      <c r="B36" t="s">
        <v>1397</v>
      </c>
      <c r="C36" t="s">
        <v>1737</v>
      </c>
      <c r="D36" t="s">
        <v>1738</v>
      </c>
    </row>
    <row r="37" spans="1:64" hidden="1" x14ac:dyDescent="0.35">
      <c r="A37" t="s">
        <v>1146</v>
      </c>
      <c r="B37" t="s">
        <v>1398</v>
      </c>
      <c r="C37" t="s">
        <v>1737</v>
      </c>
      <c r="D37" t="s">
        <v>1738</v>
      </c>
      <c r="BC37">
        <v>11.7</v>
      </c>
    </row>
    <row r="38" spans="1:64" hidden="1" x14ac:dyDescent="0.35">
      <c r="A38" t="s">
        <v>585</v>
      </c>
      <c r="B38" t="s">
        <v>1399</v>
      </c>
      <c r="C38" t="s">
        <v>1737</v>
      </c>
      <c r="D38" t="s">
        <v>1738</v>
      </c>
      <c r="AG38">
        <v>26.9</v>
      </c>
      <c r="AZ38">
        <v>9.6</v>
      </c>
      <c r="BA38">
        <v>9.6</v>
      </c>
    </row>
    <row r="39" spans="1:64" hidden="1" x14ac:dyDescent="0.35">
      <c r="A39" t="s">
        <v>589</v>
      </c>
      <c r="B39" t="s">
        <v>1400</v>
      </c>
      <c r="C39" t="s">
        <v>1737</v>
      </c>
      <c r="D39" t="s">
        <v>1738</v>
      </c>
      <c r="AN39">
        <v>19.100000000000001</v>
      </c>
      <c r="BC39">
        <v>27</v>
      </c>
      <c r="BD39">
        <v>27</v>
      </c>
      <c r="BL39">
        <v>37.6</v>
      </c>
    </row>
    <row r="40" spans="1:64" hidden="1" x14ac:dyDescent="0.35">
      <c r="A40" t="s">
        <v>1283</v>
      </c>
      <c r="B40" t="s">
        <v>1401</v>
      </c>
      <c r="C40" t="s">
        <v>1737</v>
      </c>
      <c r="D40" t="s">
        <v>1738</v>
      </c>
    </row>
    <row r="41" spans="1:64" hidden="1" x14ac:dyDescent="0.35">
      <c r="A41" t="s">
        <v>1402</v>
      </c>
      <c r="B41" t="s">
        <v>1403</v>
      </c>
      <c r="C41" t="s">
        <v>1737</v>
      </c>
      <c r="D41" t="s">
        <v>1738</v>
      </c>
    </row>
    <row r="42" spans="1:64" hidden="1" x14ac:dyDescent="0.35">
      <c r="A42" t="s">
        <v>1281</v>
      </c>
      <c r="B42" t="s">
        <v>1404</v>
      </c>
      <c r="C42" t="s">
        <v>1737</v>
      </c>
      <c r="D42" t="s">
        <v>1738</v>
      </c>
    </row>
    <row r="43" spans="1:64" hidden="1" x14ac:dyDescent="0.35">
      <c r="A43" t="s">
        <v>1250</v>
      </c>
      <c r="B43" t="s">
        <v>1405</v>
      </c>
      <c r="C43" t="s">
        <v>1737</v>
      </c>
      <c r="D43" t="s">
        <v>1738</v>
      </c>
    </row>
    <row r="44" spans="1:64" hidden="1" x14ac:dyDescent="0.35">
      <c r="A44" t="s">
        <v>1207</v>
      </c>
      <c r="B44" t="s">
        <v>1406</v>
      </c>
      <c r="C44" t="s">
        <v>1737</v>
      </c>
      <c r="D44" t="s">
        <v>1738</v>
      </c>
    </row>
    <row r="45" spans="1:64" hidden="1" x14ac:dyDescent="0.35">
      <c r="A45" t="s">
        <v>1155</v>
      </c>
      <c r="B45" t="s">
        <v>1407</v>
      </c>
      <c r="C45" t="s">
        <v>1737</v>
      </c>
      <c r="D45" t="s">
        <v>1738</v>
      </c>
      <c r="AK45">
        <v>3.3</v>
      </c>
      <c r="AP45">
        <v>2.7</v>
      </c>
      <c r="AT45">
        <v>2.2999999999999998</v>
      </c>
    </row>
    <row r="46" spans="1:64" hidden="1" x14ac:dyDescent="0.35">
      <c r="A46" t="s">
        <v>1408</v>
      </c>
      <c r="B46" t="s">
        <v>1409</v>
      </c>
      <c r="C46" t="s">
        <v>1737</v>
      </c>
      <c r="D46" t="s">
        <v>1738</v>
      </c>
      <c r="AM46">
        <v>30.4</v>
      </c>
      <c r="AR46">
        <v>28.9</v>
      </c>
      <c r="BE46">
        <v>27.1</v>
      </c>
      <c r="BI46">
        <v>30.5</v>
      </c>
      <c r="BJ46">
        <v>32.856492245041203</v>
      </c>
      <c r="BK46">
        <v>26.5</v>
      </c>
    </row>
    <row r="47" spans="1:64" hidden="1" x14ac:dyDescent="0.35">
      <c r="A47" t="s">
        <v>1084</v>
      </c>
      <c r="B47" t="s">
        <v>1410</v>
      </c>
      <c r="C47" t="s">
        <v>1737</v>
      </c>
      <c r="D47" t="s">
        <v>1738</v>
      </c>
      <c r="AJ47">
        <v>22.4</v>
      </c>
      <c r="AQ47">
        <v>20.7</v>
      </c>
      <c r="AW47">
        <v>20.5</v>
      </c>
      <c r="BD47">
        <v>23.5</v>
      </c>
      <c r="BG47">
        <v>18</v>
      </c>
      <c r="BK47">
        <v>23</v>
      </c>
    </row>
    <row r="48" spans="1:64" hidden="1" x14ac:dyDescent="0.35">
      <c r="A48" t="s">
        <v>1411</v>
      </c>
      <c r="B48" t="s">
        <v>1412</v>
      </c>
      <c r="C48" t="s">
        <v>1737</v>
      </c>
      <c r="D48" t="s">
        <v>1738</v>
      </c>
      <c r="AZ48">
        <v>26.9</v>
      </c>
      <c r="BC48">
        <v>24.2</v>
      </c>
      <c r="BG48">
        <v>27.7</v>
      </c>
      <c r="BK48">
        <v>28.7</v>
      </c>
    </row>
    <row r="49" spans="1:64" hidden="1" x14ac:dyDescent="0.35">
      <c r="A49" t="s">
        <v>1413</v>
      </c>
      <c r="B49" t="s">
        <v>1414</v>
      </c>
      <c r="C49" t="s">
        <v>1737</v>
      </c>
      <c r="D49" t="s">
        <v>1738</v>
      </c>
      <c r="AX49">
        <v>19.5</v>
      </c>
      <c r="BE49">
        <v>18.2</v>
      </c>
      <c r="BH49">
        <v>17.899999999999999</v>
      </c>
    </row>
    <row r="50" spans="1:64" hidden="1" x14ac:dyDescent="0.35">
      <c r="A50" t="s">
        <v>1208</v>
      </c>
      <c r="B50" t="s">
        <v>1415</v>
      </c>
      <c r="C50" t="s">
        <v>1737</v>
      </c>
      <c r="D50" t="s">
        <v>1738</v>
      </c>
      <c r="AE50">
        <v>13.5</v>
      </c>
      <c r="AI50">
        <v>13.7</v>
      </c>
      <c r="AN50">
        <v>11.4</v>
      </c>
      <c r="AS50">
        <v>10</v>
      </c>
      <c r="AX50">
        <v>8.6</v>
      </c>
      <c r="BC50">
        <v>8</v>
      </c>
      <c r="BH50">
        <v>7</v>
      </c>
      <c r="BI50">
        <v>6.7</v>
      </c>
    </row>
    <row r="51" spans="1:64" hidden="1" x14ac:dyDescent="0.35">
      <c r="A51" t="s">
        <v>1072</v>
      </c>
      <c r="B51" t="s">
        <v>1416</v>
      </c>
      <c r="C51" t="s">
        <v>1737</v>
      </c>
      <c r="D51" t="s">
        <v>1738</v>
      </c>
      <c r="AO51">
        <v>35.6</v>
      </c>
      <c r="BE51">
        <v>31.6</v>
      </c>
    </row>
    <row r="52" spans="1:64" hidden="1" x14ac:dyDescent="0.35">
      <c r="A52" t="s">
        <v>1095</v>
      </c>
      <c r="B52" t="s">
        <v>1417</v>
      </c>
      <c r="C52" t="s">
        <v>1737</v>
      </c>
      <c r="D52" t="s">
        <v>1738</v>
      </c>
      <c r="AQ52">
        <v>14.2</v>
      </c>
      <c r="AX52">
        <v>16.7</v>
      </c>
    </row>
    <row r="53" spans="1:64" hidden="1" x14ac:dyDescent="0.35">
      <c r="A53" t="s">
        <v>1196</v>
      </c>
      <c r="B53" t="s">
        <v>1418</v>
      </c>
      <c r="C53" t="s">
        <v>1737</v>
      </c>
      <c r="D53" t="s">
        <v>1738</v>
      </c>
      <c r="AL53">
        <v>5</v>
      </c>
      <c r="BC53">
        <v>11.7</v>
      </c>
      <c r="BD53">
        <v>7.6</v>
      </c>
      <c r="BK53">
        <v>13.7</v>
      </c>
    </row>
    <row r="54" spans="1:64" hidden="1" x14ac:dyDescent="0.35">
      <c r="A54" t="s">
        <v>1419</v>
      </c>
      <c r="B54" t="s">
        <v>1420</v>
      </c>
      <c r="C54" t="s">
        <v>1737</v>
      </c>
      <c r="D54" t="s">
        <v>1738</v>
      </c>
      <c r="BC54">
        <v>16.881390455074595</v>
      </c>
    </row>
    <row r="55" spans="1:64" hidden="1" x14ac:dyDescent="0.35">
      <c r="A55" t="s">
        <v>1181</v>
      </c>
      <c r="B55" t="s">
        <v>1421</v>
      </c>
      <c r="C55" t="s">
        <v>1737</v>
      </c>
      <c r="D55" t="s">
        <v>1738</v>
      </c>
      <c r="BD55">
        <v>9.1</v>
      </c>
      <c r="BG55">
        <v>8</v>
      </c>
      <c r="BL55">
        <v>8.7802372119324499</v>
      </c>
    </row>
    <row r="56" spans="1:64" hidden="1" x14ac:dyDescent="0.35">
      <c r="A56" t="s">
        <v>1422</v>
      </c>
      <c r="B56" t="s">
        <v>1423</v>
      </c>
      <c r="C56" t="s">
        <v>1737</v>
      </c>
      <c r="D56" t="s">
        <v>1738</v>
      </c>
    </row>
    <row r="57" spans="1:64" hidden="1" x14ac:dyDescent="0.35">
      <c r="A57" t="s">
        <v>1424</v>
      </c>
      <c r="B57" t="s">
        <v>1425</v>
      </c>
      <c r="C57" t="s">
        <v>1737</v>
      </c>
      <c r="D57" t="s">
        <v>1738</v>
      </c>
    </row>
    <row r="58" spans="1:64" hidden="1" x14ac:dyDescent="0.35">
      <c r="A58" t="s">
        <v>1121</v>
      </c>
      <c r="B58" t="s">
        <v>1426</v>
      </c>
      <c r="C58" t="s">
        <v>1737</v>
      </c>
      <c r="D58" t="s">
        <v>1738</v>
      </c>
    </row>
    <row r="59" spans="1:64" hidden="1" x14ac:dyDescent="0.35">
      <c r="A59" t="s">
        <v>1427</v>
      </c>
      <c r="B59" t="s">
        <v>1428</v>
      </c>
      <c r="C59" t="s">
        <v>1737</v>
      </c>
      <c r="D59" t="s">
        <v>1738</v>
      </c>
      <c r="AL59">
        <v>14.6</v>
      </c>
      <c r="AP59">
        <v>10.8</v>
      </c>
      <c r="AX59">
        <v>8.1</v>
      </c>
      <c r="BA59">
        <v>4.3</v>
      </c>
    </row>
    <row r="60" spans="1:64" hidden="1" x14ac:dyDescent="0.35">
      <c r="A60" t="s">
        <v>1278</v>
      </c>
      <c r="B60" t="s">
        <v>1429</v>
      </c>
      <c r="C60" t="s">
        <v>1737</v>
      </c>
      <c r="D60" t="s">
        <v>1738</v>
      </c>
    </row>
    <row r="61" spans="1:64" hidden="1" x14ac:dyDescent="0.35">
      <c r="A61" t="s">
        <v>1073</v>
      </c>
      <c r="B61" t="s">
        <v>1430</v>
      </c>
      <c r="C61" t="s">
        <v>1737</v>
      </c>
      <c r="D61" t="s">
        <v>1738</v>
      </c>
    </row>
    <row r="62" spans="1:64" hidden="1" x14ac:dyDescent="0.35">
      <c r="A62" t="s">
        <v>1431</v>
      </c>
      <c r="B62" t="s">
        <v>1432</v>
      </c>
      <c r="C62" t="s">
        <v>1737</v>
      </c>
      <c r="D62" t="s">
        <v>1738</v>
      </c>
    </row>
    <row r="63" spans="1:64" hidden="1" x14ac:dyDescent="0.35">
      <c r="A63" t="s">
        <v>1251</v>
      </c>
      <c r="B63" t="s">
        <v>1433</v>
      </c>
      <c r="C63" t="s">
        <v>1737</v>
      </c>
      <c r="D63" t="s">
        <v>1738</v>
      </c>
    </row>
    <row r="64" spans="1:64" hidden="1" x14ac:dyDescent="0.35">
      <c r="A64" t="s">
        <v>1183</v>
      </c>
      <c r="B64" t="s">
        <v>1434</v>
      </c>
      <c r="C64" t="s">
        <v>1737</v>
      </c>
      <c r="D64" t="s">
        <v>1738</v>
      </c>
      <c r="AE64">
        <v>19.399999999999999</v>
      </c>
      <c r="AJ64">
        <v>19.399999999999999</v>
      </c>
      <c r="AO64">
        <v>14.3</v>
      </c>
      <c r="AR64">
        <v>13.8</v>
      </c>
      <c r="AU64">
        <v>12.4</v>
      </c>
      <c r="AZ64">
        <v>11.1</v>
      </c>
      <c r="BF64">
        <v>10.8</v>
      </c>
      <c r="BG64">
        <v>11.4</v>
      </c>
    </row>
    <row r="65" spans="1:63" hidden="1" x14ac:dyDescent="0.35">
      <c r="A65" t="s">
        <v>1110</v>
      </c>
      <c r="B65" t="s">
        <v>1435</v>
      </c>
      <c r="C65" t="s">
        <v>1737</v>
      </c>
      <c r="D65" t="s">
        <v>1738</v>
      </c>
      <c r="AY65">
        <v>10.8</v>
      </c>
      <c r="BE65">
        <v>10.4</v>
      </c>
      <c r="BF65">
        <v>7</v>
      </c>
    </row>
    <row r="66" spans="1:63" hidden="1" x14ac:dyDescent="0.35">
      <c r="A66" t="s">
        <v>1436</v>
      </c>
      <c r="B66" t="s">
        <v>1437</v>
      </c>
      <c r="C66" t="s">
        <v>1737</v>
      </c>
      <c r="D66" t="s">
        <v>1738</v>
      </c>
      <c r="AI66">
        <v>5.5430541004073604</v>
      </c>
      <c r="AS66">
        <v>4.6751851167517255</v>
      </c>
    </row>
    <row r="67" spans="1:63" hidden="1" x14ac:dyDescent="0.35">
      <c r="A67" t="s">
        <v>1438</v>
      </c>
      <c r="B67" t="s">
        <v>1439</v>
      </c>
      <c r="C67" t="s">
        <v>1737</v>
      </c>
      <c r="D67" t="s">
        <v>1738</v>
      </c>
      <c r="AS67">
        <v>19.036163737095563</v>
      </c>
      <c r="BC67">
        <v>17.123465430722138</v>
      </c>
      <c r="BJ67">
        <v>14.082296311851188</v>
      </c>
    </row>
    <row r="68" spans="1:63" hidden="1" x14ac:dyDescent="0.35">
      <c r="A68" t="s">
        <v>1440</v>
      </c>
      <c r="B68" t="s">
        <v>1441</v>
      </c>
      <c r="C68" t="s">
        <v>1737</v>
      </c>
      <c r="D68" t="s">
        <v>1738</v>
      </c>
      <c r="AI68">
        <v>5.5430541004073604</v>
      </c>
      <c r="AS68">
        <v>4.6751851167517255</v>
      </c>
    </row>
    <row r="69" spans="1:63" hidden="1" x14ac:dyDescent="0.35">
      <c r="A69" t="s">
        <v>1442</v>
      </c>
      <c r="B69" t="s">
        <v>1443</v>
      </c>
      <c r="C69" t="s">
        <v>1737</v>
      </c>
      <c r="D69" t="s">
        <v>1738</v>
      </c>
      <c r="BC69">
        <v>8.6003922174420158</v>
      </c>
    </row>
    <row r="70" spans="1:63" hidden="1" x14ac:dyDescent="0.35">
      <c r="A70" t="s">
        <v>1444</v>
      </c>
      <c r="B70" t="s">
        <v>1445</v>
      </c>
      <c r="C70" t="s">
        <v>1737</v>
      </c>
      <c r="D70" t="s">
        <v>1738</v>
      </c>
    </row>
    <row r="71" spans="1:63" hidden="1" x14ac:dyDescent="0.35">
      <c r="A71" t="s">
        <v>1209</v>
      </c>
      <c r="B71" t="s">
        <v>1446</v>
      </c>
      <c r="C71" t="s">
        <v>1737</v>
      </c>
      <c r="D71" t="s">
        <v>1738</v>
      </c>
      <c r="AF71">
        <v>24.2</v>
      </c>
      <c r="AH71">
        <v>24.6</v>
      </c>
      <c r="AM71">
        <v>15.2</v>
      </c>
      <c r="AR71">
        <v>10</v>
      </c>
      <c r="AW71">
        <v>7.4</v>
      </c>
      <c r="BE71">
        <v>8.8000000000000007</v>
      </c>
    </row>
    <row r="72" spans="1:63" hidden="1" x14ac:dyDescent="0.3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35">
      <c r="A73" t="s">
        <v>1449</v>
      </c>
      <c r="B73" t="s">
        <v>1450</v>
      </c>
      <c r="C73" t="s">
        <v>1737</v>
      </c>
      <c r="D73" t="s">
        <v>1738</v>
      </c>
    </row>
    <row r="74" spans="1:63" hidden="1" x14ac:dyDescent="0.35">
      <c r="A74" t="s">
        <v>597</v>
      </c>
      <c r="B74" t="s">
        <v>1451</v>
      </c>
      <c r="C74" t="s">
        <v>1737</v>
      </c>
      <c r="D74" t="s">
        <v>1738</v>
      </c>
      <c r="AN74">
        <v>29.7</v>
      </c>
      <c r="AO74">
        <v>29.7</v>
      </c>
      <c r="AU74">
        <v>28.5</v>
      </c>
      <c r="BC74">
        <v>27.4</v>
      </c>
    </row>
    <row r="75" spans="1:63" hidden="1" x14ac:dyDescent="0.35">
      <c r="A75" t="s">
        <v>1273</v>
      </c>
      <c r="B75" t="s">
        <v>1452</v>
      </c>
      <c r="C75" t="s">
        <v>1737</v>
      </c>
      <c r="D75" t="s">
        <v>1738</v>
      </c>
      <c r="AN75">
        <v>11.8</v>
      </c>
    </row>
    <row r="76" spans="1:63" hidden="1" x14ac:dyDescent="0.35">
      <c r="A76" t="s">
        <v>1252</v>
      </c>
      <c r="B76" t="s">
        <v>1453</v>
      </c>
      <c r="C76" t="s">
        <v>1737</v>
      </c>
      <c r="D76" t="s">
        <v>1738</v>
      </c>
    </row>
    <row r="77" spans="1:63" x14ac:dyDescent="0.35">
      <c r="A77" t="s">
        <v>599</v>
      </c>
      <c r="B77" t="s">
        <v>931</v>
      </c>
      <c r="C77" t="s">
        <v>1737</v>
      </c>
      <c r="D77" t="s">
        <v>1738</v>
      </c>
      <c r="AS77">
        <v>36.6</v>
      </c>
      <c r="AX77">
        <v>36.1</v>
      </c>
      <c r="BD77">
        <v>26.3</v>
      </c>
      <c r="BH77">
        <v>24.4</v>
      </c>
      <c r="BI77">
        <v>22.3</v>
      </c>
      <c r="BJ77">
        <v>22.724205180569701</v>
      </c>
      <c r="BK77">
        <v>20.6</v>
      </c>
    </row>
    <row r="78" spans="1:63" hidden="1" x14ac:dyDescent="0.35">
      <c r="A78" t="s">
        <v>1454</v>
      </c>
      <c r="B78" t="s">
        <v>1455</v>
      </c>
      <c r="C78" t="s">
        <v>1737</v>
      </c>
      <c r="D78" t="s">
        <v>1738</v>
      </c>
    </row>
    <row r="79" spans="1:63" hidden="1" x14ac:dyDescent="0.35">
      <c r="A79" t="s">
        <v>1456</v>
      </c>
      <c r="B79" t="s">
        <v>1457</v>
      </c>
      <c r="C79" t="s">
        <v>1737</v>
      </c>
      <c r="D79" t="s">
        <v>1738</v>
      </c>
      <c r="BC79">
        <v>21.975174955062435</v>
      </c>
      <c r="BJ79">
        <v>22.006657003566328</v>
      </c>
    </row>
    <row r="80" spans="1:63" hidden="1" x14ac:dyDescent="0.35">
      <c r="A80" t="s">
        <v>1253</v>
      </c>
      <c r="B80" t="s">
        <v>1458</v>
      </c>
      <c r="C80" t="s">
        <v>1737</v>
      </c>
      <c r="D80" t="s">
        <v>1738</v>
      </c>
    </row>
    <row r="81" spans="1:65" hidden="1" x14ac:dyDescent="0.35">
      <c r="A81" t="s">
        <v>1222</v>
      </c>
      <c r="B81" t="s">
        <v>1459</v>
      </c>
      <c r="C81" t="s">
        <v>1737</v>
      </c>
      <c r="D81" t="s">
        <v>1738</v>
      </c>
    </row>
    <row r="82" spans="1:65" hidden="1" x14ac:dyDescent="0.35">
      <c r="A82" t="s">
        <v>1277</v>
      </c>
      <c r="B82" t="s">
        <v>1460</v>
      </c>
      <c r="C82" t="s">
        <v>1737</v>
      </c>
      <c r="D82" t="s">
        <v>1738</v>
      </c>
      <c r="AM82">
        <v>7.4</v>
      </c>
      <c r="AX82">
        <v>1.7</v>
      </c>
    </row>
    <row r="83" spans="1:65" hidden="1" x14ac:dyDescent="0.35">
      <c r="A83" t="s">
        <v>1461</v>
      </c>
      <c r="B83" t="s">
        <v>1462</v>
      </c>
      <c r="C83" t="s">
        <v>1737</v>
      </c>
      <c r="D83" t="s">
        <v>1738</v>
      </c>
    </row>
    <row r="84" spans="1:65" hidden="1" x14ac:dyDescent="0.35">
      <c r="A84" t="s">
        <v>1463</v>
      </c>
      <c r="B84" t="s">
        <v>1464</v>
      </c>
      <c r="C84" t="s">
        <v>1737</v>
      </c>
      <c r="D84" t="s">
        <v>1738</v>
      </c>
    </row>
    <row r="85" spans="1:65" hidden="1" x14ac:dyDescent="0.35">
      <c r="A85" t="s">
        <v>1088</v>
      </c>
      <c r="B85" t="s">
        <v>1465</v>
      </c>
      <c r="C85" t="s">
        <v>1737</v>
      </c>
      <c r="D85" t="s">
        <v>1738</v>
      </c>
      <c r="AS85">
        <v>27.9</v>
      </c>
      <c r="BE85">
        <v>26.5</v>
      </c>
    </row>
    <row r="86" spans="1:65" hidden="1" x14ac:dyDescent="0.35">
      <c r="A86" t="s">
        <v>1260</v>
      </c>
      <c r="B86" t="s">
        <v>1466</v>
      </c>
      <c r="C86" t="s">
        <v>1737</v>
      </c>
      <c r="D86" t="s">
        <v>1738</v>
      </c>
      <c r="BE86">
        <v>8.1199999999999992</v>
      </c>
    </row>
    <row r="87" spans="1:65" hidden="1" x14ac:dyDescent="0.35">
      <c r="A87" t="s">
        <v>1122</v>
      </c>
      <c r="B87" t="s">
        <v>1467</v>
      </c>
      <c r="C87" t="s">
        <v>1737</v>
      </c>
      <c r="D87" t="s">
        <v>1738</v>
      </c>
      <c r="AR87">
        <v>23.8</v>
      </c>
      <c r="AS87">
        <v>23.8</v>
      </c>
      <c r="BC87">
        <v>12.3</v>
      </c>
      <c r="BK87">
        <v>23.1</v>
      </c>
    </row>
    <row r="88" spans="1:65" hidden="1" x14ac:dyDescent="0.3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1469</v>
      </c>
      <c r="B89" t="s">
        <v>1470</v>
      </c>
      <c r="C89" t="s">
        <v>1737</v>
      </c>
      <c r="D89" t="s">
        <v>1738</v>
      </c>
    </row>
    <row r="90" spans="1:65" hidden="1" x14ac:dyDescent="0.35">
      <c r="A90" t="s">
        <v>1098</v>
      </c>
      <c r="B90" t="s">
        <v>1471</v>
      </c>
      <c r="C90" t="s">
        <v>1737</v>
      </c>
      <c r="D90" t="s">
        <v>1738</v>
      </c>
      <c r="AK90">
        <v>24.7</v>
      </c>
      <c r="AL90">
        <v>24.7</v>
      </c>
      <c r="AR90">
        <v>24.8</v>
      </c>
      <c r="AX90">
        <v>21.9</v>
      </c>
      <c r="BE90">
        <v>23.7</v>
      </c>
      <c r="BI90">
        <v>27.6</v>
      </c>
      <c r="BK90">
        <v>22.1</v>
      </c>
    </row>
    <row r="91" spans="1:65" hidden="1" x14ac:dyDescent="0.35">
      <c r="A91" t="s">
        <v>1472</v>
      </c>
      <c r="B91" t="s">
        <v>1473</v>
      </c>
      <c r="C91" t="s">
        <v>1737</v>
      </c>
      <c r="D91" t="s">
        <v>1738</v>
      </c>
      <c r="BC91">
        <v>21.5</v>
      </c>
      <c r="BF91">
        <v>24.9</v>
      </c>
      <c r="BK91">
        <v>26.5</v>
      </c>
      <c r="BM91">
        <v>24.2</v>
      </c>
    </row>
    <row r="92" spans="1:65" hidden="1" x14ac:dyDescent="0.35">
      <c r="A92" t="s">
        <v>1099</v>
      </c>
      <c r="B92" t="s">
        <v>1474</v>
      </c>
      <c r="C92" t="s">
        <v>1737</v>
      </c>
      <c r="D92" t="s">
        <v>1738</v>
      </c>
      <c r="BC92">
        <v>6</v>
      </c>
      <c r="BG92">
        <v>22.3</v>
      </c>
      <c r="BL92">
        <v>21.1</v>
      </c>
    </row>
    <row r="93" spans="1:65" hidden="1" x14ac:dyDescent="0.35">
      <c r="A93" t="s">
        <v>1087</v>
      </c>
      <c r="B93" t="s">
        <v>1475</v>
      </c>
      <c r="C93" t="s">
        <v>1737</v>
      </c>
      <c r="D93" t="s">
        <v>1738</v>
      </c>
      <c r="BD93">
        <v>33.799999999999997</v>
      </c>
    </row>
    <row r="94" spans="1:65" hidden="1" x14ac:dyDescent="0.35">
      <c r="A94" t="s">
        <v>1265</v>
      </c>
      <c r="B94" t="s">
        <v>1476</v>
      </c>
      <c r="C94" t="s">
        <v>1737</v>
      </c>
      <c r="D94" t="s">
        <v>1738</v>
      </c>
    </row>
    <row r="95" spans="1:65" hidden="1" x14ac:dyDescent="0.35">
      <c r="A95" t="s">
        <v>1184</v>
      </c>
      <c r="B95" t="s">
        <v>1477</v>
      </c>
      <c r="C95" t="s">
        <v>1737</v>
      </c>
      <c r="D95" t="s">
        <v>1738</v>
      </c>
    </row>
    <row r="96" spans="1:65" hidden="1" x14ac:dyDescent="0.35">
      <c r="A96" t="s">
        <v>1478</v>
      </c>
      <c r="B96" t="s">
        <v>1479</v>
      </c>
      <c r="C96" t="s">
        <v>1737</v>
      </c>
      <c r="D96" t="s">
        <v>1738</v>
      </c>
    </row>
    <row r="97" spans="1:62" hidden="1" x14ac:dyDescent="0.35">
      <c r="A97" t="s">
        <v>1198</v>
      </c>
      <c r="B97" t="s">
        <v>1480</v>
      </c>
      <c r="C97" t="s">
        <v>1737</v>
      </c>
      <c r="D97" t="s">
        <v>1738</v>
      </c>
      <c r="AF97">
        <v>29.4</v>
      </c>
      <c r="AN97">
        <v>28.1</v>
      </c>
      <c r="AR97">
        <v>26.8</v>
      </c>
      <c r="AU97">
        <v>27.6</v>
      </c>
      <c r="BB97">
        <v>20.8</v>
      </c>
      <c r="BH97">
        <v>13.9</v>
      </c>
    </row>
    <row r="98" spans="1:62" hidden="1" x14ac:dyDescent="0.35">
      <c r="A98" t="s">
        <v>1228</v>
      </c>
      <c r="B98" t="s">
        <v>1481</v>
      </c>
      <c r="C98" t="s">
        <v>1737</v>
      </c>
      <c r="D98" t="s">
        <v>1738</v>
      </c>
    </row>
    <row r="99" spans="1:62" hidden="1" x14ac:dyDescent="0.35">
      <c r="A99" t="s">
        <v>1211</v>
      </c>
      <c r="B99" t="s">
        <v>1482</v>
      </c>
      <c r="C99" t="s">
        <v>1737</v>
      </c>
      <c r="D99" t="s">
        <v>1738</v>
      </c>
      <c r="BB99">
        <v>28.5</v>
      </c>
      <c r="BG99">
        <v>28</v>
      </c>
    </row>
    <row r="100" spans="1:62" hidden="1" x14ac:dyDescent="0.35">
      <c r="A100" t="s">
        <v>1483</v>
      </c>
      <c r="B100" t="s">
        <v>1484</v>
      </c>
      <c r="C100" t="s">
        <v>1737</v>
      </c>
      <c r="D100" t="s">
        <v>1738</v>
      </c>
    </row>
    <row r="101" spans="1:62" hidden="1" x14ac:dyDescent="0.35">
      <c r="A101" t="s">
        <v>1485</v>
      </c>
      <c r="B101" t="s">
        <v>1486</v>
      </c>
      <c r="C101" t="s">
        <v>1737</v>
      </c>
      <c r="D101" t="s">
        <v>1738</v>
      </c>
    </row>
    <row r="102" spans="1:62" hidden="1" x14ac:dyDescent="0.35">
      <c r="A102" t="s">
        <v>1199</v>
      </c>
      <c r="B102" t="s">
        <v>1487</v>
      </c>
      <c r="C102" t="s">
        <v>1737</v>
      </c>
      <c r="D102" t="s">
        <v>1738</v>
      </c>
      <c r="AF102">
        <v>15.8</v>
      </c>
      <c r="AK102">
        <v>13.2</v>
      </c>
      <c r="AO102">
        <v>18</v>
      </c>
      <c r="AT102">
        <v>11.2</v>
      </c>
      <c r="AY102">
        <v>16.8</v>
      </c>
      <c r="BE102">
        <v>10.7</v>
      </c>
    </row>
    <row r="103" spans="1:62" hidden="1" x14ac:dyDescent="0.35">
      <c r="A103" t="s">
        <v>1488</v>
      </c>
      <c r="B103" t="s">
        <v>1489</v>
      </c>
      <c r="C103" t="s">
        <v>1737</v>
      </c>
      <c r="D103" t="s">
        <v>1738</v>
      </c>
      <c r="BC103">
        <v>25.498949196054866</v>
      </c>
      <c r="BJ103">
        <v>24.808948541558713</v>
      </c>
    </row>
    <row r="104" spans="1:62" hidden="1" x14ac:dyDescent="0.35">
      <c r="A104" t="s">
        <v>1264</v>
      </c>
      <c r="B104" t="s">
        <v>1490</v>
      </c>
      <c r="C104" t="s">
        <v>1737</v>
      </c>
      <c r="D104" t="s">
        <v>1738</v>
      </c>
    </row>
    <row r="105" spans="1:62" hidden="1" x14ac:dyDescent="0.35">
      <c r="A105" t="s">
        <v>1186</v>
      </c>
      <c r="B105" t="s">
        <v>1491</v>
      </c>
      <c r="C105" t="s">
        <v>1737</v>
      </c>
      <c r="D105" t="s">
        <v>1738</v>
      </c>
      <c r="AH105">
        <v>27.2</v>
      </c>
      <c r="AN105">
        <v>44.7</v>
      </c>
      <c r="AS105">
        <v>39.6</v>
      </c>
      <c r="AY105">
        <v>37.299999999999997</v>
      </c>
      <c r="BE105">
        <v>35.299999999999997</v>
      </c>
      <c r="BI105">
        <v>38</v>
      </c>
      <c r="BJ105">
        <v>38</v>
      </c>
    </row>
    <row r="106" spans="1:62" hidden="1" x14ac:dyDescent="0.35">
      <c r="A106" t="s">
        <v>1242</v>
      </c>
      <c r="B106" t="s">
        <v>1492</v>
      </c>
      <c r="C106" t="s">
        <v>1737</v>
      </c>
      <c r="D106" t="s">
        <v>1738</v>
      </c>
      <c r="AL106">
        <v>7</v>
      </c>
    </row>
    <row r="107" spans="1:62" hidden="1" x14ac:dyDescent="0.35">
      <c r="A107" t="s">
        <v>1493</v>
      </c>
      <c r="B107" t="s">
        <v>1494</v>
      </c>
      <c r="C107" t="s">
        <v>1737</v>
      </c>
      <c r="D107" t="s">
        <v>1738</v>
      </c>
      <c r="AS107">
        <v>9.6449478714045416</v>
      </c>
    </row>
    <row r="108" spans="1:62" hidden="1" x14ac:dyDescent="0.35">
      <c r="A108" t="s">
        <v>1495</v>
      </c>
      <c r="B108" t="s">
        <v>1496</v>
      </c>
      <c r="C108" t="s">
        <v>1737</v>
      </c>
      <c r="D108" t="s">
        <v>1738</v>
      </c>
      <c r="AS108">
        <v>12.882659378746389</v>
      </c>
    </row>
    <row r="109" spans="1:62" hidden="1" x14ac:dyDescent="0.35">
      <c r="A109" t="s">
        <v>1497</v>
      </c>
      <c r="B109" t="s">
        <v>1498</v>
      </c>
      <c r="C109" t="s">
        <v>1737</v>
      </c>
      <c r="D109" t="s">
        <v>1738</v>
      </c>
      <c r="AS109">
        <v>26.004243532212111</v>
      </c>
      <c r="BC109">
        <v>22.124694614190126</v>
      </c>
      <c r="BJ109">
        <v>20.606031439695872</v>
      </c>
    </row>
    <row r="110" spans="1:62" hidden="1" x14ac:dyDescent="0.35">
      <c r="A110" t="s">
        <v>1499</v>
      </c>
      <c r="B110" t="s">
        <v>1500</v>
      </c>
      <c r="C110" t="s">
        <v>1737</v>
      </c>
      <c r="D110" t="s">
        <v>1738</v>
      </c>
      <c r="AI110">
        <v>27.176759884044976</v>
      </c>
      <c r="AS110">
        <v>26.315190516634964</v>
      </c>
      <c r="BJ110">
        <v>17.873361262878777</v>
      </c>
    </row>
    <row r="111" spans="1:62" hidden="1" x14ac:dyDescent="0.35">
      <c r="A111" t="s">
        <v>1166</v>
      </c>
      <c r="B111" t="s">
        <v>1501</v>
      </c>
      <c r="C111" t="s">
        <v>1737</v>
      </c>
      <c r="D111" t="s">
        <v>1738</v>
      </c>
      <c r="AF111">
        <v>16</v>
      </c>
      <c r="AJ111">
        <v>17</v>
      </c>
      <c r="AM111">
        <v>15.3</v>
      </c>
      <c r="AP111">
        <v>13.6</v>
      </c>
      <c r="AV111">
        <v>13.2</v>
      </c>
      <c r="BA111">
        <v>13.1</v>
      </c>
      <c r="BE111">
        <v>11.4</v>
      </c>
      <c r="BI111">
        <v>16.2</v>
      </c>
      <c r="BJ111">
        <v>10.6</v>
      </c>
    </row>
    <row r="112" spans="1:62" hidden="1" x14ac:dyDescent="0.35">
      <c r="A112" t="s">
        <v>1502</v>
      </c>
      <c r="B112" t="s">
        <v>1503</v>
      </c>
      <c r="C112" t="s">
        <v>1737</v>
      </c>
      <c r="D112" t="s">
        <v>1738</v>
      </c>
      <c r="AS112">
        <v>25.806797376010884</v>
      </c>
      <c r="BC112">
        <v>22.569632351594169</v>
      </c>
      <c r="BJ112">
        <v>21.972632728571622</v>
      </c>
    </row>
    <row r="113" spans="1:64" hidden="1" x14ac:dyDescent="0.35">
      <c r="A113" t="s">
        <v>1504</v>
      </c>
      <c r="B113" t="s">
        <v>1505</v>
      </c>
      <c r="C113" t="s">
        <v>1737</v>
      </c>
      <c r="D113" t="s">
        <v>1738</v>
      </c>
    </row>
    <row r="114" spans="1:64" hidden="1" x14ac:dyDescent="0.35">
      <c r="A114" t="s">
        <v>1147</v>
      </c>
      <c r="B114" t="s">
        <v>1506</v>
      </c>
      <c r="C114" t="s">
        <v>1737</v>
      </c>
      <c r="D114" t="s">
        <v>1738</v>
      </c>
      <c r="AL114">
        <v>20.3</v>
      </c>
      <c r="AR114">
        <v>16.100000000000001</v>
      </c>
      <c r="AV114">
        <v>21.1</v>
      </c>
      <c r="AW114">
        <v>21.1</v>
      </c>
      <c r="AY114">
        <v>13.9</v>
      </c>
      <c r="BA114">
        <v>20.5</v>
      </c>
      <c r="BI114">
        <v>12.9</v>
      </c>
    </row>
    <row r="115" spans="1:64" hidden="1" x14ac:dyDescent="0.35">
      <c r="A115" t="s">
        <v>1507</v>
      </c>
      <c r="B115" t="s">
        <v>1508</v>
      </c>
      <c r="C115" t="s">
        <v>1737</v>
      </c>
      <c r="D115" t="s">
        <v>1738</v>
      </c>
    </row>
    <row r="116" spans="1:64" hidden="1" x14ac:dyDescent="0.35">
      <c r="A116" t="s">
        <v>1255</v>
      </c>
      <c r="B116" t="s">
        <v>1509</v>
      </c>
      <c r="C116" t="s">
        <v>1737</v>
      </c>
      <c r="D116" t="s">
        <v>1738</v>
      </c>
    </row>
    <row r="117" spans="1:64" hidden="1" x14ac:dyDescent="0.35">
      <c r="A117" t="s">
        <v>1510</v>
      </c>
      <c r="B117" t="s">
        <v>1511</v>
      </c>
      <c r="C117" t="s">
        <v>1737</v>
      </c>
      <c r="D117" t="s">
        <v>1738</v>
      </c>
      <c r="BC117">
        <v>5.7</v>
      </c>
      <c r="BD117">
        <v>5.7</v>
      </c>
    </row>
    <row r="118" spans="1:64" hidden="1" x14ac:dyDescent="0.35">
      <c r="A118" t="s">
        <v>1123</v>
      </c>
      <c r="B118" t="s">
        <v>1512</v>
      </c>
      <c r="C118" t="s">
        <v>1737</v>
      </c>
      <c r="D118" t="s">
        <v>1738</v>
      </c>
      <c r="BD118">
        <v>8</v>
      </c>
      <c r="BK118">
        <v>14.3</v>
      </c>
    </row>
    <row r="119" spans="1:64" hidden="1" x14ac:dyDescent="0.35">
      <c r="A119" t="s">
        <v>1254</v>
      </c>
      <c r="B119" t="s">
        <v>1513</v>
      </c>
      <c r="C119" t="s">
        <v>1737</v>
      </c>
      <c r="D119" t="s">
        <v>1738</v>
      </c>
    </row>
    <row r="120" spans="1:64" hidden="1" x14ac:dyDescent="0.35">
      <c r="A120" t="s">
        <v>1124</v>
      </c>
      <c r="B120" t="s">
        <v>1514</v>
      </c>
      <c r="C120" t="s">
        <v>1737</v>
      </c>
      <c r="D120" t="s">
        <v>1738</v>
      </c>
    </row>
    <row r="121" spans="1:64" hidden="1" x14ac:dyDescent="0.35">
      <c r="A121" t="s">
        <v>1266</v>
      </c>
      <c r="B121" t="s">
        <v>1515</v>
      </c>
      <c r="C121" t="s">
        <v>1737</v>
      </c>
      <c r="D121" t="s">
        <v>1738</v>
      </c>
      <c r="AO121">
        <v>11.8</v>
      </c>
    </row>
    <row r="122" spans="1:64" hidden="1" x14ac:dyDescent="0.35">
      <c r="A122" t="s">
        <v>1187</v>
      </c>
      <c r="B122" t="s">
        <v>1516</v>
      </c>
      <c r="C122" t="s">
        <v>1737</v>
      </c>
      <c r="D122" t="s">
        <v>1738</v>
      </c>
      <c r="AH122">
        <v>20.6</v>
      </c>
      <c r="AL122">
        <v>13</v>
      </c>
      <c r="AP122">
        <v>14.2</v>
      </c>
      <c r="AV122">
        <v>11.7</v>
      </c>
      <c r="BA122">
        <v>10</v>
      </c>
      <c r="BB122">
        <v>10</v>
      </c>
    </row>
    <row r="123" spans="1:64" hidden="1" x14ac:dyDescent="0.35">
      <c r="A123" t="s">
        <v>1125</v>
      </c>
      <c r="B123" t="s">
        <v>1517</v>
      </c>
      <c r="C123" t="s">
        <v>1737</v>
      </c>
      <c r="D123" t="s">
        <v>1738</v>
      </c>
      <c r="AI123">
        <v>26.5</v>
      </c>
      <c r="AP123">
        <v>20.100000000000001</v>
      </c>
      <c r="AU123">
        <v>14.9</v>
      </c>
      <c r="AZ123">
        <v>13.8</v>
      </c>
      <c r="BB123">
        <v>13.4</v>
      </c>
      <c r="BE123">
        <v>11.7</v>
      </c>
      <c r="BJ123">
        <v>14.2</v>
      </c>
      <c r="BK123">
        <v>14.2</v>
      </c>
    </row>
    <row r="124" spans="1:64" hidden="1" x14ac:dyDescent="0.35">
      <c r="A124" t="s">
        <v>1160</v>
      </c>
      <c r="B124" t="s">
        <v>1518</v>
      </c>
      <c r="C124" t="s">
        <v>1737</v>
      </c>
      <c r="D124" t="s">
        <v>1738</v>
      </c>
    </row>
    <row r="125" spans="1:64" hidden="1" x14ac:dyDescent="0.35">
      <c r="A125" t="s">
        <v>1138</v>
      </c>
      <c r="B125" t="s">
        <v>1519</v>
      </c>
      <c r="C125" t="s">
        <v>1737</v>
      </c>
      <c r="D125" t="s">
        <v>1738</v>
      </c>
      <c r="AN125">
        <v>16.3</v>
      </c>
      <c r="AR125">
        <v>11.9</v>
      </c>
      <c r="BD125">
        <v>11.6</v>
      </c>
      <c r="BH125">
        <v>9.8000000000000007</v>
      </c>
      <c r="BK125">
        <v>15.47</v>
      </c>
    </row>
    <row r="126" spans="1:64" hidden="1" x14ac:dyDescent="0.3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35">
      <c r="A127" t="s">
        <v>1521</v>
      </c>
      <c r="B127" t="s">
        <v>1522</v>
      </c>
      <c r="C127" t="s">
        <v>1737</v>
      </c>
      <c r="D127" t="s">
        <v>1738</v>
      </c>
      <c r="AP127">
        <v>11.8</v>
      </c>
      <c r="BE127">
        <v>18</v>
      </c>
      <c r="BG127">
        <v>19.100000000000001</v>
      </c>
      <c r="BK127">
        <v>19</v>
      </c>
    </row>
    <row r="128" spans="1:64" hidden="1" x14ac:dyDescent="0.35">
      <c r="A128" t="s">
        <v>1165</v>
      </c>
      <c r="B128" t="s">
        <v>1523</v>
      </c>
      <c r="C128" t="s">
        <v>1737</v>
      </c>
      <c r="D128" t="s">
        <v>1738</v>
      </c>
      <c r="AS128">
        <v>33</v>
      </c>
      <c r="AX128">
        <v>25.3</v>
      </c>
      <c r="AY128">
        <v>25.3</v>
      </c>
      <c r="BC128">
        <v>16.899999999999999</v>
      </c>
      <c r="BD128">
        <v>16.899999999999999</v>
      </c>
      <c r="BG128">
        <v>12.5</v>
      </c>
    </row>
    <row r="129" spans="1:65" hidden="1" x14ac:dyDescent="0.35">
      <c r="A129" t="s">
        <v>1229</v>
      </c>
      <c r="B129" t="s">
        <v>1524</v>
      </c>
      <c r="C129" t="s">
        <v>1737</v>
      </c>
      <c r="D129" t="s">
        <v>1738</v>
      </c>
      <c r="BB129">
        <v>28</v>
      </c>
      <c r="BL129">
        <v>17.3</v>
      </c>
    </row>
    <row r="130" spans="1:65" hidden="1" x14ac:dyDescent="0.35">
      <c r="A130" t="s">
        <v>1525</v>
      </c>
      <c r="B130" t="s">
        <v>1526</v>
      </c>
      <c r="C130" t="s">
        <v>1737</v>
      </c>
      <c r="D130" t="s">
        <v>1738</v>
      </c>
    </row>
    <row r="131" spans="1:65" hidden="1" x14ac:dyDescent="0.35">
      <c r="A131" t="s">
        <v>1527</v>
      </c>
      <c r="B131" t="s">
        <v>1528</v>
      </c>
      <c r="C131" t="s">
        <v>1737</v>
      </c>
      <c r="D131" t="s">
        <v>1738</v>
      </c>
    </row>
    <row r="132" spans="1:65" hidden="1" x14ac:dyDescent="0.35">
      <c r="A132" t="s">
        <v>1126</v>
      </c>
      <c r="B132" t="s">
        <v>1529</v>
      </c>
      <c r="C132" t="s">
        <v>1737</v>
      </c>
      <c r="D132" t="s">
        <v>1738</v>
      </c>
    </row>
    <row r="133" spans="1:65" hidden="1" x14ac:dyDescent="0.35">
      <c r="A133" t="s">
        <v>1530</v>
      </c>
      <c r="B133" t="s">
        <v>1531</v>
      </c>
      <c r="C133" t="s">
        <v>1737</v>
      </c>
      <c r="D133" t="s">
        <v>1738</v>
      </c>
    </row>
    <row r="134" spans="1:65" hidden="1" x14ac:dyDescent="0.35">
      <c r="A134" t="s">
        <v>1532</v>
      </c>
      <c r="B134" t="s">
        <v>1533</v>
      </c>
      <c r="C134" t="s">
        <v>1737</v>
      </c>
      <c r="D134" t="s">
        <v>1738</v>
      </c>
      <c r="AS134">
        <v>39.5</v>
      </c>
      <c r="AX134">
        <v>27.3</v>
      </c>
      <c r="BE134">
        <v>19.899999999999999</v>
      </c>
      <c r="BJ134">
        <v>14.3</v>
      </c>
    </row>
    <row r="135" spans="1:65" hidden="1" x14ac:dyDescent="0.35">
      <c r="A135" t="s">
        <v>1127</v>
      </c>
      <c r="B135" t="s">
        <v>1534</v>
      </c>
      <c r="C135" t="s">
        <v>1737</v>
      </c>
      <c r="D135" t="s">
        <v>1738</v>
      </c>
    </row>
    <row r="136" spans="1:65" hidden="1" x14ac:dyDescent="0.35">
      <c r="A136" t="s">
        <v>1100</v>
      </c>
      <c r="B136" t="s">
        <v>1535</v>
      </c>
      <c r="C136" t="s">
        <v>1737</v>
      </c>
      <c r="D136" t="s">
        <v>1738</v>
      </c>
      <c r="AE136">
        <v>32.799999999999997</v>
      </c>
      <c r="AZ136">
        <v>35.700000000000003</v>
      </c>
      <c r="BF136">
        <v>31.1</v>
      </c>
      <c r="BM136">
        <v>33.4</v>
      </c>
    </row>
    <row r="137" spans="1:65" hidden="1" x14ac:dyDescent="0.35">
      <c r="A137" t="s">
        <v>1112</v>
      </c>
      <c r="B137" t="s">
        <v>1536</v>
      </c>
      <c r="C137" t="s">
        <v>1737</v>
      </c>
      <c r="D137" t="s">
        <v>1738</v>
      </c>
      <c r="AZ137">
        <v>27</v>
      </c>
      <c r="BG137">
        <v>40.200000000000003</v>
      </c>
    </row>
    <row r="138" spans="1:65" hidden="1" x14ac:dyDescent="0.35">
      <c r="A138" t="s">
        <v>1537</v>
      </c>
      <c r="B138" t="s">
        <v>1538</v>
      </c>
      <c r="C138" t="s">
        <v>1737</v>
      </c>
      <c r="D138" t="s">
        <v>1738</v>
      </c>
      <c r="BE138">
        <v>17</v>
      </c>
    </row>
    <row r="139" spans="1:65" hidden="1" x14ac:dyDescent="0.35">
      <c r="A139" t="s">
        <v>1539</v>
      </c>
      <c r="B139" t="s">
        <v>1540</v>
      </c>
      <c r="C139" t="s">
        <v>1737</v>
      </c>
      <c r="D139" t="s">
        <v>1738</v>
      </c>
    </row>
    <row r="140" spans="1:65" hidden="1" x14ac:dyDescent="0.35">
      <c r="A140" t="s">
        <v>1541</v>
      </c>
      <c r="B140" t="s">
        <v>1542</v>
      </c>
      <c r="C140" t="s">
        <v>1737</v>
      </c>
      <c r="D140" t="s">
        <v>1738</v>
      </c>
      <c r="AS140">
        <v>25.669831802455104</v>
      </c>
      <c r="BC140">
        <v>22.854628994876588</v>
      </c>
      <c r="BJ140">
        <v>21.971698335452484</v>
      </c>
    </row>
    <row r="141" spans="1:65" hidden="1" x14ac:dyDescent="0.35">
      <c r="A141" t="s">
        <v>1543</v>
      </c>
      <c r="B141" t="s">
        <v>1544</v>
      </c>
      <c r="C141" t="s">
        <v>1737</v>
      </c>
      <c r="D141" t="s">
        <v>1738</v>
      </c>
      <c r="BC141">
        <v>24.522398247718971</v>
      </c>
      <c r="BJ141">
        <v>23.491469738023458</v>
      </c>
    </row>
    <row r="142" spans="1:65" hidden="1" x14ac:dyDescent="0.35">
      <c r="A142" t="s">
        <v>1545</v>
      </c>
      <c r="B142" t="s">
        <v>1546</v>
      </c>
      <c r="C142" t="s">
        <v>1737</v>
      </c>
      <c r="D142" t="s">
        <v>1738</v>
      </c>
    </row>
    <row r="143" spans="1:65" hidden="1" x14ac:dyDescent="0.35">
      <c r="A143" t="s">
        <v>1152</v>
      </c>
      <c r="B143" t="s">
        <v>1547</v>
      </c>
      <c r="C143" t="s">
        <v>1737</v>
      </c>
      <c r="D143" t="s">
        <v>1738</v>
      </c>
      <c r="AF143">
        <v>12.3</v>
      </c>
      <c r="AS143">
        <v>18.2</v>
      </c>
      <c r="AZ143">
        <v>7.3</v>
      </c>
      <c r="BI143">
        <v>7.5</v>
      </c>
    </row>
    <row r="144" spans="1:65" hidden="1" x14ac:dyDescent="0.35">
      <c r="A144" t="s">
        <v>1548</v>
      </c>
      <c r="B144" t="s">
        <v>1549</v>
      </c>
      <c r="C144" t="s">
        <v>1737</v>
      </c>
      <c r="D144" t="s">
        <v>1738</v>
      </c>
      <c r="AS144">
        <v>18.589601081369111</v>
      </c>
      <c r="BC144">
        <v>17.401009568341138</v>
      </c>
      <c r="BJ144">
        <v>14.634757238263417</v>
      </c>
    </row>
    <row r="145" spans="1:65" hidden="1" x14ac:dyDescent="0.35">
      <c r="A145" t="s">
        <v>1550</v>
      </c>
      <c r="B145" t="s">
        <v>1551</v>
      </c>
      <c r="C145" t="s">
        <v>1737</v>
      </c>
      <c r="D145" t="s">
        <v>1738</v>
      </c>
      <c r="AS145">
        <v>12.867391699616109</v>
      </c>
    </row>
    <row r="146" spans="1:65" hidden="1" x14ac:dyDescent="0.35">
      <c r="A146" t="s">
        <v>1091</v>
      </c>
      <c r="B146" t="s">
        <v>1552</v>
      </c>
      <c r="C146" t="s">
        <v>1737</v>
      </c>
      <c r="D146" t="s">
        <v>1738</v>
      </c>
      <c r="AW146">
        <v>31</v>
      </c>
      <c r="AX146">
        <v>31</v>
      </c>
      <c r="BB146">
        <v>23.3</v>
      </c>
      <c r="BC146">
        <v>23.3</v>
      </c>
      <c r="BG146">
        <v>18.399999999999999</v>
      </c>
      <c r="BK146">
        <v>16</v>
      </c>
    </row>
    <row r="147" spans="1:65" hidden="1" x14ac:dyDescent="0.35">
      <c r="A147" t="s">
        <v>1553</v>
      </c>
      <c r="B147" t="s">
        <v>1554</v>
      </c>
      <c r="C147" t="s">
        <v>1737</v>
      </c>
      <c r="D147" t="s">
        <v>1738</v>
      </c>
      <c r="AS147">
        <v>3.5003053384659086</v>
      </c>
    </row>
    <row r="148" spans="1:65" hidden="1" x14ac:dyDescent="0.35">
      <c r="A148" t="s">
        <v>1257</v>
      </c>
      <c r="B148" t="s">
        <v>1555</v>
      </c>
      <c r="C148" t="s">
        <v>1737</v>
      </c>
      <c r="D148" t="s">
        <v>1738</v>
      </c>
      <c r="AN148">
        <v>18</v>
      </c>
    </row>
    <row r="149" spans="1:65" hidden="1" x14ac:dyDescent="0.35">
      <c r="A149" t="s">
        <v>1279</v>
      </c>
      <c r="B149" t="s">
        <v>1556</v>
      </c>
      <c r="C149" t="s">
        <v>1737</v>
      </c>
      <c r="D149" t="s">
        <v>1738</v>
      </c>
    </row>
    <row r="150" spans="1:65" hidden="1" x14ac:dyDescent="0.35">
      <c r="A150" t="s">
        <v>1256</v>
      </c>
      <c r="B150" t="s">
        <v>1557</v>
      </c>
      <c r="C150" t="s">
        <v>1737</v>
      </c>
      <c r="D150" t="s">
        <v>1738</v>
      </c>
      <c r="AN150">
        <v>16.8</v>
      </c>
    </row>
    <row r="151" spans="1:65" hidden="1" x14ac:dyDescent="0.35">
      <c r="A151" t="s">
        <v>1558</v>
      </c>
      <c r="B151" t="s">
        <v>1559</v>
      </c>
      <c r="C151" t="s">
        <v>1737</v>
      </c>
      <c r="D151" t="s">
        <v>1738</v>
      </c>
    </row>
    <row r="152" spans="1:65" hidden="1" x14ac:dyDescent="0.35">
      <c r="A152" t="s">
        <v>1560</v>
      </c>
      <c r="B152" t="s">
        <v>1561</v>
      </c>
      <c r="C152" t="s">
        <v>1737</v>
      </c>
      <c r="D152" t="s">
        <v>1738</v>
      </c>
    </row>
    <row r="153" spans="1:65" hidden="1" x14ac:dyDescent="0.35">
      <c r="A153" t="s">
        <v>1113</v>
      </c>
      <c r="B153" t="s">
        <v>1562</v>
      </c>
      <c r="C153" t="s">
        <v>1737</v>
      </c>
      <c r="D153" t="s">
        <v>1738</v>
      </c>
      <c r="AF153">
        <v>22.1</v>
      </c>
      <c r="AK153">
        <v>23.5</v>
      </c>
      <c r="AN153">
        <v>16.100000000000001</v>
      </c>
      <c r="AW153">
        <v>11.9</v>
      </c>
      <c r="BD153">
        <v>10.9</v>
      </c>
      <c r="BK153">
        <v>11.3</v>
      </c>
    </row>
    <row r="154" spans="1:65" hidden="1" x14ac:dyDescent="0.35">
      <c r="A154" t="s">
        <v>1563</v>
      </c>
      <c r="B154" t="s">
        <v>1564</v>
      </c>
      <c r="C154" t="s">
        <v>1737</v>
      </c>
      <c r="D154" t="s">
        <v>1738</v>
      </c>
    </row>
    <row r="155" spans="1:65" hidden="1" x14ac:dyDescent="0.35">
      <c r="A155" t="s">
        <v>1565</v>
      </c>
      <c r="B155" t="s">
        <v>1566</v>
      </c>
      <c r="C155" t="s">
        <v>1737</v>
      </c>
      <c r="D155" t="s">
        <v>1738</v>
      </c>
      <c r="AP155">
        <v>6.7</v>
      </c>
      <c r="AX155">
        <v>11.4</v>
      </c>
      <c r="BE155">
        <v>9.5</v>
      </c>
      <c r="BM155">
        <v>21.2</v>
      </c>
    </row>
    <row r="156" spans="1:65" hidden="1" x14ac:dyDescent="0.35">
      <c r="A156" t="s">
        <v>1075</v>
      </c>
      <c r="B156" t="s">
        <v>1567</v>
      </c>
      <c r="C156" t="s">
        <v>1737</v>
      </c>
      <c r="D156" t="s">
        <v>1738</v>
      </c>
      <c r="AK156">
        <v>32.299999999999997</v>
      </c>
      <c r="AP156">
        <v>27.7</v>
      </c>
      <c r="AW156">
        <v>24.5</v>
      </c>
      <c r="BB156">
        <v>19</v>
      </c>
      <c r="BJ156">
        <v>16.399999999999999</v>
      </c>
      <c r="BK156">
        <v>18.399999999999999</v>
      </c>
    </row>
    <row r="157" spans="1:65" hidden="1" x14ac:dyDescent="0.35">
      <c r="A157" t="s">
        <v>1149</v>
      </c>
      <c r="B157" t="s">
        <v>1568</v>
      </c>
      <c r="C157" t="s">
        <v>1737</v>
      </c>
      <c r="D157" t="s">
        <v>1738</v>
      </c>
      <c r="BB157">
        <v>28.6</v>
      </c>
      <c r="BJ157">
        <v>31.4</v>
      </c>
    </row>
    <row r="158" spans="1:65" hidden="1" x14ac:dyDescent="0.35">
      <c r="A158" t="s">
        <v>1569</v>
      </c>
      <c r="B158" t="s">
        <v>1570</v>
      </c>
      <c r="C158" t="s">
        <v>1737</v>
      </c>
      <c r="D158" t="s">
        <v>1738</v>
      </c>
      <c r="BC158">
        <v>10.095325690306105</v>
      </c>
    </row>
    <row r="159" spans="1:65" hidden="1" x14ac:dyDescent="0.3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35">
      <c r="A160" t="s">
        <v>1572</v>
      </c>
      <c r="B160" t="s">
        <v>1573</v>
      </c>
      <c r="C160" t="s">
        <v>1737</v>
      </c>
      <c r="D160" t="s">
        <v>1738</v>
      </c>
      <c r="AZ160">
        <v>8.1</v>
      </c>
    </row>
    <row r="161" spans="1:64" hidden="1" x14ac:dyDescent="0.35">
      <c r="A161" t="s">
        <v>1574</v>
      </c>
      <c r="B161" t="s">
        <v>1575</v>
      </c>
      <c r="C161" t="s">
        <v>1737</v>
      </c>
      <c r="D161" t="s">
        <v>1738</v>
      </c>
      <c r="AS161">
        <v>12.056826965091568</v>
      </c>
    </row>
    <row r="162" spans="1:64" hidden="1" x14ac:dyDescent="0.35">
      <c r="A162" t="s">
        <v>1269</v>
      </c>
      <c r="B162" t="s">
        <v>1576</v>
      </c>
      <c r="C162" t="s">
        <v>1737</v>
      </c>
      <c r="D162" t="s">
        <v>1738</v>
      </c>
      <c r="BD162">
        <v>17.2</v>
      </c>
      <c r="BL162">
        <v>10.3</v>
      </c>
    </row>
    <row r="163" spans="1:64" hidden="1" x14ac:dyDescent="0.35">
      <c r="A163" t="s">
        <v>1101</v>
      </c>
      <c r="B163" t="s">
        <v>1577</v>
      </c>
      <c r="C163" t="s">
        <v>1737</v>
      </c>
      <c r="D163" t="s">
        <v>1738</v>
      </c>
      <c r="AF163">
        <v>22.9</v>
      </c>
      <c r="AO163">
        <v>27.5</v>
      </c>
      <c r="AT163">
        <v>29.6</v>
      </c>
      <c r="AY163">
        <v>27.6</v>
      </c>
      <c r="BF163">
        <v>26</v>
      </c>
      <c r="BH163">
        <v>30.7</v>
      </c>
      <c r="BK163">
        <v>23.9</v>
      </c>
    </row>
    <row r="164" spans="1:64" hidden="1" x14ac:dyDescent="0.35">
      <c r="A164" t="s">
        <v>1267</v>
      </c>
      <c r="B164" t="s">
        <v>1578</v>
      </c>
      <c r="C164" t="s">
        <v>1737</v>
      </c>
      <c r="D164" t="s">
        <v>1738</v>
      </c>
    </row>
    <row r="165" spans="1:64" hidden="1" x14ac:dyDescent="0.35">
      <c r="A165" t="s">
        <v>1169</v>
      </c>
      <c r="B165" t="s">
        <v>1579</v>
      </c>
      <c r="C165" t="s">
        <v>1737</v>
      </c>
      <c r="D165" t="s">
        <v>1738</v>
      </c>
      <c r="AJ165">
        <v>20.6</v>
      </c>
      <c r="AP165">
        <v>19.100000000000001</v>
      </c>
      <c r="AT165">
        <v>19.100000000000001</v>
      </c>
      <c r="BI165">
        <v>16.2</v>
      </c>
    </row>
    <row r="166" spans="1:64" hidden="1" x14ac:dyDescent="0.35">
      <c r="A166" t="s">
        <v>1580</v>
      </c>
      <c r="B166" t="s">
        <v>1581</v>
      </c>
      <c r="C166" t="s">
        <v>1737</v>
      </c>
      <c r="D166" t="s">
        <v>1738</v>
      </c>
      <c r="BC166">
        <v>9.6862514613038471</v>
      </c>
    </row>
    <row r="167" spans="1:64" hidden="1" x14ac:dyDescent="0.35">
      <c r="A167" t="s">
        <v>1268</v>
      </c>
      <c r="B167" t="s">
        <v>1582</v>
      </c>
      <c r="C167" t="s">
        <v>1737</v>
      </c>
      <c r="D167" t="s">
        <v>1738</v>
      </c>
      <c r="BF167">
        <v>21.8</v>
      </c>
      <c r="BK167">
        <v>21</v>
      </c>
    </row>
    <row r="168" spans="1:64" hidden="1" x14ac:dyDescent="0.35">
      <c r="A168" t="s">
        <v>1161</v>
      </c>
      <c r="B168" t="s">
        <v>1583</v>
      </c>
      <c r="C168" t="s">
        <v>1737</v>
      </c>
      <c r="D168" t="s">
        <v>1738</v>
      </c>
      <c r="AQ168">
        <v>9.9</v>
      </c>
      <c r="AV168">
        <v>4.5999999999999996</v>
      </c>
      <c r="BA168">
        <v>14.4</v>
      </c>
      <c r="BC168">
        <v>22.3</v>
      </c>
      <c r="BF168">
        <v>16</v>
      </c>
      <c r="BK168">
        <v>22.8</v>
      </c>
    </row>
    <row r="169" spans="1:64" hidden="1" x14ac:dyDescent="0.35">
      <c r="A169" t="s">
        <v>1584</v>
      </c>
      <c r="B169" t="s">
        <v>1585</v>
      </c>
      <c r="C169" t="s">
        <v>1737</v>
      </c>
      <c r="D169" t="s">
        <v>1738</v>
      </c>
    </row>
    <row r="170" spans="1:64" hidden="1" x14ac:dyDescent="0.35">
      <c r="A170" t="s">
        <v>601</v>
      </c>
      <c r="B170" t="s">
        <v>1586</v>
      </c>
      <c r="C170" t="s">
        <v>1737</v>
      </c>
      <c r="D170" t="s">
        <v>1738</v>
      </c>
      <c r="AP170">
        <v>24.9</v>
      </c>
      <c r="AV170">
        <v>21.4</v>
      </c>
      <c r="AW170">
        <v>18.899999999999999</v>
      </c>
      <c r="BD170">
        <v>23.9</v>
      </c>
      <c r="BH170">
        <v>23.1</v>
      </c>
    </row>
    <row r="171" spans="1:64" hidden="1" x14ac:dyDescent="0.35">
      <c r="A171" t="s">
        <v>1102</v>
      </c>
      <c r="B171" t="s">
        <v>1587</v>
      </c>
      <c r="C171" t="s">
        <v>1737</v>
      </c>
      <c r="D171" t="s">
        <v>1738</v>
      </c>
      <c r="AT171">
        <v>32.1</v>
      </c>
      <c r="AZ171">
        <v>24.6</v>
      </c>
      <c r="BD171">
        <v>31.1</v>
      </c>
      <c r="BH171">
        <v>33.6</v>
      </c>
    </row>
    <row r="172" spans="1:64" hidden="1" x14ac:dyDescent="0.35">
      <c r="A172" t="s">
        <v>1076</v>
      </c>
      <c r="B172" t="s">
        <v>1588</v>
      </c>
      <c r="C172" t="s">
        <v>1737</v>
      </c>
      <c r="D172" t="s">
        <v>1738</v>
      </c>
      <c r="AJ172">
        <v>6.4</v>
      </c>
      <c r="AU172">
        <v>3.5</v>
      </c>
      <c r="BG172">
        <v>12.5</v>
      </c>
    </row>
    <row r="173" spans="1:64" hidden="1" x14ac:dyDescent="0.35">
      <c r="A173" t="s">
        <v>884</v>
      </c>
      <c r="B173" t="s">
        <v>1589</v>
      </c>
      <c r="C173" t="s">
        <v>1737</v>
      </c>
      <c r="D173" t="s">
        <v>1738</v>
      </c>
      <c r="AK173">
        <v>36.5</v>
      </c>
      <c r="AS173">
        <v>29.9</v>
      </c>
      <c r="AW173">
        <v>30.3</v>
      </c>
      <c r="AX173">
        <v>30.3</v>
      </c>
      <c r="BC173">
        <v>26.2</v>
      </c>
      <c r="BG173">
        <v>19.399999999999999</v>
      </c>
      <c r="BI173">
        <v>18.7</v>
      </c>
    </row>
    <row r="174" spans="1:64" hidden="1" x14ac:dyDescent="0.35">
      <c r="A174" t="s">
        <v>1168</v>
      </c>
      <c r="B174" t="s">
        <v>1590</v>
      </c>
      <c r="C174" t="s">
        <v>1737</v>
      </c>
      <c r="D174" t="s">
        <v>1738</v>
      </c>
    </row>
    <row r="175" spans="1:64" hidden="1" x14ac:dyDescent="0.35">
      <c r="A175" t="s">
        <v>1591</v>
      </c>
      <c r="B175" t="s">
        <v>1592</v>
      </c>
      <c r="C175" t="s">
        <v>1737</v>
      </c>
      <c r="D175" t="s">
        <v>1738</v>
      </c>
      <c r="AI175">
        <v>6</v>
      </c>
      <c r="AS175">
        <v>6.3</v>
      </c>
      <c r="BC175">
        <v>8</v>
      </c>
      <c r="BJ175">
        <v>7.2</v>
      </c>
    </row>
    <row r="176" spans="1:64" hidden="1" x14ac:dyDescent="0.35">
      <c r="A176" t="s">
        <v>603</v>
      </c>
      <c r="B176" t="s">
        <v>1593</v>
      </c>
      <c r="C176" t="s">
        <v>1737</v>
      </c>
      <c r="D176" t="s">
        <v>1738</v>
      </c>
      <c r="AK176">
        <v>21.8</v>
      </c>
      <c r="AS176">
        <v>23.9</v>
      </c>
      <c r="AZ176">
        <v>20.7</v>
      </c>
      <c r="BF176">
        <v>17.5</v>
      </c>
    </row>
    <row r="177" spans="1:64" hidden="1" x14ac:dyDescent="0.35">
      <c r="A177" t="s">
        <v>1223</v>
      </c>
      <c r="B177" t="s">
        <v>1594</v>
      </c>
      <c r="C177" t="s">
        <v>1737</v>
      </c>
      <c r="D177" t="s">
        <v>1738</v>
      </c>
    </row>
    <row r="178" spans="1:64" hidden="1" x14ac:dyDescent="0.35">
      <c r="A178" t="s">
        <v>1103</v>
      </c>
      <c r="B178" t="s">
        <v>1595</v>
      </c>
      <c r="C178" t="s">
        <v>1737</v>
      </c>
      <c r="D178" t="s">
        <v>1738</v>
      </c>
      <c r="AK178">
        <v>18.7</v>
      </c>
      <c r="AQ178">
        <v>17.7</v>
      </c>
      <c r="AY178">
        <v>16.100000000000001</v>
      </c>
      <c r="BE178">
        <v>16</v>
      </c>
      <c r="BI178">
        <v>23.9</v>
      </c>
      <c r="BJ178">
        <v>22.1864159763985</v>
      </c>
      <c r="BK178">
        <v>15</v>
      </c>
    </row>
    <row r="179" spans="1:64" hidden="1" x14ac:dyDescent="0.3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35">
      <c r="A180" t="s">
        <v>1201</v>
      </c>
      <c r="B180" t="s">
        <v>1597</v>
      </c>
      <c r="C180" t="s">
        <v>1737</v>
      </c>
      <c r="D180" t="s">
        <v>1738</v>
      </c>
      <c r="AL180">
        <v>23.9</v>
      </c>
      <c r="AQ180">
        <v>17.899999999999999</v>
      </c>
      <c r="AT180">
        <v>14.6</v>
      </c>
      <c r="AZ180">
        <v>10.7</v>
      </c>
      <c r="BE180">
        <v>5.8</v>
      </c>
    </row>
    <row r="181" spans="1:64" hidden="1" x14ac:dyDescent="0.35">
      <c r="A181" t="s">
        <v>1280</v>
      </c>
      <c r="B181" t="s">
        <v>1598</v>
      </c>
      <c r="C181" t="s">
        <v>1737</v>
      </c>
      <c r="D181" t="s">
        <v>1738</v>
      </c>
    </row>
    <row r="182" spans="1:64" hidden="1" x14ac:dyDescent="0.35">
      <c r="A182" t="s">
        <v>1258</v>
      </c>
      <c r="B182" t="s">
        <v>1599</v>
      </c>
      <c r="C182" t="s">
        <v>1737</v>
      </c>
      <c r="D182" t="s">
        <v>1738</v>
      </c>
    </row>
    <row r="183" spans="1:64" hidden="1" x14ac:dyDescent="0.3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35">
      <c r="A184" t="s">
        <v>1601</v>
      </c>
      <c r="B184" t="s">
        <v>1602</v>
      </c>
      <c r="C184" t="s">
        <v>1737</v>
      </c>
      <c r="D184" t="s">
        <v>1738</v>
      </c>
      <c r="AZ184">
        <v>23.5</v>
      </c>
    </row>
    <row r="185" spans="1:64" hidden="1" x14ac:dyDescent="0.35">
      <c r="A185" t="s">
        <v>1219</v>
      </c>
      <c r="B185" t="s">
        <v>1603</v>
      </c>
      <c r="C185" t="s">
        <v>1737</v>
      </c>
      <c r="D185" t="s">
        <v>1738</v>
      </c>
    </row>
    <row r="186" spans="1:64" hidden="1" x14ac:dyDescent="0.35">
      <c r="A186" t="s">
        <v>1604</v>
      </c>
      <c r="B186" t="s">
        <v>1605</v>
      </c>
      <c r="C186" t="s">
        <v>1737</v>
      </c>
      <c r="D186" t="s">
        <v>1738</v>
      </c>
    </row>
    <row r="187" spans="1:64" hidden="1" x14ac:dyDescent="0.35">
      <c r="A187" t="s">
        <v>1128</v>
      </c>
      <c r="B187" t="s">
        <v>1606</v>
      </c>
      <c r="C187" t="s">
        <v>1737</v>
      </c>
      <c r="D187" t="s">
        <v>1738</v>
      </c>
      <c r="BA187">
        <v>55.9</v>
      </c>
      <c r="BG187">
        <v>17.8</v>
      </c>
    </row>
    <row r="188" spans="1:64" hidden="1" x14ac:dyDescent="0.35">
      <c r="A188" t="s">
        <v>1607</v>
      </c>
      <c r="B188" t="s">
        <v>1608</v>
      </c>
      <c r="C188" t="s">
        <v>1737</v>
      </c>
      <c r="D188" t="s">
        <v>1738</v>
      </c>
    </row>
    <row r="189" spans="1:64" hidden="1" x14ac:dyDescent="0.35">
      <c r="A189" t="s">
        <v>1151</v>
      </c>
      <c r="B189" t="s">
        <v>1609</v>
      </c>
      <c r="C189" t="s">
        <v>1737</v>
      </c>
      <c r="D189" t="s">
        <v>1738</v>
      </c>
      <c r="AJ189">
        <v>30.5</v>
      </c>
      <c r="AP189">
        <v>37.5</v>
      </c>
      <c r="AT189">
        <v>33</v>
      </c>
      <c r="AZ189">
        <v>25.2</v>
      </c>
      <c r="BF189">
        <v>20.100000000000001</v>
      </c>
      <c r="BJ189">
        <v>17.3</v>
      </c>
      <c r="BK189">
        <v>17.3</v>
      </c>
    </row>
    <row r="190" spans="1:64" hidden="1" x14ac:dyDescent="0.35">
      <c r="A190" t="s">
        <v>1202</v>
      </c>
      <c r="B190" t="s">
        <v>1610</v>
      </c>
      <c r="C190" t="s">
        <v>1737</v>
      </c>
      <c r="D190" t="s">
        <v>1738</v>
      </c>
      <c r="AC190">
        <v>16.399999999999999</v>
      </c>
      <c r="AD190">
        <v>16.399999999999999</v>
      </c>
      <c r="BF190">
        <v>16.399999999999999</v>
      </c>
      <c r="BH190">
        <v>24.2</v>
      </c>
    </row>
    <row r="191" spans="1:64" hidden="1" x14ac:dyDescent="0.3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1170</v>
      </c>
      <c r="B192" t="s">
        <v>1612</v>
      </c>
      <c r="C192" t="s">
        <v>1737</v>
      </c>
      <c r="D192" t="s">
        <v>1738</v>
      </c>
      <c r="AL192">
        <v>30.2</v>
      </c>
      <c r="AQ192">
        <v>24.6</v>
      </c>
      <c r="AV192">
        <v>22.5</v>
      </c>
      <c r="BA192">
        <v>22</v>
      </c>
      <c r="BD192">
        <v>19.3</v>
      </c>
      <c r="BF192">
        <v>17.5</v>
      </c>
      <c r="BJ192">
        <v>16.7</v>
      </c>
    </row>
    <row r="193" spans="1:65" hidden="1" x14ac:dyDescent="0.35">
      <c r="A193" t="s">
        <v>1613</v>
      </c>
      <c r="B193" t="s">
        <v>1614</v>
      </c>
      <c r="C193" t="s">
        <v>1737</v>
      </c>
      <c r="D193" t="s">
        <v>1738</v>
      </c>
    </row>
    <row r="194" spans="1:65" hidden="1" x14ac:dyDescent="0.35">
      <c r="A194" t="s">
        <v>1224</v>
      </c>
      <c r="B194" t="s">
        <v>1615</v>
      </c>
      <c r="C194" t="s">
        <v>1737</v>
      </c>
      <c r="D194" t="s">
        <v>1738</v>
      </c>
      <c r="AY194">
        <v>27.4</v>
      </c>
      <c r="AZ194">
        <v>27.4</v>
      </c>
      <c r="BK194">
        <v>25.9</v>
      </c>
    </row>
    <row r="195" spans="1:65" hidden="1" x14ac:dyDescent="0.35">
      <c r="A195" t="s">
        <v>1243</v>
      </c>
      <c r="B195" t="s">
        <v>1616</v>
      </c>
      <c r="C195" t="s">
        <v>1737</v>
      </c>
      <c r="D195" t="s">
        <v>1738</v>
      </c>
    </row>
    <row r="196" spans="1:65" hidden="1" x14ac:dyDescent="0.35">
      <c r="A196" t="s">
        <v>1617</v>
      </c>
      <c r="B196" t="s">
        <v>1618</v>
      </c>
      <c r="C196" t="s">
        <v>1737</v>
      </c>
      <c r="D196" t="s">
        <v>1738</v>
      </c>
      <c r="BC196">
        <v>23.496303893992032</v>
      </c>
      <c r="BJ196">
        <v>23.033218204161027</v>
      </c>
    </row>
    <row r="197" spans="1:65" hidden="1" x14ac:dyDescent="0.35">
      <c r="A197" t="s">
        <v>1189</v>
      </c>
      <c r="B197" t="s">
        <v>1619</v>
      </c>
      <c r="C197" t="s">
        <v>1737</v>
      </c>
      <c r="D197" t="s">
        <v>1738</v>
      </c>
      <c r="AO197">
        <v>4</v>
      </c>
    </row>
    <row r="198" spans="1:65" hidden="1" x14ac:dyDescent="0.35">
      <c r="A198" t="s">
        <v>1620</v>
      </c>
      <c r="B198" t="s">
        <v>1621</v>
      </c>
      <c r="C198" t="s">
        <v>1737</v>
      </c>
      <c r="D198" t="s">
        <v>1738</v>
      </c>
      <c r="AU198">
        <v>16.7</v>
      </c>
      <c r="AY198">
        <v>15.8</v>
      </c>
      <c r="BC198">
        <v>14.5</v>
      </c>
      <c r="BG198">
        <v>7</v>
      </c>
      <c r="BJ198">
        <v>6.6</v>
      </c>
    </row>
    <row r="199" spans="1:65" hidden="1" x14ac:dyDescent="0.35">
      <c r="A199" t="s">
        <v>1270</v>
      </c>
      <c r="B199" t="s">
        <v>1622</v>
      </c>
      <c r="C199" t="s">
        <v>1737</v>
      </c>
      <c r="D199" t="s">
        <v>1738</v>
      </c>
    </row>
    <row r="200" spans="1:65" hidden="1" x14ac:dyDescent="0.35">
      <c r="A200" t="s">
        <v>1212</v>
      </c>
      <c r="B200" t="s">
        <v>1623</v>
      </c>
      <c r="C200" t="s">
        <v>1737</v>
      </c>
      <c r="D200" t="s">
        <v>1738</v>
      </c>
      <c r="AF200">
        <v>32.9</v>
      </c>
      <c r="AI200">
        <v>17.399999999999999</v>
      </c>
      <c r="AO200">
        <v>19.2</v>
      </c>
      <c r="AQ200">
        <v>17.3</v>
      </c>
      <c r="AW200">
        <v>6.6</v>
      </c>
      <c r="BA200">
        <v>4.7</v>
      </c>
      <c r="BI200">
        <v>12.1</v>
      </c>
    </row>
    <row r="201" spans="1:65" hidden="1" x14ac:dyDescent="0.35">
      <c r="A201" t="s">
        <v>1624</v>
      </c>
      <c r="B201" t="s">
        <v>1625</v>
      </c>
      <c r="C201" t="s">
        <v>1737</v>
      </c>
      <c r="D201" t="s">
        <v>1738</v>
      </c>
      <c r="BC201">
        <v>15.6</v>
      </c>
      <c r="BG201">
        <v>10.9</v>
      </c>
      <c r="BM201">
        <v>12.9</v>
      </c>
    </row>
    <row r="202" spans="1:65" hidden="1" x14ac:dyDescent="0.35">
      <c r="A202" t="s">
        <v>1626</v>
      </c>
      <c r="B202" t="s">
        <v>1627</v>
      </c>
      <c r="C202" t="s">
        <v>1737</v>
      </c>
      <c r="D202" t="s">
        <v>1738</v>
      </c>
    </row>
    <row r="203" spans="1:65" hidden="1" x14ac:dyDescent="0.35">
      <c r="A203" t="s">
        <v>1628</v>
      </c>
      <c r="B203" t="s">
        <v>1629</v>
      </c>
      <c r="C203" t="s">
        <v>1737</v>
      </c>
      <c r="D203" t="s">
        <v>1738</v>
      </c>
    </row>
    <row r="204" spans="1:65" hidden="1" x14ac:dyDescent="0.35">
      <c r="A204" t="s">
        <v>1232</v>
      </c>
      <c r="B204" t="s">
        <v>1630</v>
      </c>
      <c r="C204" t="s">
        <v>1737</v>
      </c>
      <c r="D204" t="s">
        <v>1738</v>
      </c>
    </row>
    <row r="205" spans="1:65" hidden="1" x14ac:dyDescent="0.35">
      <c r="A205" t="s">
        <v>1129</v>
      </c>
      <c r="B205" t="s">
        <v>1631</v>
      </c>
      <c r="C205" t="s">
        <v>1737</v>
      </c>
      <c r="D205" t="s">
        <v>1738</v>
      </c>
      <c r="BE205">
        <v>12.4</v>
      </c>
    </row>
    <row r="206" spans="1:65" hidden="1" x14ac:dyDescent="0.35">
      <c r="A206" t="s">
        <v>1245</v>
      </c>
      <c r="B206" t="s">
        <v>1632</v>
      </c>
      <c r="C206" t="s">
        <v>1737</v>
      </c>
      <c r="D206" t="s">
        <v>1738</v>
      </c>
      <c r="AL206">
        <v>11.4</v>
      </c>
      <c r="AR206">
        <v>5.6</v>
      </c>
      <c r="AW206">
        <v>11.9</v>
      </c>
    </row>
    <row r="207" spans="1:65" hidden="1" x14ac:dyDescent="0.35">
      <c r="A207" t="s">
        <v>1246</v>
      </c>
      <c r="B207" t="s">
        <v>1633</v>
      </c>
      <c r="C207" t="s">
        <v>1737</v>
      </c>
      <c r="D207" t="s">
        <v>1738</v>
      </c>
      <c r="BD207">
        <v>8</v>
      </c>
    </row>
    <row r="208" spans="1:65" hidden="1" x14ac:dyDescent="0.35">
      <c r="A208" t="s">
        <v>605</v>
      </c>
      <c r="B208" t="s">
        <v>1634</v>
      </c>
      <c r="C208" t="s">
        <v>1737</v>
      </c>
      <c r="D208" t="s">
        <v>1738</v>
      </c>
      <c r="AK208">
        <v>38.200000000000003</v>
      </c>
      <c r="AS208">
        <v>36.4</v>
      </c>
      <c r="AX208">
        <v>38.5</v>
      </c>
      <c r="BA208">
        <v>34.4</v>
      </c>
      <c r="BC208">
        <v>20.8</v>
      </c>
      <c r="BD208">
        <v>20.8</v>
      </c>
      <c r="BH208">
        <v>18.899999999999999</v>
      </c>
    </row>
    <row r="209" spans="1:64" hidden="1" x14ac:dyDescent="0.35">
      <c r="A209" t="s">
        <v>1635</v>
      </c>
      <c r="B209" t="s">
        <v>1636</v>
      </c>
      <c r="C209" t="s">
        <v>1737</v>
      </c>
      <c r="D209" t="s">
        <v>1738</v>
      </c>
      <c r="AS209">
        <v>18.141449014154649</v>
      </c>
      <c r="BC209">
        <v>19.851160253330214</v>
      </c>
      <c r="BJ209">
        <v>13.833978702388332</v>
      </c>
    </row>
    <row r="210" spans="1:64" hidden="1" x14ac:dyDescent="0.35">
      <c r="A210" t="s">
        <v>1130</v>
      </c>
      <c r="B210" t="s">
        <v>1637</v>
      </c>
      <c r="C210" t="s">
        <v>1737</v>
      </c>
      <c r="D210" t="s">
        <v>1738</v>
      </c>
    </row>
    <row r="211" spans="1:64" hidden="1" x14ac:dyDescent="0.35">
      <c r="A211" t="s">
        <v>1114</v>
      </c>
      <c r="B211" t="s">
        <v>1638</v>
      </c>
      <c r="C211" t="s">
        <v>1737</v>
      </c>
      <c r="D211" t="s">
        <v>1738</v>
      </c>
      <c r="AI211">
        <v>28.9</v>
      </c>
      <c r="AL211">
        <v>26</v>
      </c>
      <c r="BC211">
        <v>28.9</v>
      </c>
      <c r="BG211">
        <v>26.6</v>
      </c>
    </row>
    <row r="212" spans="1:64" hidden="1" x14ac:dyDescent="0.3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35">
      <c r="A213" t="s">
        <v>1171</v>
      </c>
      <c r="B213" t="s">
        <v>1640</v>
      </c>
      <c r="C213" t="s">
        <v>1737</v>
      </c>
      <c r="D213" t="s">
        <v>1738</v>
      </c>
    </row>
    <row r="214" spans="1:64" hidden="1" x14ac:dyDescent="0.35">
      <c r="A214" t="s">
        <v>1225</v>
      </c>
      <c r="B214" t="s">
        <v>1641</v>
      </c>
      <c r="C214" t="s">
        <v>1737</v>
      </c>
      <c r="D214" t="s">
        <v>1738</v>
      </c>
      <c r="AZ214">
        <v>11.1</v>
      </c>
      <c r="BH214">
        <v>34.700000000000003</v>
      </c>
    </row>
    <row r="215" spans="1:64" hidden="1" x14ac:dyDescent="0.35">
      <c r="A215" t="s">
        <v>1106</v>
      </c>
      <c r="B215" t="s">
        <v>1642</v>
      </c>
      <c r="C215" t="s">
        <v>1737</v>
      </c>
      <c r="D215" t="s">
        <v>1738</v>
      </c>
      <c r="BA215">
        <v>28.4</v>
      </c>
      <c r="BC215">
        <v>27.4</v>
      </c>
      <c r="BF215">
        <v>25</v>
      </c>
      <c r="BJ215">
        <v>26.3</v>
      </c>
      <c r="BL215">
        <v>24.8</v>
      </c>
    </row>
    <row r="216" spans="1:64" hidden="1" x14ac:dyDescent="0.35">
      <c r="A216" t="s">
        <v>1197</v>
      </c>
      <c r="B216" t="s">
        <v>1643</v>
      </c>
      <c r="C216" t="s">
        <v>1737</v>
      </c>
      <c r="D216" t="s">
        <v>1738</v>
      </c>
      <c r="AG216">
        <v>16.2</v>
      </c>
      <c r="AL216">
        <v>15.8</v>
      </c>
      <c r="AQ216">
        <v>14.2</v>
      </c>
      <c r="AV216">
        <v>8.9</v>
      </c>
      <c r="BA216">
        <v>18.399999999999999</v>
      </c>
      <c r="BG216">
        <v>11.1</v>
      </c>
    </row>
    <row r="217" spans="1:64" hidden="1" x14ac:dyDescent="0.35">
      <c r="A217" t="s">
        <v>1644</v>
      </c>
      <c r="B217" t="s">
        <v>1645</v>
      </c>
      <c r="C217" t="s">
        <v>1737</v>
      </c>
      <c r="D217" t="s">
        <v>1738</v>
      </c>
    </row>
    <row r="218" spans="1:64" hidden="1" x14ac:dyDescent="0.35">
      <c r="A218" t="s">
        <v>1080</v>
      </c>
      <c r="B218" t="s">
        <v>1646</v>
      </c>
      <c r="C218" t="s">
        <v>1737</v>
      </c>
      <c r="D218" t="s">
        <v>1738</v>
      </c>
      <c r="BD218">
        <v>20.2</v>
      </c>
      <c r="BL218">
        <v>36.6</v>
      </c>
    </row>
    <row r="219" spans="1:64" hidden="1" x14ac:dyDescent="0.35">
      <c r="A219" t="s">
        <v>1271</v>
      </c>
      <c r="B219" t="s">
        <v>1647</v>
      </c>
      <c r="C219" t="s">
        <v>1737</v>
      </c>
      <c r="D219" t="s">
        <v>1738</v>
      </c>
      <c r="BC219">
        <v>6.6</v>
      </c>
      <c r="BG219">
        <v>14.9</v>
      </c>
      <c r="BL219">
        <v>8.8000000000000007</v>
      </c>
    </row>
    <row r="220" spans="1:64" hidden="1" x14ac:dyDescent="0.35">
      <c r="A220" t="s">
        <v>1648</v>
      </c>
      <c r="B220" t="s">
        <v>1649</v>
      </c>
      <c r="C220" t="s">
        <v>1737</v>
      </c>
      <c r="D220" t="s">
        <v>1738</v>
      </c>
      <c r="AS220">
        <v>25.587193820020673</v>
      </c>
      <c r="BC220">
        <v>24.273167007508412</v>
      </c>
      <c r="BJ220">
        <v>22.575948707139936</v>
      </c>
    </row>
    <row r="221" spans="1:64" hidden="1" x14ac:dyDescent="0.35">
      <c r="A221" t="s">
        <v>1081</v>
      </c>
      <c r="B221" t="s">
        <v>1650</v>
      </c>
      <c r="C221" t="s">
        <v>1737</v>
      </c>
      <c r="D221" t="s">
        <v>1738</v>
      </c>
      <c r="BC221">
        <v>26.3</v>
      </c>
    </row>
    <row r="222" spans="1:64" hidden="1" x14ac:dyDescent="0.35">
      <c r="A222" t="s">
        <v>1651</v>
      </c>
      <c r="B222" t="s">
        <v>1652</v>
      </c>
      <c r="C222" t="s">
        <v>1737</v>
      </c>
      <c r="D222" t="s">
        <v>1738</v>
      </c>
      <c r="AS222">
        <v>25.587193820020673</v>
      </c>
      <c r="BC222">
        <v>24.27316700750842</v>
      </c>
      <c r="BJ222">
        <v>22.575948707139947</v>
      </c>
    </row>
    <row r="223" spans="1:64" hidden="1" x14ac:dyDescent="0.35">
      <c r="A223" t="s">
        <v>1653</v>
      </c>
      <c r="B223" t="s">
        <v>1654</v>
      </c>
      <c r="C223" t="s">
        <v>1737</v>
      </c>
      <c r="D223" t="s">
        <v>1738</v>
      </c>
    </row>
    <row r="224" spans="1:64" hidden="1" x14ac:dyDescent="0.35">
      <c r="A224" t="s">
        <v>1089</v>
      </c>
      <c r="B224" t="s">
        <v>1655</v>
      </c>
      <c r="C224" t="s">
        <v>1737</v>
      </c>
      <c r="D224" t="s">
        <v>1738</v>
      </c>
      <c r="BB224">
        <v>37.6</v>
      </c>
      <c r="BG224">
        <v>32.700000000000003</v>
      </c>
      <c r="BL224">
        <v>27.1</v>
      </c>
    </row>
    <row r="225" spans="1:64" hidden="1" x14ac:dyDescent="0.35">
      <c r="A225" t="s">
        <v>1214</v>
      </c>
      <c r="B225" t="s">
        <v>1656</v>
      </c>
      <c r="C225" t="s">
        <v>1737</v>
      </c>
      <c r="D225" t="s">
        <v>1738</v>
      </c>
      <c r="BC225">
        <v>16.899999999999999</v>
      </c>
      <c r="BK225">
        <v>28.4</v>
      </c>
    </row>
    <row r="226" spans="1:64" hidden="1" x14ac:dyDescent="0.35">
      <c r="A226" t="s">
        <v>1657</v>
      </c>
      <c r="B226" t="s">
        <v>1658</v>
      </c>
      <c r="C226" t="s">
        <v>1737</v>
      </c>
      <c r="D226" t="s">
        <v>1738</v>
      </c>
    </row>
    <row r="227" spans="1:64" hidden="1" x14ac:dyDescent="0.35">
      <c r="A227" t="s">
        <v>1272</v>
      </c>
      <c r="B227" t="s">
        <v>1659</v>
      </c>
      <c r="C227" t="s">
        <v>1737</v>
      </c>
      <c r="D227" t="s">
        <v>1738</v>
      </c>
      <c r="AN227">
        <v>9.1999999999999993</v>
      </c>
    </row>
    <row r="228" spans="1:64" hidden="1" x14ac:dyDescent="0.35">
      <c r="A228" t="s">
        <v>1259</v>
      </c>
      <c r="B228" t="s">
        <v>1660</v>
      </c>
      <c r="C228" t="s">
        <v>1737</v>
      </c>
      <c r="D228" t="s">
        <v>1738</v>
      </c>
      <c r="BF228">
        <v>6.5</v>
      </c>
      <c r="BJ228">
        <v>8.5</v>
      </c>
    </row>
    <row r="229" spans="1:64" hidden="1" x14ac:dyDescent="0.35">
      <c r="A229" t="s">
        <v>608</v>
      </c>
      <c r="B229" t="s">
        <v>1661</v>
      </c>
      <c r="C229" t="s">
        <v>1737</v>
      </c>
      <c r="D229" t="s">
        <v>1738</v>
      </c>
      <c r="AZ229">
        <v>24.7</v>
      </c>
      <c r="BC229">
        <v>13</v>
      </c>
      <c r="BG229">
        <v>15.2</v>
      </c>
    </row>
    <row r="230" spans="1:64" hidden="1" x14ac:dyDescent="0.35">
      <c r="A230" t="s">
        <v>1662</v>
      </c>
      <c r="B230" t="s">
        <v>1663</v>
      </c>
      <c r="C230" t="s">
        <v>1737</v>
      </c>
      <c r="D230" t="s">
        <v>1738</v>
      </c>
    </row>
    <row r="231" spans="1:64" hidden="1" x14ac:dyDescent="0.35">
      <c r="A231" t="s">
        <v>1079</v>
      </c>
      <c r="B231" t="s">
        <v>1664</v>
      </c>
      <c r="C231" t="s">
        <v>1737</v>
      </c>
      <c r="D231" t="s">
        <v>1738</v>
      </c>
    </row>
    <row r="232" spans="1:64" hidden="1" x14ac:dyDescent="0.35">
      <c r="A232" t="s">
        <v>1132</v>
      </c>
      <c r="B232" t="s">
        <v>1665</v>
      </c>
      <c r="C232" t="s">
        <v>1737</v>
      </c>
      <c r="D232" t="s">
        <v>1738</v>
      </c>
      <c r="BB232">
        <v>16.399999999999999</v>
      </c>
      <c r="BC232">
        <v>16.399999999999999</v>
      </c>
    </row>
    <row r="233" spans="1:64" hidden="1" x14ac:dyDescent="0.35">
      <c r="A233" t="s">
        <v>1666</v>
      </c>
      <c r="B233" t="s">
        <v>1667</v>
      </c>
      <c r="C233" t="s">
        <v>1737</v>
      </c>
      <c r="D233" t="s">
        <v>1738</v>
      </c>
    </row>
    <row r="234" spans="1:64" hidden="1" x14ac:dyDescent="0.35">
      <c r="A234" t="s">
        <v>1085</v>
      </c>
      <c r="B234" t="s">
        <v>1668</v>
      </c>
      <c r="C234" t="s">
        <v>1737</v>
      </c>
      <c r="D234" t="s">
        <v>1738</v>
      </c>
      <c r="AP234">
        <v>17.399999999999999</v>
      </c>
      <c r="AW234">
        <v>20.6</v>
      </c>
      <c r="BC234">
        <v>28.3</v>
      </c>
      <c r="BH234">
        <v>22.9</v>
      </c>
      <c r="BL234">
        <v>30.2</v>
      </c>
    </row>
    <row r="235" spans="1:64" hidden="1" x14ac:dyDescent="0.35">
      <c r="A235" t="s">
        <v>1669</v>
      </c>
      <c r="B235" t="s">
        <v>1670</v>
      </c>
      <c r="C235" t="s">
        <v>1737</v>
      </c>
      <c r="D235" t="s">
        <v>1738</v>
      </c>
      <c r="AI235">
        <v>5.5430541004073612</v>
      </c>
      <c r="AS235">
        <v>4.4956026625920913</v>
      </c>
    </row>
    <row r="236" spans="1:64" hidden="1" x14ac:dyDescent="0.35">
      <c r="A236" t="s">
        <v>1671</v>
      </c>
      <c r="B236" t="s">
        <v>1672</v>
      </c>
      <c r="C236" t="s">
        <v>1737</v>
      </c>
      <c r="D236" t="s">
        <v>1738</v>
      </c>
      <c r="BC236">
        <v>8.6003922174420158</v>
      </c>
    </row>
    <row r="237" spans="1:64" hidden="1" x14ac:dyDescent="0.35">
      <c r="A237" t="s">
        <v>1107</v>
      </c>
      <c r="B237" t="s">
        <v>1673</v>
      </c>
      <c r="C237" t="s">
        <v>1737</v>
      </c>
      <c r="D237" t="s">
        <v>1738</v>
      </c>
      <c r="AG237">
        <v>40.1</v>
      </c>
      <c r="AQ237">
        <v>35</v>
      </c>
      <c r="BC237">
        <v>37.200000000000003</v>
      </c>
      <c r="BG237">
        <v>33.6</v>
      </c>
      <c r="BJ237">
        <v>34</v>
      </c>
    </row>
    <row r="238" spans="1:64" hidden="1" x14ac:dyDescent="0.35">
      <c r="A238" t="s">
        <v>1172</v>
      </c>
      <c r="B238" t="s">
        <v>1674</v>
      </c>
      <c r="C238" t="s">
        <v>1737</v>
      </c>
      <c r="D238" t="s">
        <v>1738</v>
      </c>
      <c r="AF238">
        <v>11.1</v>
      </c>
      <c r="BE238">
        <v>6.9</v>
      </c>
      <c r="BI238">
        <v>6.2</v>
      </c>
      <c r="BL238">
        <v>8</v>
      </c>
    </row>
    <row r="239" spans="1:64" hidden="1" x14ac:dyDescent="0.35">
      <c r="A239" t="s">
        <v>1140</v>
      </c>
      <c r="B239" t="s">
        <v>1675</v>
      </c>
      <c r="C239" t="s">
        <v>1737</v>
      </c>
      <c r="D239" t="s">
        <v>1738</v>
      </c>
      <c r="BE239">
        <v>22.9</v>
      </c>
      <c r="BJ239">
        <v>22.7</v>
      </c>
    </row>
    <row r="240" spans="1:64" hidden="1" x14ac:dyDescent="0.35">
      <c r="A240" t="s">
        <v>1141</v>
      </c>
      <c r="B240" t="s">
        <v>1676</v>
      </c>
      <c r="C240" t="s">
        <v>1737</v>
      </c>
      <c r="D240" t="s">
        <v>1738</v>
      </c>
      <c r="AS240">
        <v>13.1</v>
      </c>
      <c r="BH240">
        <v>12.1</v>
      </c>
      <c r="BI240">
        <v>12.1</v>
      </c>
      <c r="BL240">
        <v>9.6999999999999993</v>
      </c>
    </row>
    <row r="241" spans="1:64" hidden="1" x14ac:dyDescent="0.35">
      <c r="A241" t="s">
        <v>1677</v>
      </c>
      <c r="B241" t="s">
        <v>1678</v>
      </c>
      <c r="C241" t="s">
        <v>1737</v>
      </c>
      <c r="D241" t="s">
        <v>1738</v>
      </c>
    </row>
    <row r="242" spans="1:64" hidden="1" x14ac:dyDescent="0.35">
      <c r="A242" t="s">
        <v>1173</v>
      </c>
      <c r="B242" t="s">
        <v>1679</v>
      </c>
      <c r="C242" t="s">
        <v>1737</v>
      </c>
      <c r="D242" t="s">
        <v>1738</v>
      </c>
      <c r="AJ242">
        <v>18.3</v>
      </c>
      <c r="AM242">
        <v>13.3</v>
      </c>
      <c r="AP242">
        <v>17.399999999999999</v>
      </c>
      <c r="BC242">
        <v>31.5</v>
      </c>
      <c r="BI242">
        <v>25.3</v>
      </c>
    </row>
    <row r="243" spans="1:64" hidden="1" x14ac:dyDescent="0.35">
      <c r="A243" t="s">
        <v>1680</v>
      </c>
      <c r="B243" t="s">
        <v>1681</v>
      </c>
      <c r="C243" t="s">
        <v>1737</v>
      </c>
      <c r="D243" t="s">
        <v>1738</v>
      </c>
      <c r="BC243">
        <v>9.6191050253589978</v>
      </c>
    </row>
    <row r="244" spans="1:64" hidden="1" x14ac:dyDescent="0.35">
      <c r="A244" t="s">
        <v>1234</v>
      </c>
      <c r="B244" t="s">
        <v>1682</v>
      </c>
      <c r="C244" t="s">
        <v>1737</v>
      </c>
      <c r="D244" t="s">
        <v>1738</v>
      </c>
      <c r="BE244">
        <v>25.2</v>
      </c>
    </row>
    <row r="245" spans="1:64" hidden="1" x14ac:dyDescent="0.35">
      <c r="A245" t="s">
        <v>1683</v>
      </c>
      <c r="B245" t="s">
        <v>1684</v>
      </c>
      <c r="C245" t="s">
        <v>1737</v>
      </c>
      <c r="D245" t="s">
        <v>1738</v>
      </c>
      <c r="AS245">
        <v>18.141449014154649</v>
      </c>
      <c r="BC245">
        <v>19.851160253330214</v>
      </c>
      <c r="BJ245">
        <v>13.833978702388332</v>
      </c>
    </row>
    <row r="246" spans="1:64" hidden="1" x14ac:dyDescent="0.35">
      <c r="A246" t="s">
        <v>1685</v>
      </c>
      <c r="B246" t="s">
        <v>1686</v>
      </c>
      <c r="C246" t="s">
        <v>1737</v>
      </c>
      <c r="D246" t="s">
        <v>1738</v>
      </c>
      <c r="AS246">
        <v>25.587193820020673</v>
      </c>
      <c r="BC246">
        <v>24.273167007508412</v>
      </c>
      <c r="BJ246">
        <v>22.575948707139943</v>
      </c>
    </row>
    <row r="247" spans="1:64" hidden="1" x14ac:dyDescent="0.35">
      <c r="A247" t="s">
        <v>1192</v>
      </c>
      <c r="B247" t="s">
        <v>1687</v>
      </c>
      <c r="C247" t="s">
        <v>1737</v>
      </c>
      <c r="D247" t="s">
        <v>1738</v>
      </c>
      <c r="AF247">
        <v>16.100000000000001</v>
      </c>
      <c r="AY247">
        <v>26.7</v>
      </c>
      <c r="BD247">
        <v>24.3</v>
      </c>
    </row>
    <row r="248" spans="1:64" hidden="1" x14ac:dyDescent="0.35">
      <c r="A248" t="s">
        <v>1115</v>
      </c>
      <c r="B248" t="s">
        <v>1688</v>
      </c>
      <c r="C248" t="s">
        <v>1737</v>
      </c>
      <c r="D248" t="s">
        <v>1738</v>
      </c>
      <c r="AT248">
        <v>12.1</v>
      </c>
      <c r="BE248">
        <v>7</v>
      </c>
      <c r="BK248">
        <v>19.899999999999999</v>
      </c>
    </row>
    <row r="249" spans="1:64" hidden="1" x14ac:dyDescent="0.35">
      <c r="A249" t="s">
        <v>1133</v>
      </c>
      <c r="B249" t="s">
        <v>1689</v>
      </c>
      <c r="C249" t="s">
        <v>1737</v>
      </c>
      <c r="D249" t="s">
        <v>1738</v>
      </c>
      <c r="AL249">
        <v>14.6</v>
      </c>
      <c r="AQ249">
        <v>14</v>
      </c>
      <c r="AV249">
        <v>6.5</v>
      </c>
      <c r="AW249">
        <v>9.5</v>
      </c>
      <c r="BA249">
        <v>8.6</v>
      </c>
      <c r="BF249">
        <v>5.9</v>
      </c>
      <c r="BG249">
        <v>5.9</v>
      </c>
      <c r="BK249">
        <v>11.6</v>
      </c>
    </row>
    <row r="250" spans="1:64" hidden="1" x14ac:dyDescent="0.35">
      <c r="A250" t="s">
        <v>1690</v>
      </c>
      <c r="B250" t="s">
        <v>1691</v>
      </c>
      <c r="C250" t="s">
        <v>1737</v>
      </c>
      <c r="D250" t="s">
        <v>1738</v>
      </c>
      <c r="AZ250">
        <v>24.2</v>
      </c>
    </row>
    <row r="251" spans="1:64" hidden="1" x14ac:dyDescent="0.35">
      <c r="A251" t="s">
        <v>1692</v>
      </c>
      <c r="B251" t="s">
        <v>1693</v>
      </c>
      <c r="C251" t="s">
        <v>1737</v>
      </c>
      <c r="D251" t="s">
        <v>1738</v>
      </c>
      <c r="AK251">
        <v>27.8</v>
      </c>
      <c r="AM251">
        <v>27.3</v>
      </c>
      <c r="AO251">
        <v>26</v>
      </c>
      <c r="AR251">
        <v>22.3</v>
      </c>
      <c r="AX251">
        <v>24.3</v>
      </c>
      <c r="BC251">
        <v>25.3</v>
      </c>
      <c r="BI251">
        <v>22.1</v>
      </c>
    </row>
    <row r="252" spans="1:64" hidden="1" x14ac:dyDescent="0.3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35">
      <c r="A253" t="s">
        <v>1248</v>
      </c>
      <c r="B253" t="s">
        <v>1695</v>
      </c>
      <c r="C253" t="s">
        <v>1737</v>
      </c>
      <c r="D253" t="s">
        <v>1738</v>
      </c>
      <c r="AR253">
        <v>17.5</v>
      </c>
      <c r="AZ253">
        <v>10.1</v>
      </c>
      <c r="BE253">
        <v>4.9000000000000004</v>
      </c>
    </row>
    <row r="254" spans="1:64" hidden="1" x14ac:dyDescent="0.35">
      <c r="A254" t="s">
        <v>1696</v>
      </c>
      <c r="B254" t="s">
        <v>1697</v>
      </c>
      <c r="C254" t="s">
        <v>1737</v>
      </c>
      <c r="D254" t="s">
        <v>1738</v>
      </c>
      <c r="AS254">
        <v>4.3933023543936276</v>
      </c>
    </row>
    <row r="255" spans="1:64" hidden="1" x14ac:dyDescent="0.35">
      <c r="A255" t="s">
        <v>1215</v>
      </c>
      <c r="B255" t="s">
        <v>1698</v>
      </c>
      <c r="C255" t="s">
        <v>1737</v>
      </c>
      <c r="D255" t="s">
        <v>1738</v>
      </c>
    </row>
    <row r="256" spans="1:64" hidden="1" x14ac:dyDescent="0.35">
      <c r="A256" t="s">
        <v>1699</v>
      </c>
      <c r="B256" t="s">
        <v>1700</v>
      </c>
      <c r="C256" t="s">
        <v>1737</v>
      </c>
      <c r="D256" t="s">
        <v>1738</v>
      </c>
      <c r="AG256">
        <v>4</v>
      </c>
      <c r="AI256">
        <v>6</v>
      </c>
      <c r="AU256">
        <v>6.3</v>
      </c>
      <c r="AZ256">
        <v>5.8</v>
      </c>
      <c r="BA256">
        <v>5.8</v>
      </c>
      <c r="BC256">
        <v>8</v>
      </c>
      <c r="BG256">
        <v>9</v>
      </c>
      <c r="BH256">
        <v>9</v>
      </c>
      <c r="BL256">
        <v>7.2</v>
      </c>
    </row>
    <row r="257" spans="1:63" hidden="1" x14ac:dyDescent="0.35">
      <c r="A257" t="s">
        <v>1142</v>
      </c>
      <c r="B257" t="s">
        <v>1701</v>
      </c>
      <c r="C257" t="s">
        <v>1737</v>
      </c>
      <c r="D257" t="s">
        <v>1738</v>
      </c>
      <c r="AO257">
        <v>13.7</v>
      </c>
    </row>
    <row r="258" spans="1:63" hidden="1" x14ac:dyDescent="0.35">
      <c r="A258" t="s">
        <v>1702</v>
      </c>
      <c r="B258" t="s">
        <v>1703</v>
      </c>
      <c r="C258" t="s">
        <v>1737</v>
      </c>
      <c r="D258" t="s">
        <v>1738</v>
      </c>
    </row>
    <row r="259" spans="1:63" hidden="1" x14ac:dyDescent="0.35">
      <c r="A259" t="s">
        <v>1704</v>
      </c>
      <c r="B259" t="s">
        <v>1705</v>
      </c>
      <c r="C259" t="s">
        <v>1737</v>
      </c>
      <c r="D259" t="s">
        <v>1738</v>
      </c>
      <c r="AQ259">
        <v>18.899999999999999</v>
      </c>
    </row>
    <row r="260" spans="1:63" hidden="1" x14ac:dyDescent="0.35">
      <c r="A260" t="s">
        <v>1706</v>
      </c>
      <c r="B260" t="s">
        <v>1707</v>
      </c>
      <c r="C260" t="s">
        <v>1737</v>
      </c>
      <c r="D260" t="s">
        <v>1738</v>
      </c>
    </row>
    <row r="261" spans="1:63" hidden="1" x14ac:dyDescent="0.35">
      <c r="A261" t="s">
        <v>1708</v>
      </c>
      <c r="B261" t="s">
        <v>1709</v>
      </c>
      <c r="C261" t="s">
        <v>1737</v>
      </c>
      <c r="D261" t="s">
        <v>1738</v>
      </c>
    </row>
    <row r="262" spans="1:63" hidden="1" x14ac:dyDescent="0.35">
      <c r="A262" t="s">
        <v>1710</v>
      </c>
      <c r="B262" t="s">
        <v>1711</v>
      </c>
      <c r="C262" t="s">
        <v>1737</v>
      </c>
      <c r="D262" t="s">
        <v>1738</v>
      </c>
      <c r="AP262">
        <v>8.4</v>
      </c>
      <c r="AU262">
        <v>6.6</v>
      </c>
      <c r="BD262">
        <v>4.3</v>
      </c>
      <c r="BG262">
        <v>6.1</v>
      </c>
    </row>
    <row r="263" spans="1:63" hidden="1" x14ac:dyDescent="0.35">
      <c r="A263" t="s">
        <v>1226</v>
      </c>
      <c r="B263" t="s">
        <v>1712</v>
      </c>
      <c r="C263" t="s">
        <v>1737</v>
      </c>
      <c r="D263" t="s">
        <v>1738</v>
      </c>
      <c r="BF263">
        <v>24.2</v>
      </c>
    </row>
    <row r="264" spans="1:63" hidden="1" x14ac:dyDescent="0.35">
      <c r="A264" t="s">
        <v>1022</v>
      </c>
      <c r="B264" t="s">
        <v>1713</v>
      </c>
      <c r="C264" t="s">
        <v>1737</v>
      </c>
      <c r="D264" t="s">
        <v>1738</v>
      </c>
    </row>
    <row r="265" spans="1:63" hidden="1" x14ac:dyDescent="0.35">
      <c r="A265" t="s">
        <v>1233</v>
      </c>
      <c r="B265" t="s">
        <v>1714</v>
      </c>
      <c r="C265" t="s">
        <v>1737</v>
      </c>
      <c r="D265" t="s">
        <v>1738</v>
      </c>
      <c r="BB265">
        <v>47.7</v>
      </c>
      <c r="BG265">
        <v>34.799999999999997</v>
      </c>
    </row>
    <row r="266" spans="1:63" hidden="1" x14ac:dyDescent="0.35">
      <c r="A266" t="s">
        <v>1715</v>
      </c>
      <c r="B266" t="s">
        <v>1716</v>
      </c>
      <c r="C266" t="s">
        <v>1737</v>
      </c>
      <c r="D266" t="s">
        <v>1738</v>
      </c>
    </row>
    <row r="267" spans="1:63" hidden="1" x14ac:dyDescent="0.35">
      <c r="A267" t="s">
        <v>1717</v>
      </c>
      <c r="B267" t="s">
        <v>1718</v>
      </c>
      <c r="C267" t="s">
        <v>1737</v>
      </c>
      <c r="D267" t="s">
        <v>1738</v>
      </c>
      <c r="AK267">
        <v>38.1</v>
      </c>
      <c r="AP267">
        <v>40</v>
      </c>
      <c r="AY267">
        <v>23.6</v>
      </c>
      <c r="BF267">
        <v>28.7</v>
      </c>
    </row>
    <row r="268" spans="1:63" hidden="1" x14ac:dyDescent="0.35">
      <c r="A268" t="s">
        <v>607</v>
      </c>
      <c r="B268" t="s">
        <v>1719</v>
      </c>
      <c r="C268" t="s">
        <v>1737</v>
      </c>
      <c r="D268" t="s">
        <v>1738</v>
      </c>
      <c r="AQ268">
        <v>16.5</v>
      </c>
      <c r="AV268">
        <v>13.8</v>
      </c>
      <c r="AW268">
        <v>13.8</v>
      </c>
      <c r="BI268">
        <v>14.9</v>
      </c>
    </row>
    <row r="269" spans="1:63" hidden="1" x14ac:dyDescent="0.35">
      <c r="A269" t="s">
        <v>611</v>
      </c>
      <c r="B269" t="s">
        <v>1720</v>
      </c>
      <c r="C269" t="s">
        <v>1737</v>
      </c>
      <c r="D269" t="s">
        <v>1738</v>
      </c>
      <c r="AK269">
        <v>30</v>
      </c>
      <c r="AO269">
        <v>25.2</v>
      </c>
      <c r="AP269">
        <v>25.2</v>
      </c>
      <c r="AU269">
        <v>27.5</v>
      </c>
      <c r="AZ269">
        <v>26.6</v>
      </c>
      <c r="BG269">
        <v>21.1</v>
      </c>
      <c r="BK269">
        <v>19.7</v>
      </c>
    </row>
    <row r="270" spans="1:63" hidden="1" x14ac:dyDescent="0.3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1739</v>
      </c>
      <c r="D5" t="s">
        <v>1740</v>
      </c>
    </row>
    <row r="6" spans="1:65" x14ac:dyDescent="0.3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1366</v>
      </c>
      <c r="B11" t="s">
        <v>1367</v>
      </c>
      <c r="C11" t="s">
        <v>1739</v>
      </c>
      <c r="D11" t="s">
        <v>1740</v>
      </c>
    </row>
    <row r="12" spans="1:65" x14ac:dyDescent="0.3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1134</v>
      </c>
      <c r="B13" t="s">
        <v>1370</v>
      </c>
      <c r="C13" t="s">
        <v>1739</v>
      </c>
      <c r="D13" t="s">
        <v>1740</v>
      </c>
    </row>
    <row r="14" spans="1:65" x14ac:dyDescent="0.3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1373</v>
      </c>
      <c r="B16" t="s">
        <v>1374</v>
      </c>
      <c r="C16" t="s">
        <v>1739</v>
      </c>
      <c r="D16" t="s">
        <v>1740</v>
      </c>
    </row>
    <row r="17" spans="1:64" x14ac:dyDescent="0.35">
      <c r="A17" t="s">
        <v>1177</v>
      </c>
      <c r="B17" t="s">
        <v>1375</v>
      </c>
      <c r="C17" t="s">
        <v>1739</v>
      </c>
      <c r="D17" t="s">
        <v>1740</v>
      </c>
    </row>
    <row r="18" spans="1:64" x14ac:dyDescent="0.3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1275</v>
      </c>
      <c r="B19" t="s">
        <v>1377</v>
      </c>
      <c r="C19" t="s">
        <v>1739</v>
      </c>
      <c r="D19" t="s">
        <v>1740</v>
      </c>
    </row>
    <row r="20" spans="1:64" x14ac:dyDescent="0.3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1276</v>
      </c>
      <c r="B22" t="s">
        <v>1380</v>
      </c>
      <c r="C22" t="s">
        <v>1739</v>
      </c>
      <c r="D22" t="s">
        <v>1740</v>
      </c>
    </row>
    <row r="23" spans="1:64" x14ac:dyDescent="0.3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1145</v>
      </c>
      <c r="B25" t="s">
        <v>1383</v>
      </c>
      <c r="C25" t="s">
        <v>1739</v>
      </c>
      <c r="D25" t="s">
        <v>1740</v>
      </c>
    </row>
    <row r="26" spans="1:64" x14ac:dyDescent="0.3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1120</v>
      </c>
      <c r="B27" t="s">
        <v>1385</v>
      </c>
      <c r="C27" t="s">
        <v>1739</v>
      </c>
      <c r="D27" t="s">
        <v>1740</v>
      </c>
    </row>
    <row r="28" spans="1:64" x14ac:dyDescent="0.35">
      <c r="A28" t="s">
        <v>1386</v>
      </c>
      <c r="B28" t="s">
        <v>1387</v>
      </c>
      <c r="C28" t="s">
        <v>1739</v>
      </c>
      <c r="D28" t="s">
        <v>1740</v>
      </c>
    </row>
    <row r="29" spans="1:64" x14ac:dyDescent="0.35">
      <c r="A29" t="s">
        <v>1263</v>
      </c>
      <c r="B29" t="s">
        <v>1388</v>
      </c>
      <c r="C29" t="s">
        <v>1739</v>
      </c>
      <c r="D29" t="s">
        <v>1740</v>
      </c>
    </row>
    <row r="30" spans="1:64" x14ac:dyDescent="0.3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1195</v>
      </c>
      <c r="B31" t="s">
        <v>1390</v>
      </c>
      <c r="C31" t="s">
        <v>1739</v>
      </c>
      <c r="D31" t="s">
        <v>1740</v>
      </c>
    </row>
    <row r="32" spans="1:64" x14ac:dyDescent="0.35">
      <c r="A32" t="s">
        <v>1391</v>
      </c>
      <c r="B32" t="s">
        <v>1392</v>
      </c>
      <c r="C32" t="s">
        <v>1739</v>
      </c>
      <c r="D32" t="s">
        <v>1740</v>
      </c>
    </row>
    <row r="33" spans="1:64" x14ac:dyDescent="0.3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1164</v>
      </c>
      <c r="B36" t="s">
        <v>1397</v>
      </c>
      <c r="C36" t="s">
        <v>1739</v>
      </c>
      <c r="D36" t="s">
        <v>1740</v>
      </c>
    </row>
    <row r="37" spans="1:64" x14ac:dyDescent="0.35">
      <c r="A37" t="s">
        <v>1146</v>
      </c>
      <c r="B37" t="s">
        <v>1398</v>
      </c>
      <c r="C37" t="s">
        <v>1739</v>
      </c>
      <c r="D37" t="s">
        <v>1740</v>
      </c>
    </row>
    <row r="38" spans="1:64" x14ac:dyDescent="0.3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1283</v>
      </c>
      <c r="B40" t="s">
        <v>1401</v>
      </c>
      <c r="C40" t="s">
        <v>1739</v>
      </c>
      <c r="D40" t="s">
        <v>1740</v>
      </c>
    </row>
    <row r="41" spans="1:64" x14ac:dyDescent="0.35">
      <c r="A41" t="s">
        <v>1402</v>
      </c>
      <c r="B41" t="s">
        <v>1403</v>
      </c>
      <c r="C41" t="s">
        <v>1739</v>
      </c>
      <c r="D41" t="s">
        <v>1740</v>
      </c>
    </row>
    <row r="42" spans="1:64" x14ac:dyDescent="0.3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1250</v>
      </c>
      <c r="B43" t="s">
        <v>1405</v>
      </c>
      <c r="C43" t="s">
        <v>1739</v>
      </c>
      <c r="D43" t="s">
        <v>1740</v>
      </c>
    </row>
    <row r="44" spans="1:64" x14ac:dyDescent="0.3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1155</v>
      </c>
      <c r="B45" t="s">
        <v>1407</v>
      </c>
      <c r="C45" t="s">
        <v>1739</v>
      </c>
      <c r="D45" t="s">
        <v>1740</v>
      </c>
    </row>
    <row r="46" spans="1:64" x14ac:dyDescent="0.3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1422</v>
      </c>
      <c r="B56" t="s">
        <v>1423</v>
      </c>
      <c r="C56" t="s">
        <v>1739</v>
      </c>
      <c r="D56" t="s">
        <v>1740</v>
      </c>
    </row>
    <row r="57" spans="1:64" x14ac:dyDescent="0.35">
      <c r="A57" t="s">
        <v>1424</v>
      </c>
      <c r="B57" t="s">
        <v>1425</v>
      </c>
      <c r="C57" t="s">
        <v>1739</v>
      </c>
      <c r="D57" t="s">
        <v>1740</v>
      </c>
    </row>
    <row r="58" spans="1:64" x14ac:dyDescent="0.35">
      <c r="A58" t="s">
        <v>1121</v>
      </c>
      <c r="B58" t="s">
        <v>1426</v>
      </c>
      <c r="C58" t="s">
        <v>1739</v>
      </c>
      <c r="D58" t="s">
        <v>1740</v>
      </c>
    </row>
    <row r="59" spans="1:64" x14ac:dyDescent="0.35">
      <c r="A59" t="s">
        <v>1427</v>
      </c>
      <c r="B59" t="s">
        <v>1428</v>
      </c>
      <c r="C59" t="s">
        <v>1739</v>
      </c>
      <c r="D59" t="s">
        <v>1740</v>
      </c>
    </row>
    <row r="60" spans="1:64" x14ac:dyDescent="0.35">
      <c r="A60" t="s">
        <v>1278</v>
      </c>
      <c r="B60" t="s">
        <v>1429</v>
      </c>
      <c r="C60" t="s">
        <v>1739</v>
      </c>
      <c r="D60" t="s">
        <v>1740</v>
      </c>
    </row>
    <row r="61" spans="1:64" x14ac:dyDescent="0.3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1431</v>
      </c>
      <c r="B62" t="s">
        <v>1432</v>
      </c>
      <c r="C62" t="s">
        <v>1739</v>
      </c>
      <c r="D62" t="s">
        <v>1740</v>
      </c>
    </row>
    <row r="63" spans="1:64" x14ac:dyDescent="0.35">
      <c r="A63" t="s">
        <v>1251</v>
      </c>
      <c r="B63" t="s">
        <v>1433</v>
      </c>
      <c r="C63" t="s">
        <v>1739</v>
      </c>
      <c r="D63" t="s">
        <v>1740</v>
      </c>
    </row>
    <row r="64" spans="1:64" x14ac:dyDescent="0.3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1436</v>
      </c>
      <c r="B66" t="s">
        <v>1437</v>
      </c>
      <c r="C66" t="s">
        <v>1739</v>
      </c>
      <c r="D66" t="s">
        <v>1740</v>
      </c>
    </row>
    <row r="67" spans="1:64" x14ac:dyDescent="0.35">
      <c r="A67" t="s">
        <v>1438</v>
      </c>
      <c r="B67" t="s">
        <v>1439</v>
      </c>
      <c r="C67" t="s">
        <v>1739</v>
      </c>
      <c r="D67" t="s">
        <v>1740</v>
      </c>
    </row>
    <row r="68" spans="1:64" x14ac:dyDescent="0.35">
      <c r="A68" t="s">
        <v>1440</v>
      </c>
      <c r="B68" t="s">
        <v>1441</v>
      </c>
      <c r="C68" t="s">
        <v>1739</v>
      </c>
      <c r="D68" t="s">
        <v>1740</v>
      </c>
    </row>
    <row r="69" spans="1:64" x14ac:dyDescent="0.35">
      <c r="A69" t="s">
        <v>1442</v>
      </c>
      <c r="B69" t="s">
        <v>1443</v>
      </c>
      <c r="C69" t="s">
        <v>1739</v>
      </c>
      <c r="D69" t="s">
        <v>1740</v>
      </c>
    </row>
    <row r="70" spans="1:64" x14ac:dyDescent="0.35">
      <c r="A70" t="s">
        <v>1444</v>
      </c>
      <c r="B70" t="s">
        <v>1445</v>
      </c>
      <c r="C70" t="s">
        <v>1739</v>
      </c>
      <c r="D70" t="s">
        <v>1740</v>
      </c>
    </row>
    <row r="71" spans="1:64" x14ac:dyDescent="0.3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1449</v>
      </c>
      <c r="B73" t="s">
        <v>1450</v>
      </c>
      <c r="C73" t="s">
        <v>1739</v>
      </c>
      <c r="D73" t="s">
        <v>1740</v>
      </c>
    </row>
    <row r="74" spans="1:64" x14ac:dyDescent="0.3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1252</v>
      </c>
      <c r="B76" t="s">
        <v>1453</v>
      </c>
      <c r="C76" t="s">
        <v>1739</v>
      </c>
      <c r="D76" t="s">
        <v>1740</v>
      </c>
    </row>
    <row r="77" spans="1:64" x14ac:dyDescent="0.3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1454</v>
      </c>
      <c r="B78" t="s">
        <v>1455</v>
      </c>
      <c r="C78" t="s">
        <v>1739</v>
      </c>
      <c r="D78" t="s">
        <v>1740</v>
      </c>
    </row>
    <row r="79" spans="1:64" x14ac:dyDescent="0.3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1253</v>
      </c>
      <c r="B80" t="s">
        <v>1458</v>
      </c>
      <c r="C80" t="s">
        <v>1739</v>
      </c>
      <c r="D80" t="s">
        <v>1740</v>
      </c>
    </row>
    <row r="81" spans="1:64" x14ac:dyDescent="0.3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1461</v>
      </c>
      <c r="B83" t="s">
        <v>1462</v>
      </c>
      <c r="C83" t="s">
        <v>1739</v>
      </c>
      <c r="D83" t="s">
        <v>1740</v>
      </c>
    </row>
    <row r="84" spans="1:64" x14ac:dyDescent="0.35">
      <c r="A84" t="s">
        <v>1463</v>
      </c>
      <c r="B84" t="s">
        <v>1464</v>
      </c>
      <c r="C84" t="s">
        <v>1739</v>
      </c>
      <c r="D84" t="s">
        <v>1740</v>
      </c>
    </row>
    <row r="85" spans="1:64" x14ac:dyDescent="0.3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1260</v>
      </c>
      <c r="B86" t="s">
        <v>1466</v>
      </c>
      <c r="C86" t="s">
        <v>1739</v>
      </c>
      <c r="D86" t="s">
        <v>1740</v>
      </c>
    </row>
    <row r="87" spans="1:64" x14ac:dyDescent="0.3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1469</v>
      </c>
      <c r="B89" t="s">
        <v>1470</v>
      </c>
      <c r="C89" t="s">
        <v>1739</v>
      </c>
      <c r="D89" t="s">
        <v>1740</v>
      </c>
    </row>
    <row r="90" spans="1:64" x14ac:dyDescent="0.3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1265</v>
      </c>
      <c r="B94" t="s">
        <v>1476</v>
      </c>
      <c r="C94" t="s">
        <v>1739</v>
      </c>
      <c r="D94" t="s">
        <v>1740</v>
      </c>
    </row>
    <row r="95" spans="1:64" x14ac:dyDescent="0.35">
      <c r="A95" t="s">
        <v>1184</v>
      </c>
      <c r="B95" t="s">
        <v>1477</v>
      </c>
      <c r="C95" t="s">
        <v>1739</v>
      </c>
      <c r="D95" t="s">
        <v>1740</v>
      </c>
    </row>
    <row r="96" spans="1:64" x14ac:dyDescent="0.35">
      <c r="A96" t="s">
        <v>1478</v>
      </c>
      <c r="B96" t="s">
        <v>1479</v>
      </c>
      <c r="C96" t="s">
        <v>1739</v>
      </c>
      <c r="D96" t="s">
        <v>1740</v>
      </c>
    </row>
    <row r="97" spans="1:64" x14ac:dyDescent="0.3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1228</v>
      </c>
      <c r="B98" t="s">
        <v>1481</v>
      </c>
      <c r="C98" t="s">
        <v>1739</v>
      </c>
      <c r="D98" t="s">
        <v>1740</v>
      </c>
    </row>
    <row r="99" spans="1:64" x14ac:dyDescent="0.3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1483</v>
      </c>
      <c r="B100" t="s">
        <v>1484</v>
      </c>
      <c r="C100" t="s">
        <v>1739</v>
      </c>
      <c r="D100" t="s">
        <v>1740</v>
      </c>
    </row>
    <row r="101" spans="1:64" x14ac:dyDescent="0.35">
      <c r="A101" t="s">
        <v>1485</v>
      </c>
      <c r="B101" t="s">
        <v>1486</v>
      </c>
      <c r="C101" t="s">
        <v>1739</v>
      </c>
      <c r="D101" t="s">
        <v>1740</v>
      </c>
    </row>
    <row r="102" spans="1:64" x14ac:dyDescent="0.3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1242</v>
      </c>
      <c r="B106" t="s">
        <v>1492</v>
      </c>
      <c r="C106" t="s">
        <v>1739</v>
      </c>
      <c r="D106" t="s">
        <v>1740</v>
      </c>
    </row>
    <row r="107" spans="1:64" x14ac:dyDescent="0.35">
      <c r="A107" t="s">
        <v>1493</v>
      </c>
      <c r="B107" t="s">
        <v>1494</v>
      </c>
      <c r="C107" t="s">
        <v>1739</v>
      </c>
      <c r="D107" t="s">
        <v>1740</v>
      </c>
    </row>
    <row r="108" spans="1:64" x14ac:dyDescent="0.35">
      <c r="A108" t="s">
        <v>1495</v>
      </c>
      <c r="B108" t="s">
        <v>1496</v>
      </c>
      <c r="C108" t="s">
        <v>1739</v>
      </c>
      <c r="D108" t="s">
        <v>1740</v>
      </c>
    </row>
    <row r="109" spans="1:64" x14ac:dyDescent="0.3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1166</v>
      </c>
      <c r="B111" t="s">
        <v>1501</v>
      </c>
      <c r="C111" t="s">
        <v>1739</v>
      </c>
      <c r="D111" t="s">
        <v>1740</v>
      </c>
    </row>
    <row r="112" spans="1:64" x14ac:dyDescent="0.3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1504</v>
      </c>
      <c r="B113" t="s">
        <v>1505</v>
      </c>
      <c r="C113" t="s">
        <v>1739</v>
      </c>
      <c r="D113" t="s">
        <v>1740</v>
      </c>
    </row>
    <row r="114" spans="1:64" x14ac:dyDescent="0.35">
      <c r="A114" t="s">
        <v>1147</v>
      </c>
      <c r="B114" t="s">
        <v>1506</v>
      </c>
      <c r="C114" t="s">
        <v>1739</v>
      </c>
      <c r="D114" t="s">
        <v>1740</v>
      </c>
    </row>
    <row r="115" spans="1:64" x14ac:dyDescent="0.35">
      <c r="A115" t="s">
        <v>1507</v>
      </c>
      <c r="B115" t="s">
        <v>1508</v>
      </c>
      <c r="C115" t="s">
        <v>1739</v>
      </c>
      <c r="D115" t="s">
        <v>1740</v>
      </c>
    </row>
    <row r="116" spans="1:64" x14ac:dyDescent="0.3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1123</v>
      </c>
      <c r="B118" t="s">
        <v>1512</v>
      </c>
      <c r="C118" t="s">
        <v>1739</v>
      </c>
      <c r="D118" t="s">
        <v>1740</v>
      </c>
    </row>
    <row r="119" spans="1:64" x14ac:dyDescent="0.35">
      <c r="A119" t="s">
        <v>1254</v>
      </c>
      <c r="B119" t="s">
        <v>1513</v>
      </c>
      <c r="C119" t="s">
        <v>1739</v>
      </c>
      <c r="D119" t="s">
        <v>1740</v>
      </c>
    </row>
    <row r="120" spans="1:64" x14ac:dyDescent="0.35">
      <c r="A120" t="s">
        <v>1124</v>
      </c>
      <c r="B120" t="s">
        <v>1514</v>
      </c>
      <c r="C120" t="s">
        <v>1739</v>
      </c>
      <c r="D120" t="s">
        <v>1740</v>
      </c>
    </row>
    <row r="121" spans="1:64" x14ac:dyDescent="0.3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1125</v>
      </c>
      <c r="B123" t="s">
        <v>1517</v>
      </c>
      <c r="C123" t="s">
        <v>1739</v>
      </c>
      <c r="D123" t="s">
        <v>1740</v>
      </c>
    </row>
    <row r="124" spans="1:64" x14ac:dyDescent="0.35">
      <c r="A124" t="s">
        <v>1160</v>
      </c>
      <c r="B124" t="s">
        <v>1518</v>
      </c>
      <c r="C124" t="s">
        <v>1739</v>
      </c>
      <c r="D124" t="s">
        <v>1740</v>
      </c>
    </row>
    <row r="125" spans="1:64" x14ac:dyDescent="0.3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1229</v>
      </c>
      <c r="B129" t="s">
        <v>1524</v>
      </c>
      <c r="C129" t="s">
        <v>1739</v>
      </c>
      <c r="D129" t="s">
        <v>1740</v>
      </c>
    </row>
    <row r="130" spans="1:64" x14ac:dyDescent="0.35">
      <c r="A130" t="s">
        <v>1525</v>
      </c>
      <c r="B130" t="s">
        <v>1526</v>
      </c>
      <c r="C130" t="s">
        <v>1739</v>
      </c>
      <c r="D130" t="s">
        <v>1740</v>
      </c>
    </row>
    <row r="131" spans="1:64" x14ac:dyDescent="0.35">
      <c r="A131" t="s">
        <v>1527</v>
      </c>
      <c r="B131" t="s">
        <v>1528</v>
      </c>
      <c r="C131" t="s">
        <v>1739</v>
      </c>
      <c r="D131" t="s">
        <v>1740</v>
      </c>
    </row>
    <row r="132" spans="1:64" x14ac:dyDescent="0.35">
      <c r="A132" t="s">
        <v>1126</v>
      </c>
      <c r="B132" t="s">
        <v>1529</v>
      </c>
      <c r="C132" t="s">
        <v>1739</v>
      </c>
      <c r="D132" t="s">
        <v>1740</v>
      </c>
    </row>
    <row r="133" spans="1:64" x14ac:dyDescent="0.3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1537</v>
      </c>
      <c r="B138" t="s">
        <v>1538</v>
      </c>
      <c r="C138" t="s">
        <v>1739</v>
      </c>
      <c r="D138" t="s">
        <v>1740</v>
      </c>
    </row>
    <row r="139" spans="1:64" x14ac:dyDescent="0.3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1545</v>
      </c>
      <c r="B142" t="s">
        <v>1546</v>
      </c>
      <c r="C142" t="s">
        <v>1739</v>
      </c>
      <c r="D142" t="s">
        <v>1740</v>
      </c>
    </row>
    <row r="143" spans="1:64" x14ac:dyDescent="0.3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1548</v>
      </c>
      <c r="B144" t="s">
        <v>1549</v>
      </c>
      <c r="C144" t="s">
        <v>1739</v>
      </c>
      <c r="D144" t="s">
        <v>1740</v>
      </c>
    </row>
    <row r="145" spans="1:64" x14ac:dyDescent="0.35">
      <c r="A145" t="s">
        <v>1550</v>
      </c>
      <c r="B145" t="s">
        <v>1551</v>
      </c>
      <c r="C145" t="s">
        <v>1739</v>
      </c>
      <c r="D145" t="s">
        <v>1740</v>
      </c>
    </row>
    <row r="146" spans="1:64" x14ac:dyDescent="0.3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1553</v>
      </c>
      <c r="B147" t="s">
        <v>1554</v>
      </c>
      <c r="C147" t="s">
        <v>1739</v>
      </c>
      <c r="D147" t="s">
        <v>1740</v>
      </c>
    </row>
    <row r="148" spans="1:64" x14ac:dyDescent="0.3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1279</v>
      </c>
      <c r="B149" t="s">
        <v>1556</v>
      </c>
      <c r="C149" t="s">
        <v>1739</v>
      </c>
      <c r="D149" t="s">
        <v>1740</v>
      </c>
    </row>
    <row r="150" spans="1:64" x14ac:dyDescent="0.3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1558</v>
      </c>
      <c r="B151" t="s">
        <v>1559</v>
      </c>
      <c r="C151" t="s">
        <v>1739</v>
      </c>
      <c r="D151" t="s">
        <v>1740</v>
      </c>
    </row>
    <row r="152" spans="1:64" x14ac:dyDescent="0.35">
      <c r="A152" t="s">
        <v>1560</v>
      </c>
      <c r="B152" t="s">
        <v>1561</v>
      </c>
      <c r="C152" t="s">
        <v>1739</v>
      </c>
      <c r="D152" t="s">
        <v>1740</v>
      </c>
    </row>
    <row r="153" spans="1:64" x14ac:dyDescent="0.3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1563</v>
      </c>
      <c r="B154" t="s">
        <v>1564</v>
      </c>
      <c r="C154" t="s">
        <v>1739</v>
      </c>
      <c r="D154" t="s">
        <v>1740</v>
      </c>
    </row>
    <row r="155" spans="1:64" x14ac:dyDescent="0.3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1149</v>
      </c>
      <c r="B157" t="s">
        <v>1568</v>
      </c>
      <c r="C157" t="s">
        <v>1739</v>
      </c>
      <c r="D157" t="s">
        <v>1740</v>
      </c>
    </row>
    <row r="158" spans="1:64" x14ac:dyDescent="0.3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1200</v>
      </c>
      <c r="B159" t="s">
        <v>1571</v>
      </c>
      <c r="C159" t="s">
        <v>1739</v>
      </c>
      <c r="D159" t="s">
        <v>1740</v>
      </c>
    </row>
    <row r="160" spans="1:64" x14ac:dyDescent="0.35">
      <c r="A160" t="s">
        <v>1572</v>
      </c>
      <c r="B160" t="s">
        <v>1573</v>
      </c>
      <c r="C160" t="s">
        <v>1739</v>
      </c>
      <c r="D160" t="s">
        <v>1740</v>
      </c>
    </row>
    <row r="161" spans="1:64" x14ac:dyDescent="0.35">
      <c r="A161" t="s">
        <v>1574</v>
      </c>
      <c r="B161" t="s">
        <v>1575</v>
      </c>
      <c r="C161" t="s">
        <v>1739</v>
      </c>
      <c r="D161" t="s">
        <v>1740</v>
      </c>
    </row>
    <row r="162" spans="1:64" x14ac:dyDescent="0.35">
      <c r="A162" t="s">
        <v>1269</v>
      </c>
      <c r="B162" t="s">
        <v>1576</v>
      </c>
      <c r="C162" t="s">
        <v>1739</v>
      </c>
      <c r="D162" t="s">
        <v>1740</v>
      </c>
    </row>
    <row r="163" spans="1:64" x14ac:dyDescent="0.3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1267</v>
      </c>
      <c r="B164" t="s">
        <v>1578</v>
      </c>
      <c r="C164" t="s">
        <v>1739</v>
      </c>
      <c r="D164" t="s">
        <v>1740</v>
      </c>
    </row>
    <row r="165" spans="1:64" x14ac:dyDescent="0.3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1584</v>
      </c>
      <c r="B169" t="s">
        <v>1585</v>
      </c>
      <c r="C169" t="s">
        <v>1739</v>
      </c>
      <c r="D169" t="s">
        <v>1740</v>
      </c>
    </row>
    <row r="170" spans="1:64" x14ac:dyDescent="0.3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1223</v>
      </c>
      <c r="B177" t="s">
        <v>1594</v>
      </c>
      <c r="C177" t="s">
        <v>1739</v>
      </c>
      <c r="D177" t="s">
        <v>1740</v>
      </c>
    </row>
    <row r="178" spans="1:64" x14ac:dyDescent="0.3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1258</v>
      </c>
      <c r="B182" t="s">
        <v>1599</v>
      </c>
      <c r="C182" t="s">
        <v>1739</v>
      </c>
      <c r="D182" t="s">
        <v>1740</v>
      </c>
    </row>
    <row r="183" spans="1:64" x14ac:dyDescent="0.3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1601</v>
      </c>
      <c r="B184" t="s">
        <v>1602</v>
      </c>
      <c r="C184" t="s">
        <v>1739</v>
      </c>
      <c r="D184" t="s">
        <v>1740</v>
      </c>
    </row>
    <row r="185" spans="1:64" x14ac:dyDescent="0.3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1604</v>
      </c>
      <c r="B186" t="s">
        <v>1605</v>
      </c>
      <c r="C186" t="s">
        <v>1739</v>
      </c>
      <c r="D186" t="s">
        <v>1740</v>
      </c>
    </row>
    <row r="187" spans="1:64" x14ac:dyDescent="0.3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1202</v>
      </c>
      <c r="B190" t="s">
        <v>1610</v>
      </c>
      <c r="C190" t="s">
        <v>1739</v>
      </c>
      <c r="D190" t="s">
        <v>1740</v>
      </c>
    </row>
    <row r="191" spans="1:64" x14ac:dyDescent="0.3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1613</v>
      </c>
      <c r="B193" t="s">
        <v>1614</v>
      </c>
      <c r="C193" t="s">
        <v>1739</v>
      </c>
      <c r="D193" t="s">
        <v>1740</v>
      </c>
    </row>
    <row r="194" spans="1:64" x14ac:dyDescent="0.3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1243</v>
      </c>
      <c r="B195" t="s">
        <v>1616</v>
      </c>
      <c r="C195" t="s">
        <v>1739</v>
      </c>
      <c r="D195" t="s">
        <v>1740</v>
      </c>
    </row>
    <row r="196" spans="1:64" x14ac:dyDescent="0.3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1189</v>
      </c>
      <c r="B197" t="s">
        <v>1619</v>
      </c>
      <c r="C197" t="s">
        <v>1739</v>
      </c>
      <c r="D197" t="s">
        <v>1740</v>
      </c>
    </row>
    <row r="198" spans="1:64" x14ac:dyDescent="0.35">
      <c r="A198" t="s">
        <v>1620</v>
      </c>
      <c r="B198" t="s">
        <v>1621</v>
      </c>
      <c r="C198" t="s">
        <v>1739</v>
      </c>
      <c r="D198" t="s">
        <v>1740</v>
      </c>
    </row>
    <row r="199" spans="1:64" x14ac:dyDescent="0.35">
      <c r="A199" t="s">
        <v>1270</v>
      </c>
      <c r="B199" t="s">
        <v>1622</v>
      </c>
      <c r="C199" t="s">
        <v>1739</v>
      </c>
      <c r="D199" t="s">
        <v>1740</v>
      </c>
    </row>
    <row r="200" spans="1:64" x14ac:dyDescent="0.3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1624</v>
      </c>
      <c r="B201" t="s">
        <v>1625</v>
      </c>
      <c r="C201" t="s">
        <v>1739</v>
      </c>
      <c r="D201" t="s">
        <v>1740</v>
      </c>
    </row>
    <row r="202" spans="1:64" x14ac:dyDescent="0.35">
      <c r="A202" t="s">
        <v>1626</v>
      </c>
      <c r="B202" t="s">
        <v>1627</v>
      </c>
      <c r="C202" t="s">
        <v>1739</v>
      </c>
      <c r="D202" t="s">
        <v>1740</v>
      </c>
    </row>
    <row r="203" spans="1:64" x14ac:dyDescent="0.35">
      <c r="A203" t="s">
        <v>1628</v>
      </c>
      <c r="B203" t="s">
        <v>1629</v>
      </c>
      <c r="C203" t="s">
        <v>1739</v>
      </c>
      <c r="D203" t="s">
        <v>1740</v>
      </c>
    </row>
    <row r="204" spans="1:64" x14ac:dyDescent="0.35">
      <c r="A204" t="s">
        <v>1232</v>
      </c>
      <c r="B204" t="s">
        <v>1630</v>
      </c>
      <c r="C204" t="s">
        <v>1739</v>
      </c>
      <c r="D204" t="s">
        <v>1740</v>
      </c>
    </row>
    <row r="205" spans="1:64" x14ac:dyDescent="0.35">
      <c r="A205" t="s">
        <v>1129</v>
      </c>
      <c r="B205" t="s">
        <v>1631</v>
      </c>
      <c r="C205" t="s">
        <v>1739</v>
      </c>
      <c r="D205" t="s">
        <v>1740</v>
      </c>
    </row>
    <row r="206" spans="1:64" x14ac:dyDescent="0.3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1246</v>
      </c>
      <c r="B207" t="s">
        <v>1633</v>
      </c>
      <c r="C207" t="s">
        <v>1739</v>
      </c>
      <c r="D207" t="s">
        <v>1740</v>
      </c>
    </row>
    <row r="208" spans="1:64" x14ac:dyDescent="0.3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1635</v>
      </c>
      <c r="B209" t="s">
        <v>1636</v>
      </c>
      <c r="C209" t="s">
        <v>1739</v>
      </c>
      <c r="D209" t="s">
        <v>1740</v>
      </c>
    </row>
    <row r="210" spans="1:64" x14ac:dyDescent="0.35">
      <c r="A210" t="s">
        <v>1130</v>
      </c>
      <c r="B210" t="s">
        <v>1637</v>
      </c>
      <c r="C210" t="s">
        <v>1739</v>
      </c>
      <c r="D210" t="s">
        <v>1740</v>
      </c>
    </row>
    <row r="211" spans="1:64" x14ac:dyDescent="0.3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1225</v>
      </c>
      <c r="B214" t="s">
        <v>1641</v>
      </c>
      <c r="C214" t="s">
        <v>1739</v>
      </c>
      <c r="D214" t="s">
        <v>1740</v>
      </c>
    </row>
    <row r="215" spans="1:64" x14ac:dyDescent="0.3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1644</v>
      </c>
      <c r="B217" t="s">
        <v>1645</v>
      </c>
      <c r="C217" t="s">
        <v>1739</v>
      </c>
      <c r="D217" t="s">
        <v>1740</v>
      </c>
    </row>
    <row r="218" spans="1:64" x14ac:dyDescent="0.3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1089</v>
      </c>
      <c r="B224" t="s">
        <v>1655</v>
      </c>
      <c r="C224" t="s">
        <v>1739</v>
      </c>
      <c r="D224" t="s">
        <v>1740</v>
      </c>
    </row>
    <row r="225" spans="1:64" x14ac:dyDescent="0.3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1657</v>
      </c>
      <c r="B226" t="s">
        <v>1658</v>
      </c>
      <c r="C226" t="s">
        <v>1739</v>
      </c>
      <c r="D226" t="s">
        <v>1740</v>
      </c>
    </row>
    <row r="227" spans="1:64" x14ac:dyDescent="0.35">
      <c r="A227" t="s">
        <v>1272</v>
      </c>
      <c r="B227" t="s">
        <v>1659</v>
      </c>
      <c r="C227" t="s">
        <v>1739</v>
      </c>
      <c r="D227" t="s">
        <v>1740</v>
      </c>
    </row>
    <row r="228" spans="1:64" x14ac:dyDescent="0.35">
      <c r="A228" t="s">
        <v>1259</v>
      </c>
      <c r="B228" t="s">
        <v>1660</v>
      </c>
      <c r="C228" t="s">
        <v>1739</v>
      </c>
      <c r="D228" t="s">
        <v>1740</v>
      </c>
    </row>
    <row r="229" spans="1:64" x14ac:dyDescent="0.3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1662</v>
      </c>
      <c r="B230" t="s">
        <v>1663</v>
      </c>
      <c r="C230" t="s">
        <v>1739</v>
      </c>
      <c r="D230" t="s">
        <v>1740</v>
      </c>
    </row>
    <row r="231" spans="1:64" x14ac:dyDescent="0.35">
      <c r="A231" t="s">
        <v>1079</v>
      </c>
      <c r="B231" t="s">
        <v>1664</v>
      </c>
      <c r="C231" t="s">
        <v>1739</v>
      </c>
      <c r="D231" t="s">
        <v>1740</v>
      </c>
    </row>
    <row r="232" spans="1:64" x14ac:dyDescent="0.3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1666</v>
      </c>
      <c r="B233" t="s">
        <v>1667</v>
      </c>
      <c r="C233" t="s">
        <v>1739</v>
      </c>
      <c r="D233" t="s">
        <v>1740</v>
      </c>
    </row>
    <row r="234" spans="1:64" x14ac:dyDescent="0.3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1669</v>
      </c>
      <c r="B235" t="s">
        <v>1670</v>
      </c>
      <c r="C235" t="s">
        <v>1739</v>
      </c>
      <c r="D235" t="s">
        <v>1740</v>
      </c>
    </row>
    <row r="236" spans="1:64" x14ac:dyDescent="0.35">
      <c r="A236" t="s">
        <v>1671</v>
      </c>
      <c r="B236" t="s">
        <v>1672</v>
      </c>
      <c r="C236" t="s">
        <v>1739</v>
      </c>
      <c r="D236" t="s">
        <v>1740</v>
      </c>
    </row>
    <row r="237" spans="1:64" x14ac:dyDescent="0.3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1141</v>
      </c>
      <c r="B240" t="s">
        <v>1676</v>
      </c>
      <c r="C240" t="s">
        <v>1739</v>
      </c>
      <c r="D240" t="s">
        <v>1740</v>
      </c>
    </row>
    <row r="241" spans="1:64" x14ac:dyDescent="0.3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1234</v>
      </c>
      <c r="B244" t="s">
        <v>1682</v>
      </c>
      <c r="C244" t="s">
        <v>1739</v>
      </c>
      <c r="D244" t="s">
        <v>1740</v>
      </c>
    </row>
    <row r="245" spans="1:64" x14ac:dyDescent="0.35">
      <c r="A245" t="s">
        <v>1683</v>
      </c>
      <c r="B245" t="s">
        <v>1684</v>
      </c>
      <c r="C245" t="s">
        <v>1739</v>
      </c>
      <c r="D245" t="s">
        <v>1740</v>
      </c>
    </row>
    <row r="246" spans="1:64" x14ac:dyDescent="0.3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1133</v>
      </c>
      <c r="B249" t="s">
        <v>1689</v>
      </c>
      <c r="C249" t="s">
        <v>1739</v>
      </c>
      <c r="D249" t="s">
        <v>1740</v>
      </c>
    </row>
    <row r="250" spans="1:64" x14ac:dyDescent="0.35">
      <c r="A250" t="s">
        <v>1690</v>
      </c>
      <c r="B250" t="s">
        <v>1691</v>
      </c>
      <c r="C250" t="s">
        <v>1739</v>
      </c>
      <c r="D250" t="s">
        <v>1740</v>
      </c>
    </row>
    <row r="251" spans="1:64" x14ac:dyDescent="0.3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1696</v>
      </c>
      <c r="B254" t="s">
        <v>1697</v>
      </c>
      <c r="C254" t="s">
        <v>1739</v>
      </c>
      <c r="D254" t="s">
        <v>1740</v>
      </c>
    </row>
    <row r="255" spans="1:64" x14ac:dyDescent="0.35">
      <c r="A255" t="s">
        <v>1215</v>
      </c>
      <c r="B255" t="s">
        <v>1698</v>
      </c>
      <c r="C255" t="s">
        <v>1739</v>
      </c>
      <c r="D255" t="s">
        <v>1740</v>
      </c>
    </row>
    <row r="256" spans="1:64" x14ac:dyDescent="0.3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1702</v>
      </c>
      <c r="B258" t="s">
        <v>1703</v>
      </c>
      <c r="C258" t="s">
        <v>1739</v>
      </c>
      <c r="D258" t="s">
        <v>1740</v>
      </c>
    </row>
    <row r="259" spans="1:65" x14ac:dyDescent="0.3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1706</v>
      </c>
      <c r="B260" t="s">
        <v>1707</v>
      </c>
      <c r="C260" t="s">
        <v>1739</v>
      </c>
      <c r="D260" t="s">
        <v>1740</v>
      </c>
    </row>
    <row r="261" spans="1:65" x14ac:dyDescent="0.35">
      <c r="A261" t="s">
        <v>1708</v>
      </c>
      <c r="B261" t="s">
        <v>1709</v>
      </c>
      <c r="C261" t="s">
        <v>1739</v>
      </c>
      <c r="D261" t="s">
        <v>1740</v>
      </c>
    </row>
    <row r="262" spans="1:65" x14ac:dyDescent="0.3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1226</v>
      </c>
      <c r="B263" t="s">
        <v>1712</v>
      </c>
      <c r="C263" t="s">
        <v>1739</v>
      </c>
      <c r="D263" t="s">
        <v>1740</v>
      </c>
    </row>
    <row r="264" spans="1:65" x14ac:dyDescent="0.3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1233</v>
      </c>
      <c r="B265" t="s">
        <v>1714</v>
      </c>
      <c r="C265" t="s">
        <v>1739</v>
      </c>
      <c r="D265" t="s">
        <v>1740</v>
      </c>
    </row>
    <row r="266" spans="1:65" x14ac:dyDescent="0.35">
      <c r="A266" t="s">
        <v>1715</v>
      </c>
      <c r="B266" t="s">
        <v>1716</v>
      </c>
      <c r="C266" t="s">
        <v>1739</v>
      </c>
      <c r="D266" t="s">
        <v>1740</v>
      </c>
    </row>
    <row r="267" spans="1:65" x14ac:dyDescent="0.3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1741</v>
      </c>
    </row>
    <row r="274" spans="8:65" s="1" customFormat="1" x14ac:dyDescent="0.35">
      <c r="I274" s="1" t="s">
        <v>1724</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1742</v>
      </c>
      <c r="D5" t="s">
        <v>1743</v>
      </c>
    </row>
    <row r="6" spans="1:65" x14ac:dyDescent="0.3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1366</v>
      </c>
      <c r="B11" t="s">
        <v>1367</v>
      </c>
      <c r="C11" t="s">
        <v>1742</v>
      </c>
      <c r="D11" t="s">
        <v>1743</v>
      </c>
    </row>
    <row r="12" spans="1:65" x14ac:dyDescent="0.3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1134</v>
      </c>
      <c r="B13" t="s">
        <v>1370</v>
      </c>
      <c r="C13" t="s">
        <v>1742</v>
      </c>
      <c r="D13" t="s">
        <v>1743</v>
      </c>
    </row>
    <row r="14" spans="1:65" x14ac:dyDescent="0.3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1373</v>
      </c>
      <c r="B16" t="s">
        <v>1374</v>
      </c>
      <c r="C16" t="s">
        <v>1742</v>
      </c>
      <c r="D16" t="s">
        <v>1743</v>
      </c>
    </row>
    <row r="17" spans="1:64" x14ac:dyDescent="0.35">
      <c r="A17" t="s">
        <v>1177</v>
      </c>
      <c r="B17" t="s">
        <v>1375</v>
      </c>
      <c r="C17" t="s">
        <v>1742</v>
      </c>
      <c r="D17" t="s">
        <v>1743</v>
      </c>
    </row>
    <row r="18" spans="1:64" x14ac:dyDescent="0.3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1275</v>
      </c>
      <c r="B19" t="s">
        <v>1377</v>
      </c>
      <c r="C19" t="s">
        <v>1742</v>
      </c>
      <c r="D19" t="s">
        <v>1743</v>
      </c>
    </row>
    <row r="20" spans="1:64" x14ac:dyDescent="0.3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1276</v>
      </c>
      <c r="B22" t="s">
        <v>1380</v>
      </c>
      <c r="C22" t="s">
        <v>1742</v>
      </c>
      <c r="D22" t="s">
        <v>1743</v>
      </c>
    </row>
    <row r="23" spans="1:64" x14ac:dyDescent="0.3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1145</v>
      </c>
      <c r="B25" t="s">
        <v>1383</v>
      </c>
      <c r="C25" t="s">
        <v>1742</v>
      </c>
      <c r="D25" t="s">
        <v>1743</v>
      </c>
    </row>
    <row r="26" spans="1:64" x14ac:dyDescent="0.3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1120</v>
      </c>
      <c r="B27" t="s">
        <v>1385</v>
      </c>
      <c r="C27" t="s">
        <v>1742</v>
      </c>
      <c r="D27" t="s">
        <v>1743</v>
      </c>
    </row>
    <row r="28" spans="1:64" x14ac:dyDescent="0.35">
      <c r="A28" t="s">
        <v>1386</v>
      </c>
      <c r="B28" t="s">
        <v>1387</v>
      </c>
      <c r="C28" t="s">
        <v>1742</v>
      </c>
      <c r="D28" t="s">
        <v>1743</v>
      </c>
    </row>
    <row r="29" spans="1:64" x14ac:dyDescent="0.35">
      <c r="A29" t="s">
        <v>1263</v>
      </c>
      <c r="B29" t="s">
        <v>1388</v>
      </c>
      <c r="C29" t="s">
        <v>1742</v>
      </c>
      <c r="D29" t="s">
        <v>1743</v>
      </c>
    </row>
    <row r="30" spans="1:64" x14ac:dyDescent="0.3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1195</v>
      </c>
      <c r="B31" t="s">
        <v>1390</v>
      </c>
      <c r="C31" t="s">
        <v>1742</v>
      </c>
      <c r="D31" t="s">
        <v>1743</v>
      </c>
    </row>
    <row r="32" spans="1:64" x14ac:dyDescent="0.35">
      <c r="A32" t="s">
        <v>1391</v>
      </c>
      <c r="B32" t="s">
        <v>1392</v>
      </c>
      <c r="C32" t="s">
        <v>1742</v>
      </c>
      <c r="D32" t="s">
        <v>1743</v>
      </c>
    </row>
    <row r="33" spans="1:64" x14ac:dyDescent="0.3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1206</v>
      </c>
      <c r="B34" t="s">
        <v>1395</v>
      </c>
      <c r="C34" t="s">
        <v>1742</v>
      </c>
      <c r="D34" t="s">
        <v>1743</v>
      </c>
    </row>
    <row r="35" spans="1:64" x14ac:dyDescent="0.3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1164</v>
      </c>
      <c r="B36" t="s">
        <v>1397</v>
      </c>
      <c r="C36" t="s">
        <v>1742</v>
      </c>
      <c r="D36" t="s">
        <v>1743</v>
      </c>
    </row>
    <row r="37" spans="1:64" x14ac:dyDescent="0.35">
      <c r="A37" t="s">
        <v>1146</v>
      </c>
      <c r="B37" t="s">
        <v>1398</v>
      </c>
      <c r="C37" t="s">
        <v>1742</v>
      </c>
      <c r="D37" t="s">
        <v>1743</v>
      </c>
    </row>
    <row r="38" spans="1:64" x14ac:dyDescent="0.3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1283</v>
      </c>
      <c r="B40" t="s">
        <v>1401</v>
      </c>
      <c r="C40" t="s">
        <v>1742</v>
      </c>
      <c r="D40" t="s">
        <v>1743</v>
      </c>
    </row>
    <row r="41" spans="1:64" x14ac:dyDescent="0.35">
      <c r="A41" t="s">
        <v>1402</v>
      </c>
      <c r="B41" t="s">
        <v>1403</v>
      </c>
      <c r="C41" t="s">
        <v>1742</v>
      </c>
      <c r="D41" t="s">
        <v>1743</v>
      </c>
    </row>
    <row r="42" spans="1:64" x14ac:dyDescent="0.3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1250</v>
      </c>
      <c r="B43" t="s">
        <v>1405</v>
      </c>
      <c r="C43" t="s">
        <v>1742</v>
      </c>
      <c r="D43" t="s">
        <v>1743</v>
      </c>
    </row>
    <row r="44" spans="1:64" x14ac:dyDescent="0.3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1155</v>
      </c>
      <c r="B45" t="s">
        <v>1407</v>
      </c>
      <c r="C45" t="s">
        <v>1742</v>
      </c>
      <c r="D45" t="s">
        <v>1743</v>
      </c>
    </row>
    <row r="46" spans="1:64" x14ac:dyDescent="0.3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1422</v>
      </c>
      <c r="B56" t="s">
        <v>1423</v>
      </c>
      <c r="C56" t="s">
        <v>1742</v>
      </c>
      <c r="D56" t="s">
        <v>1743</v>
      </c>
    </row>
    <row r="57" spans="1:64" x14ac:dyDescent="0.35">
      <c r="A57" t="s">
        <v>1424</v>
      </c>
      <c r="B57" t="s">
        <v>1425</v>
      </c>
      <c r="C57" t="s">
        <v>1742</v>
      </c>
      <c r="D57" t="s">
        <v>1743</v>
      </c>
    </row>
    <row r="58" spans="1:64" x14ac:dyDescent="0.35">
      <c r="A58" t="s">
        <v>1121</v>
      </c>
      <c r="B58" t="s">
        <v>1426</v>
      </c>
      <c r="C58" t="s">
        <v>1742</v>
      </c>
      <c r="D58" t="s">
        <v>1743</v>
      </c>
    </row>
    <row r="59" spans="1:64" x14ac:dyDescent="0.35">
      <c r="A59" t="s">
        <v>1427</v>
      </c>
      <c r="B59" t="s">
        <v>1428</v>
      </c>
      <c r="C59" t="s">
        <v>1742</v>
      </c>
      <c r="D59" t="s">
        <v>1743</v>
      </c>
    </row>
    <row r="60" spans="1:64" x14ac:dyDescent="0.35">
      <c r="A60" t="s">
        <v>1278</v>
      </c>
      <c r="B60" t="s">
        <v>1429</v>
      </c>
      <c r="C60" t="s">
        <v>1742</v>
      </c>
      <c r="D60" t="s">
        <v>1743</v>
      </c>
    </row>
    <row r="61" spans="1:64" x14ac:dyDescent="0.3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1431</v>
      </c>
      <c r="B62" t="s">
        <v>1432</v>
      </c>
      <c r="C62" t="s">
        <v>1742</v>
      </c>
      <c r="D62" t="s">
        <v>1743</v>
      </c>
    </row>
    <row r="63" spans="1:64" x14ac:dyDescent="0.35">
      <c r="A63" t="s">
        <v>1251</v>
      </c>
      <c r="B63" t="s">
        <v>1433</v>
      </c>
      <c r="C63" t="s">
        <v>1742</v>
      </c>
      <c r="D63" t="s">
        <v>1743</v>
      </c>
    </row>
    <row r="64" spans="1:64" x14ac:dyDescent="0.3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1436</v>
      </c>
      <c r="B66" t="s">
        <v>1437</v>
      </c>
      <c r="C66" t="s">
        <v>1742</v>
      </c>
      <c r="D66" t="s">
        <v>1743</v>
      </c>
    </row>
    <row r="67" spans="1:64" x14ac:dyDescent="0.35">
      <c r="A67" t="s">
        <v>1438</v>
      </c>
      <c r="B67" t="s">
        <v>1439</v>
      </c>
      <c r="C67" t="s">
        <v>1742</v>
      </c>
      <c r="D67" t="s">
        <v>1743</v>
      </c>
    </row>
    <row r="68" spans="1:64" x14ac:dyDescent="0.35">
      <c r="A68" t="s">
        <v>1440</v>
      </c>
      <c r="B68" t="s">
        <v>1441</v>
      </c>
      <c r="C68" t="s">
        <v>1742</v>
      </c>
      <c r="D68" t="s">
        <v>1743</v>
      </c>
    </row>
    <row r="69" spans="1:64" x14ac:dyDescent="0.35">
      <c r="A69" t="s">
        <v>1442</v>
      </c>
      <c r="B69" t="s">
        <v>1443</v>
      </c>
      <c r="C69" t="s">
        <v>1742</v>
      </c>
      <c r="D69" t="s">
        <v>1743</v>
      </c>
    </row>
    <row r="70" spans="1:64" x14ac:dyDescent="0.35">
      <c r="A70" t="s">
        <v>1444</v>
      </c>
      <c r="B70" t="s">
        <v>1445</v>
      </c>
      <c r="C70" t="s">
        <v>1742</v>
      </c>
      <c r="D70" t="s">
        <v>1743</v>
      </c>
    </row>
    <row r="71" spans="1:64" x14ac:dyDescent="0.3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1449</v>
      </c>
      <c r="B73" t="s">
        <v>1450</v>
      </c>
      <c r="C73" t="s">
        <v>1742</v>
      </c>
      <c r="D73" t="s">
        <v>1743</v>
      </c>
    </row>
    <row r="74" spans="1:64" x14ac:dyDescent="0.3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1252</v>
      </c>
      <c r="B76" t="s">
        <v>1453</v>
      </c>
      <c r="C76" t="s">
        <v>1742</v>
      </c>
      <c r="D76" t="s">
        <v>1743</v>
      </c>
    </row>
    <row r="77" spans="1:64" x14ac:dyDescent="0.3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1454</v>
      </c>
      <c r="B78" t="s">
        <v>1455</v>
      </c>
      <c r="C78" t="s">
        <v>1742</v>
      </c>
      <c r="D78" t="s">
        <v>1743</v>
      </c>
    </row>
    <row r="79" spans="1:64" x14ac:dyDescent="0.3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1253</v>
      </c>
      <c r="B80" t="s">
        <v>1458</v>
      </c>
      <c r="C80" t="s">
        <v>1742</v>
      </c>
      <c r="D80" t="s">
        <v>1743</v>
      </c>
    </row>
    <row r="81" spans="1:64" x14ac:dyDescent="0.3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1461</v>
      </c>
      <c r="B83" t="s">
        <v>1462</v>
      </c>
      <c r="C83" t="s">
        <v>1742</v>
      </c>
      <c r="D83" t="s">
        <v>1743</v>
      </c>
    </row>
    <row r="84" spans="1:64" x14ac:dyDescent="0.35">
      <c r="A84" t="s">
        <v>1463</v>
      </c>
      <c r="B84" t="s">
        <v>1464</v>
      </c>
      <c r="C84" t="s">
        <v>1742</v>
      </c>
      <c r="D84" t="s">
        <v>1743</v>
      </c>
    </row>
    <row r="85" spans="1:64" x14ac:dyDescent="0.3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1260</v>
      </c>
      <c r="B86" t="s">
        <v>1466</v>
      </c>
      <c r="C86" t="s">
        <v>1742</v>
      </c>
      <c r="D86" t="s">
        <v>1743</v>
      </c>
    </row>
    <row r="87" spans="1:64" x14ac:dyDescent="0.35">
      <c r="A87" t="s">
        <v>1122</v>
      </c>
      <c r="B87" t="s">
        <v>1467</v>
      </c>
      <c r="C87" t="s">
        <v>1742</v>
      </c>
      <c r="D87" t="s">
        <v>1743</v>
      </c>
    </row>
    <row r="88" spans="1:64" x14ac:dyDescent="0.3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1469</v>
      </c>
      <c r="B89" t="s">
        <v>1470</v>
      </c>
      <c r="C89" t="s">
        <v>1742</v>
      </c>
      <c r="D89" t="s">
        <v>1743</v>
      </c>
    </row>
    <row r="90" spans="1:64" x14ac:dyDescent="0.3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1265</v>
      </c>
      <c r="B94" t="s">
        <v>1476</v>
      </c>
      <c r="C94" t="s">
        <v>1742</v>
      </c>
      <c r="D94" t="s">
        <v>1743</v>
      </c>
    </row>
    <row r="95" spans="1:64" x14ac:dyDescent="0.35">
      <c r="A95" t="s">
        <v>1184</v>
      </c>
      <c r="B95" t="s">
        <v>1477</v>
      </c>
      <c r="C95" t="s">
        <v>1742</v>
      </c>
      <c r="D95" t="s">
        <v>1743</v>
      </c>
    </row>
    <row r="96" spans="1:64" x14ac:dyDescent="0.35">
      <c r="A96" t="s">
        <v>1478</v>
      </c>
      <c r="B96" t="s">
        <v>1479</v>
      </c>
      <c r="C96" t="s">
        <v>1742</v>
      </c>
      <c r="D96" t="s">
        <v>1743</v>
      </c>
    </row>
    <row r="97" spans="1:64" x14ac:dyDescent="0.3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1228</v>
      </c>
      <c r="B98" t="s">
        <v>1481</v>
      </c>
      <c r="C98" t="s">
        <v>1742</v>
      </c>
      <c r="D98" t="s">
        <v>1743</v>
      </c>
    </row>
    <row r="99" spans="1:64" x14ac:dyDescent="0.3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1483</v>
      </c>
      <c r="B100" t="s">
        <v>1484</v>
      </c>
      <c r="C100" t="s">
        <v>1742</v>
      </c>
      <c r="D100" t="s">
        <v>1743</v>
      </c>
    </row>
    <row r="101" spans="1:64" x14ac:dyDescent="0.35">
      <c r="A101" t="s">
        <v>1485</v>
      </c>
      <c r="B101" t="s">
        <v>1486</v>
      </c>
      <c r="C101" t="s">
        <v>1742</v>
      </c>
      <c r="D101" t="s">
        <v>1743</v>
      </c>
    </row>
    <row r="102" spans="1:64" x14ac:dyDescent="0.3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1242</v>
      </c>
      <c r="B106" t="s">
        <v>1492</v>
      </c>
      <c r="C106" t="s">
        <v>1742</v>
      </c>
      <c r="D106" t="s">
        <v>1743</v>
      </c>
    </row>
    <row r="107" spans="1:64" x14ac:dyDescent="0.35">
      <c r="A107" t="s">
        <v>1493</v>
      </c>
      <c r="B107" t="s">
        <v>1494</v>
      </c>
      <c r="C107" t="s">
        <v>1742</v>
      </c>
      <c r="D107" t="s">
        <v>1743</v>
      </c>
    </row>
    <row r="108" spans="1:64" x14ac:dyDescent="0.35">
      <c r="A108" t="s">
        <v>1495</v>
      </c>
      <c r="B108" t="s">
        <v>1496</v>
      </c>
      <c r="C108" t="s">
        <v>1742</v>
      </c>
      <c r="D108" t="s">
        <v>1743</v>
      </c>
    </row>
    <row r="109" spans="1:64" x14ac:dyDescent="0.3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1166</v>
      </c>
      <c r="B111" t="s">
        <v>1501</v>
      </c>
      <c r="C111" t="s">
        <v>1742</v>
      </c>
      <c r="D111" t="s">
        <v>1743</v>
      </c>
    </row>
    <row r="112" spans="1:64" x14ac:dyDescent="0.3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1504</v>
      </c>
      <c r="B113" t="s">
        <v>1505</v>
      </c>
      <c r="C113" t="s">
        <v>1742</v>
      </c>
      <c r="D113" t="s">
        <v>1743</v>
      </c>
    </row>
    <row r="114" spans="1:64" x14ac:dyDescent="0.35">
      <c r="A114" t="s">
        <v>1147</v>
      </c>
      <c r="B114" t="s">
        <v>1506</v>
      </c>
      <c r="C114" t="s">
        <v>1742</v>
      </c>
      <c r="D114" t="s">
        <v>1743</v>
      </c>
    </row>
    <row r="115" spans="1:64" x14ac:dyDescent="0.35">
      <c r="A115" t="s">
        <v>1507</v>
      </c>
      <c r="B115" t="s">
        <v>1508</v>
      </c>
      <c r="C115" t="s">
        <v>1742</v>
      </c>
      <c r="D115" t="s">
        <v>1743</v>
      </c>
    </row>
    <row r="116" spans="1:64" x14ac:dyDescent="0.35">
      <c r="A116" t="s">
        <v>1255</v>
      </c>
      <c r="B116" t="s">
        <v>1509</v>
      </c>
      <c r="C116" t="s">
        <v>1742</v>
      </c>
      <c r="D116" t="s">
        <v>1743</v>
      </c>
    </row>
    <row r="117" spans="1:64" x14ac:dyDescent="0.3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1123</v>
      </c>
      <c r="B118" t="s">
        <v>1512</v>
      </c>
      <c r="C118" t="s">
        <v>1742</v>
      </c>
      <c r="D118" t="s">
        <v>1743</v>
      </c>
    </row>
    <row r="119" spans="1:64" x14ac:dyDescent="0.35">
      <c r="A119" t="s">
        <v>1254</v>
      </c>
      <c r="B119" t="s">
        <v>1513</v>
      </c>
      <c r="C119" t="s">
        <v>1742</v>
      </c>
      <c r="D119" t="s">
        <v>1743</v>
      </c>
    </row>
    <row r="120" spans="1:64" x14ac:dyDescent="0.35">
      <c r="A120" t="s">
        <v>1124</v>
      </c>
      <c r="B120" t="s">
        <v>1514</v>
      </c>
      <c r="C120" t="s">
        <v>1742</v>
      </c>
      <c r="D120" t="s">
        <v>1743</v>
      </c>
    </row>
    <row r="121" spans="1:64" x14ac:dyDescent="0.3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1125</v>
      </c>
      <c r="B123" t="s">
        <v>1517</v>
      </c>
      <c r="C123" t="s">
        <v>1742</v>
      </c>
      <c r="D123" t="s">
        <v>1743</v>
      </c>
    </row>
    <row r="124" spans="1:64" x14ac:dyDescent="0.35">
      <c r="A124" t="s">
        <v>1160</v>
      </c>
      <c r="B124" t="s">
        <v>1518</v>
      </c>
      <c r="C124" t="s">
        <v>1742</v>
      </c>
      <c r="D124" t="s">
        <v>1743</v>
      </c>
    </row>
    <row r="125" spans="1:64" x14ac:dyDescent="0.3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1229</v>
      </c>
      <c r="B129" t="s">
        <v>1524</v>
      </c>
      <c r="C129" t="s">
        <v>1742</v>
      </c>
      <c r="D129" t="s">
        <v>1743</v>
      </c>
    </row>
    <row r="130" spans="1:64" x14ac:dyDescent="0.35">
      <c r="A130" t="s">
        <v>1525</v>
      </c>
      <c r="B130" t="s">
        <v>1526</v>
      </c>
      <c r="C130" t="s">
        <v>1742</v>
      </c>
      <c r="D130" t="s">
        <v>1743</v>
      </c>
    </row>
    <row r="131" spans="1:64" x14ac:dyDescent="0.35">
      <c r="A131" t="s">
        <v>1527</v>
      </c>
      <c r="B131" t="s">
        <v>1528</v>
      </c>
      <c r="C131" t="s">
        <v>1742</v>
      </c>
      <c r="D131" t="s">
        <v>1743</v>
      </c>
    </row>
    <row r="132" spans="1:64" x14ac:dyDescent="0.35">
      <c r="A132" t="s">
        <v>1126</v>
      </c>
      <c r="B132" t="s">
        <v>1529</v>
      </c>
      <c r="C132" t="s">
        <v>1742</v>
      </c>
      <c r="D132" t="s">
        <v>1743</v>
      </c>
    </row>
    <row r="133" spans="1:64" x14ac:dyDescent="0.35">
      <c r="A133" t="s">
        <v>1530</v>
      </c>
      <c r="B133" t="s">
        <v>1531</v>
      </c>
      <c r="C133" t="s">
        <v>1742</v>
      </c>
      <c r="D133" t="s">
        <v>1743</v>
      </c>
    </row>
    <row r="134" spans="1:64" x14ac:dyDescent="0.3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1537</v>
      </c>
      <c r="B138" t="s">
        <v>1538</v>
      </c>
      <c r="C138" t="s">
        <v>1742</v>
      </c>
      <c r="D138" t="s">
        <v>1743</v>
      </c>
    </row>
    <row r="139" spans="1:64" x14ac:dyDescent="0.35">
      <c r="A139" t="s">
        <v>1539</v>
      </c>
      <c r="B139" t="s">
        <v>1540</v>
      </c>
      <c r="C139" t="s">
        <v>1742</v>
      </c>
      <c r="D139" t="s">
        <v>1743</v>
      </c>
    </row>
    <row r="140" spans="1:64" x14ac:dyDescent="0.3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1545</v>
      </c>
      <c r="B142" t="s">
        <v>1546</v>
      </c>
      <c r="C142" t="s">
        <v>1742</v>
      </c>
      <c r="D142" t="s">
        <v>1743</v>
      </c>
    </row>
    <row r="143" spans="1:64" x14ac:dyDescent="0.3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1548</v>
      </c>
      <c r="B144" t="s">
        <v>1549</v>
      </c>
      <c r="C144" t="s">
        <v>1742</v>
      </c>
      <c r="D144" t="s">
        <v>1743</v>
      </c>
    </row>
    <row r="145" spans="1:64" x14ac:dyDescent="0.35">
      <c r="A145" t="s">
        <v>1550</v>
      </c>
      <c r="B145" t="s">
        <v>1551</v>
      </c>
      <c r="C145" t="s">
        <v>1742</v>
      </c>
      <c r="D145" t="s">
        <v>1743</v>
      </c>
    </row>
    <row r="146" spans="1:64" x14ac:dyDescent="0.3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1553</v>
      </c>
      <c r="B147" t="s">
        <v>1554</v>
      </c>
      <c r="C147" t="s">
        <v>1742</v>
      </c>
      <c r="D147" t="s">
        <v>1743</v>
      </c>
    </row>
    <row r="148" spans="1:64" x14ac:dyDescent="0.3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1279</v>
      </c>
      <c r="B149" t="s">
        <v>1556</v>
      </c>
      <c r="C149" t="s">
        <v>1742</v>
      </c>
      <c r="D149" t="s">
        <v>1743</v>
      </c>
    </row>
    <row r="150" spans="1:64" x14ac:dyDescent="0.3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1558</v>
      </c>
      <c r="B151" t="s">
        <v>1559</v>
      </c>
      <c r="C151" t="s">
        <v>1742</v>
      </c>
      <c r="D151" t="s">
        <v>1743</v>
      </c>
    </row>
    <row r="152" spans="1:64" x14ac:dyDescent="0.35">
      <c r="A152" t="s">
        <v>1560</v>
      </c>
      <c r="B152" t="s">
        <v>1561</v>
      </c>
      <c r="C152" t="s">
        <v>1742</v>
      </c>
      <c r="D152" t="s">
        <v>1743</v>
      </c>
    </row>
    <row r="153" spans="1:64" x14ac:dyDescent="0.3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1563</v>
      </c>
      <c r="B154" t="s">
        <v>1564</v>
      </c>
      <c r="C154" t="s">
        <v>1742</v>
      </c>
      <c r="D154" t="s">
        <v>1743</v>
      </c>
    </row>
    <row r="155" spans="1:64" x14ac:dyDescent="0.3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1149</v>
      </c>
      <c r="B157" t="s">
        <v>1568</v>
      </c>
      <c r="C157" t="s">
        <v>1742</v>
      </c>
      <c r="D157" t="s">
        <v>1743</v>
      </c>
    </row>
    <row r="158" spans="1:64" x14ac:dyDescent="0.3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1200</v>
      </c>
      <c r="B159" t="s">
        <v>1571</v>
      </c>
      <c r="C159" t="s">
        <v>1742</v>
      </c>
      <c r="D159" t="s">
        <v>1743</v>
      </c>
    </row>
    <row r="160" spans="1:64" x14ac:dyDescent="0.35">
      <c r="A160" t="s">
        <v>1572</v>
      </c>
      <c r="B160" t="s">
        <v>1573</v>
      </c>
      <c r="C160" t="s">
        <v>1742</v>
      </c>
      <c r="D160" t="s">
        <v>1743</v>
      </c>
    </row>
    <row r="161" spans="1:64" x14ac:dyDescent="0.35">
      <c r="A161" t="s">
        <v>1574</v>
      </c>
      <c r="B161" t="s">
        <v>1575</v>
      </c>
      <c r="C161" t="s">
        <v>1742</v>
      </c>
      <c r="D161" t="s">
        <v>1743</v>
      </c>
    </row>
    <row r="162" spans="1:64" x14ac:dyDescent="0.35">
      <c r="A162" t="s">
        <v>1269</v>
      </c>
      <c r="B162" t="s">
        <v>1576</v>
      </c>
      <c r="C162" t="s">
        <v>1742</v>
      </c>
      <c r="D162" t="s">
        <v>1743</v>
      </c>
    </row>
    <row r="163" spans="1:64" x14ac:dyDescent="0.35">
      <c r="A163" t="s">
        <v>1101</v>
      </c>
      <c r="B163" t="s">
        <v>1577</v>
      </c>
      <c r="C163" t="s">
        <v>1742</v>
      </c>
      <c r="D163" t="s">
        <v>1743</v>
      </c>
    </row>
    <row r="164" spans="1:64" x14ac:dyDescent="0.35">
      <c r="A164" t="s">
        <v>1267</v>
      </c>
      <c r="B164" t="s">
        <v>1578</v>
      </c>
      <c r="C164" t="s">
        <v>1742</v>
      </c>
      <c r="D164" t="s">
        <v>1743</v>
      </c>
    </row>
    <row r="165" spans="1:64" x14ac:dyDescent="0.3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1584</v>
      </c>
      <c r="B169" t="s">
        <v>1585</v>
      </c>
      <c r="C169" t="s">
        <v>1742</v>
      </c>
      <c r="D169" t="s">
        <v>1743</v>
      </c>
    </row>
    <row r="170" spans="1:64" x14ac:dyDescent="0.3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1102</v>
      </c>
      <c r="B171" t="s">
        <v>1587</v>
      </c>
      <c r="C171" t="s">
        <v>1742</v>
      </c>
      <c r="D171" t="s">
        <v>1743</v>
      </c>
    </row>
    <row r="172" spans="1:64" x14ac:dyDescent="0.3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1223</v>
      </c>
      <c r="B177" t="s">
        <v>1594</v>
      </c>
      <c r="C177" t="s">
        <v>1742</v>
      </c>
      <c r="D177" t="s">
        <v>1743</v>
      </c>
    </row>
    <row r="178" spans="1:64" x14ac:dyDescent="0.3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1258</v>
      </c>
      <c r="B182" t="s">
        <v>1599</v>
      </c>
      <c r="C182" t="s">
        <v>1742</v>
      </c>
      <c r="D182" t="s">
        <v>1743</v>
      </c>
    </row>
    <row r="183" spans="1:64" x14ac:dyDescent="0.3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1601</v>
      </c>
      <c r="B184" t="s">
        <v>1602</v>
      </c>
      <c r="C184" t="s">
        <v>1742</v>
      </c>
      <c r="D184" t="s">
        <v>1743</v>
      </c>
    </row>
    <row r="185" spans="1:64" x14ac:dyDescent="0.3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1604</v>
      </c>
      <c r="B186" t="s">
        <v>1605</v>
      </c>
      <c r="C186" t="s">
        <v>1742</v>
      </c>
      <c r="D186" t="s">
        <v>1743</v>
      </c>
    </row>
    <row r="187" spans="1:64" x14ac:dyDescent="0.3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1202</v>
      </c>
      <c r="B190" t="s">
        <v>1610</v>
      </c>
      <c r="C190" t="s">
        <v>1742</v>
      </c>
      <c r="D190" t="s">
        <v>1743</v>
      </c>
    </row>
    <row r="191" spans="1:64" x14ac:dyDescent="0.3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1613</v>
      </c>
      <c r="B193" t="s">
        <v>1614</v>
      </c>
      <c r="C193" t="s">
        <v>1742</v>
      </c>
      <c r="D193" t="s">
        <v>1743</v>
      </c>
    </row>
    <row r="194" spans="1:64" x14ac:dyDescent="0.3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1243</v>
      </c>
      <c r="B195" t="s">
        <v>1616</v>
      </c>
      <c r="C195" t="s">
        <v>1742</v>
      </c>
      <c r="D195" t="s">
        <v>1743</v>
      </c>
    </row>
    <row r="196" spans="1:64" x14ac:dyDescent="0.3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1189</v>
      </c>
      <c r="B197" t="s">
        <v>1619</v>
      </c>
      <c r="C197" t="s">
        <v>1742</v>
      </c>
      <c r="D197" t="s">
        <v>1743</v>
      </c>
    </row>
    <row r="198" spans="1:64" x14ac:dyDescent="0.35">
      <c r="A198" t="s">
        <v>1620</v>
      </c>
      <c r="B198" t="s">
        <v>1621</v>
      </c>
      <c r="C198" t="s">
        <v>1742</v>
      </c>
      <c r="D198" t="s">
        <v>1743</v>
      </c>
    </row>
    <row r="199" spans="1:64" x14ac:dyDescent="0.35">
      <c r="A199" t="s">
        <v>1270</v>
      </c>
      <c r="B199" t="s">
        <v>1622</v>
      </c>
      <c r="C199" t="s">
        <v>1742</v>
      </c>
      <c r="D199" t="s">
        <v>1743</v>
      </c>
    </row>
    <row r="200" spans="1:64" x14ac:dyDescent="0.3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1624</v>
      </c>
      <c r="B201" t="s">
        <v>1625</v>
      </c>
      <c r="C201" t="s">
        <v>1742</v>
      </c>
      <c r="D201" t="s">
        <v>1743</v>
      </c>
    </row>
    <row r="202" spans="1:64" x14ac:dyDescent="0.35">
      <c r="A202" t="s">
        <v>1626</v>
      </c>
      <c r="B202" t="s">
        <v>1627</v>
      </c>
      <c r="C202" t="s">
        <v>1742</v>
      </c>
      <c r="D202" t="s">
        <v>1743</v>
      </c>
    </row>
    <row r="203" spans="1:64" x14ac:dyDescent="0.35">
      <c r="A203" t="s">
        <v>1628</v>
      </c>
      <c r="B203" t="s">
        <v>1629</v>
      </c>
      <c r="C203" t="s">
        <v>1742</v>
      </c>
      <c r="D203" t="s">
        <v>1743</v>
      </c>
    </row>
    <row r="204" spans="1:64" x14ac:dyDescent="0.35">
      <c r="A204" t="s">
        <v>1232</v>
      </c>
      <c r="B204" t="s">
        <v>1630</v>
      </c>
      <c r="C204" t="s">
        <v>1742</v>
      </c>
      <c r="D204" t="s">
        <v>1743</v>
      </c>
    </row>
    <row r="205" spans="1:64" x14ac:dyDescent="0.35">
      <c r="A205" t="s">
        <v>1129</v>
      </c>
      <c r="B205" t="s">
        <v>1631</v>
      </c>
      <c r="C205" t="s">
        <v>1742</v>
      </c>
      <c r="D205" t="s">
        <v>1743</v>
      </c>
    </row>
    <row r="206" spans="1:64" x14ac:dyDescent="0.3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1246</v>
      </c>
      <c r="B207" t="s">
        <v>1633</v>
      </c>
      <c r="C207" t="s">
        <v>1742</v>
      </c>
      <c r="D207" t="s">
        <v>1743</v>
      </c>
    </row>
    <row r="208" spans="1:64" x14ac:dyDescent="0.3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1635</v>
      </c>
      <c r="B209" t="s">
        <v>1636</v>
      </c>
      <c r="C209" t="s">
        <v>1742</v>
      </c>
      <c r="D209" t="s">
        <v>1743</v>
      </c>
    </row>
    <row r="210" spans="1:64" x14ac:dyDescent="0.35">
      <c r="A210" t="s">
        <v>1130</v>
      </c>
      <c r="B210" t="s">
        <v>1637</v>
      </c>
      <c r="C210" t="s">
        <v>1742</v>
      </c>
      <c r="D210" t="s">
        <v>1743</v>
      </c>
    </row>
    <row r="211" spans="1:64" x14ac:dyDescent="0.3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1225</v>
      </c>
      <c r="B214" t="s">
        <v>1641</v>
      </c>
      <c r="C214" t="s">
        <v>1742</v>
      </c>
      <c r="D214" t="s">
        <v>1743</v>
      </c>
    </row>
    <row r="215" spans="1:64" x14ac:dyDescent="0.3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1644</v>
      </c>
      <c r="B217" t="s">
        <v>1645</v>
      </c>
      <c r="C217" t="s">
        <v>1742</v>
      </c>
      <c r="D217" t="s">
        <v>1743</v>
      </c>
    </row>
    <row r="218" spans="1:64" x14ac:dyDescent="0.3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1089</v>
      </c>
      <c r="B224" t="s">
        <v>1655</v>
      </c>
      <c r="C224" t="s">
        <v>1742</v>
      </c>
      <c r="D224" t="s">
        <v>1743</v>
      </c>
    </row>
    <row r="225" spans="1:64" x14ac:dyDescent="0.3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1657</v>
      </c>
      <c r="B226" t="s">
        <v>1658</v>
      </c>
      <c r="C226" t="s">
        <v>1742</v>
      </c>
      <c r="D226" t="s">
        <v>1743</v>
      </c>
    </row>
    <row r="227" spans="1:64" x14ac:dyDescent="0.35">
      <c r="A227" t="s">
        <v>1272</v>
      </c>
      <c r="B227" t="s">
        <v>1659</v>
      </c>
      <c r="C227" t="s">
        <v>1742</v>
      </c>
      <c r="D227" t="s">
        <v>1743</v>
      </c>
    </row>
    <row r="228" spans="1:64" x14ac:dyDescent="0.35">
      <c r="A228" t="s">
        <v>1259</v>
      </c>
      <c r="B228" t="s">
        <v>1660</v>
      </c>
      <c r="C228" t="s">
        <v>1742</v>
      </c>
      <c r="D228" t="s">
        <v>1743</v>
      </c>
    </row>
    <row r="229" spans="1:64" x14ac:dyDescent="0.3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1662</v>
      </c>
      <c r="B230" t="s">
        <v>1663</v>
      </c>
      <c r="C230" t="s">
        <v>1742</v>
      </c>
      <c r="D230" t="s">
        <v>1743</v>
      </c>
    </row>
    <row r="231" spans="1:64" x14ac:dyDescent="0.35">
      <c r="A231" t="s">
        <v>1079</v>
      </c>
      <c r="B231" t="s">
        <v>1664</v>
      </c>
      <c r="C231" t="s">
        <v>1742</v>
      </c>
      <c r="D231" t="s">
        <v>1743</v>
      </c>
    </row>
    <row r="232" spans="1:64" x14ac:dyDescent="0.3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1666</v>
      </c>
      <c r="B233" t="s">
        <v>1667</v>
      </c>
      <c r="C233" t="s">
        <v>1742</v>
      </c>
      <c r="D233" t="s">
        <v>1743</v>
      </c>
    </row>
    <row r="234" spans="1:64" x14ac:dyDescent="0.3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1669</v>
      </c>
      <c r="B235" t="s">
        <v>1670</v>
      </c>
      <c r="C235" t="s">
        <v>1742</v>
      </c>
      <c r="D235" t="s">
        <v>1743</v>
      </c>
    </row>
    <row r="236" spans="1:64" x14ac:dyDescent="0.35">
      <c r="A236" t="s">
        <v>1671</v>
      </c>
      <c r="B236" t="s">
        <v>1672</v>
      </c>
      <c r="C236" t="s">
        <v>1742</v>
      </c>
      <c r="D236" t="s">
        <v>1743</v>
      </c>
    </row>
    <row r="237" spans="1:64" x14ac:dyDescent="0.3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1141</v>
      </c>
      <c r="B240" t="s">
        <v>1676</v>
      </c>
      <c r="C240" t="s">
        <v>1742</v>
      </c>
      <c r="D240" t="s">
        <v>1743</v>
      </c>
    </row>
    <row r="241" spans="1:64" x14ac:dyDescent="0.35">
      <c r="A241" t="s">
        <v>1677</v>
      </c>
      <c r="B241" t="s">
        <v>1678</v>
      </c>
      <c r="C241" t="s">
        <v>1742</v>
      </c>
      <c r="D241" t="s">
        <v>1743</v>
      </c>
    </row>
    <row r="242" spans="1:64" x14ac:dyDescent="0.3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1234</v>
      </c>
      <c r="B244" t="s">
        <v>1682</v>
      </c>
      <c r="C244" t="s">
        <v>1742</v>
      </c>
      <c r="D244" t="s">
        <v>1743</v>
      </c>
    </row>
    <row r="245" spans="1:64" x14ac:dyDescent="0.35">
      <c r="A245" t="s">
        <v>1683</v>
      </c>
      <c r="B245" t="s">
        <v>1684</v>
      </c>
      <c r="C245" t="s">
        <v>1742</v>
      </c>
      <c r="D245" t="s">
        <v>1743</v>
      </c>
    </row>
    <row r="246" spans="1:64" x14ac:dyDescent="0.3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1133</v>
      </c>
      <c r="B249" t="s">
        <v>1689</v>
      </c>
      <c r="C249" t="s">
        <v>1742</v>
      </c>
      <c r="D249" t="s">
        <v>1743</v>
      </c>
    </row>
    <row r="250" spans="1:64" x14ac:dyDescent="0.35">
      <c r="A250" t="s">
        <v>1690</v>
      </c>
      <c r="B250" t="s">
        <v>1691</v>
      </c>
      <c r="C250" t="s">
        <v>1742</v>
      </c>
      <c r="D250" t="s">
        <v>1743</v>
      </c>
    </row>
    <row r="251" spans="1:64" x14ac:dyDescent="0.3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1696</v>
      </c>
      <c r="B254" t="s">
        <v>1697</v>
      </c>
      <c r="C254" t="s">
        <v>1742</v>
      </c>
      <c r="D254" t="s">
        <v>1743</v>
      </c>
    </row>
    <row r="255" spans="1:64" x14ac:dyDescent="0.35">
      <c r="A255" t="s">
        <v>1215</v>
      </c>
      <c r="B255" t="s">
        <v>1698</v>
      </c>
      <c r="C255" t="s">
        <v>1742</v>
      </c>
      <c r="D255" t="s">
        <v>1743</v>
      </c>
    </row>
    <row r="256" spans="1:64" x14ac:dyDescent="0.3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1702</v>
      </c>
      <c r="B258" t="s">
        <v>1703</v>
      </c>
      <c r="C258" t="s">
        <v>1742</v>
      </c>
      <c r="D258" t="s">
        <v>1743</v>
      </c>
    </row>
    <row r="259" spans="1:65" x14ac:dyDescent="0.3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1706</v>
      </c>
      <c r="B260" t="s">
        <v>1707</v>
      </c>
      <c r="C260" t="s">
        <v>1742</v>
      </c>
      <c r="D260" t="s">
        <v>1743</v>
      </c>
    </row>
    <row r="261" spans="1:65" x14ac:dyDescent="0.35">
      <c r="A261" t="s">
        <v>1708</v>
      </c>
      <c r="B261" t="s">
        <v>1709</v>
      </c>
      <c r="C261" t="s">
        <v>1742</v>
      </c>
      <c r="D261" t="s">
        <v>1743</v>
      </c>
    </row>
    <row r="262" spans="1:65" x14ac:dyDescent="0.3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1226</v>
      </c>
      <c r="B263" t="s">
        <v>1712</v>
      </c>
      <c r="C263" t="s">
        <v>1742</v>
      </c>
      <c r="D263" t="s">
        <v>1743</v>
      </c>
    </row>
    <row r="264" spans="1:65" x14ac:dyDescent="0.3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1233</v>
      </c>
      <c r="B265" t="s">
        <v>1714</v>
      </c>
      <c r="C265" t="s">
        <v>1742</v>
      </c>
      <c r="D265" t="s">
        <v>1743</v>
      </c>
    </row>
    <row r="266" spans="1:65" x14ac:dyDescent="0.35">
      <c r="A266" t="s">
        <v>1715</v>
      </c>
      <c r="B266" t="s">
        <v>1716</v>
      </c>
      <c r="C266" t="s">
        <v>1742</v>
      </c>
      <c r="D266" t="s">
        <v>1743</v>
      </c>
    </row>
    <row r="267" spans="1:65" x14ac:dyDescent="0.3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1746</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1747</v>
      </c>
      <c r="D5" t="s">
        <v>1748</v>
      </c>
    </row>
    <row r="6" spans="1:65" hidden="1" x14ac:dyDescent="0.3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1373</v>
      </c>
      <c r="B16" t="s">
        <v>1374</v>
      </c>
      <c r="C16" t="s">
        <v>1747</v>
      </c>
      <c r="D16" t="s">
        <v>1748</v>
      </c>
    </row>
    <row r="17" spans="1:64" hidden="1" x14ac:dyDescent="0.3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1391</v>
      </c>
      <c r="B32" t="s">
        <v>1392</v>
      </c>
      <c r="C32" t="s">
        <v>1747</v>
      </c>
      <c r="D32" t="s">
        <v>1748</v>
      </c>
    </row>
    <row r="33" spans="1:64" hidden="1" x14ac:dyDescent="0.3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1250</v>
      </c>
      <c r="B43" t="s">
        <v>1405</v>
      </c>
      <c r="C43" t="s">
        <v>1747</v>
      </c>
      <c r="D43" t="s">
        <v>1748</v>
      </c>
    </row>
    <row r="44" spans="1:64" hidden="1" x14ac:dyDescent="0.3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1422</v>
      </c>
      <c r="B56" t="s">
        <v>1423</v>
      </c>
      <c r="C56" t="s">
        <v>1747</v>
      </c>
      <c r="D56" t="s">
        <v>1748</v>
      </c>
    </row>
    <row r="57" spans="1:64" hidden="1" x14ac:dyDescent="0.35">
      <c r="A57" t="s">
        <v>1424</v>
      </c>
      <c r="B57" t="s">
        <v>1425</v>
      </c>
      <c r="C57" t="s">
        <v>1747</v>
      </c>
      <c r="D57" t="s">
        <v>1748</v>
      </c>
    </row>
    <row r="58" spans="1:64" hidden="1" x14ac:dyDescent="0.3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1461</v>
      </c>
      <c r="B83" t="s">
        <v>1462</v>
      </c>
      <c r="C83" t="s">
        <v>1747</v>
      </c>
      <c r="D83" t="s">
        <v>1748</v>
      </c>
    </row>
    <row r="84" spans="1:64" hidden="1" x14ac:dyDescent="0.3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1469</v>
      </c>
      <c r="B89" t="s">
        <v>1470</v>
      </c>
      <c r="C89" t="s">
        <v>1747</v>
      </c>
      <c r="D89" t="s">
        <v>1748</v>
      </c>
    </row>
    <row r="90" spans="1:64" hidden="1" x14ac:dyDescent="0.3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1478</v>
      </c>
      <c r="B96" t="s">
        <v>1479</v>
      </c>
      <c r="C96" t="s">
        <v>1747</v>
      </c>
      <c r="D96" t="s">
        <v>1748</v>
      </c>
    </row>
    <row r="97" spans="1:64" hidden="1" x14ac:dyDescent="0.3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1228</v>
      </c>
      <c r="B98" t="s">
        <v>1481</v>
      </c>
      <c r="C98" t="s">
        <v>1747</v>
      </c>
      <c r="D98" t="s">
        <v>1748</v>
      </c>
    </row>
    <row r="99" spans="1:64" hidden="1" x14ac:dyDescent="0.3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1485</v>
      </c>
      <c r="B101" t="s">
        <v>1486</v>
      </c>
      <c r="C101" t="s">
        <v>1747</v>
      </c>
      <c r="D101" t="s">
        <v>1748</v>
      </c>
    </row>
    <row r="102" spans="1:64" hidden="1" x14ac:dyDescent="0.3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1504</v>
      </c>
      <c r="B113" t="s">
        <v>1505</v>
      </c>
      <c r="C113" t="s">
        <v>1747</v>
      </c>
      <c r="D113" t="s">
        <v>1748</v>
      </c>
    </row>
    <row r="114" spans="1:64" hidden="1" x14ac:dyDescent="0.3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1507</v>
      </c>
      <c r="B115" t="s">
        <v>1508</v>
      </c>
      <c r="C115" t="s">
        <v>1747</v>
      </c>
      <c r="D115" t="s">
        <v>1748</v>
      </c>
    </row>
    <row r="116" spans="1:64" hidden="1" x14ac:dyDescent="0.3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1545</v>
      </c>
      <c r="B142" t="s">
        <v>1546</v>
      </c>
      <c r="C142" t="s">
        <v>1747</v>
      </c>
      <c r="D142" t="s">
        <v>1748</v>
      </c>
    </row>
    <row r="143" spans="1:64" hidden="1" x14ac:dyDescent="0.3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1558</v>
      </c>
      <c r="B151" t="s">
        <v>1559</v>
      </c>
      <c r="C151" t="s">
        <v>1747</v>
      </c>
      <c r="D151" t="s">
        <v>1748</v>
      </c>
    </row>
    <row r="152" spans="1:64" hidden="1" x14ac:dyDescent="0.35">
      <c r="A152" t="s">
        <v>1560</v>
      </c>
      <c r="B152" t="s">
        <v>1561</v>
      </c>
      <c r="C152" t="s">
        <v>1747</v>
      </c>
      <c r="D152" t="s">
        <v>1748</v>
      </c>
    </row>
    <row r="153" spans="1:64" hidden="1" x14ac:dyDescent="0.3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1584</v>
      </c>
      <c r="B169" t="s">
        <v>1585</v>
      </c>
      <c r="C169" t="s">
        <v>1747</v>
      </c>
      <c r="D169" t="s">
        <v>1748</v>
      </c>
    </row>
    <row r="170" spans="1:64" hidden="1" x14ac:dyDescent="0.3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1223</v>
      </c>
      <c r="B177" t="s">
        <v>1594</v>
      </c>
      <c r="C177" t="s">
        <v>1747</v>
      </c>
      <c r="D177" t="s">
        <v>1748</v>
      </c>
    </row>
    <row r="178" spans="1:64" hidden="1" x14ac:dyDescent="0.3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1189</v>
      </c>
      <c r="B197" t="s">
        <v>1619</v>
      </c>
      <c r="C197" t="s">
        <v>1747</v>
      </c>
      <c r="D197" t="s">
        <v>1748</v>
      </c>
    </row>
    <row r="198" spans="1:64" hidden="1" x14ac:dyDescent="0.3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1232</v>
      </c>
      <c r="B204" t="s">
        <v>1630</v>
      </c>
      <c r="C204" t="s">
        <v>1747</v>
      </c>
      <c r="D204" t="s">
        <v>1748</v>
      </c>
    </row>
    <row r="205" spans="1:64" hidden="1" x14ac:dyDescent="0.3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1662</v>
      </c>
      <c r="B230" t="s">
        <v>1663</v>
      </c>
      <c r="C230" t="s">
        <v>1747</v>
      </c>
      <c r="D230" t="s">
        <v>1748</v>
      </c>
    </row>
    <row r="231" spans="1:64" hidden="1" x14ac:dyDescent="0.3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1666</v>
      </c>
      <c r="B233" t="s">
        <v>1667</v>
      </c>
      <c r="C233" t="s">
        <v>1747</v>
      </c>
      <c r="D233" t="s">
        <v>1748</v>
      </c>
    </row>
    <row r="234" spans="1:64" hidden="1" x14ac:dyDescent="0.3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1706</v>
      </c>
      <c r="B260" t="s">
        <v>1707</v>
      </c>
      <c r="C260" t="s">
        <v>1747</v>
      </c>
      <c r="D260" t="s">
        <v>1748</v>
      </c>
    </row>
    <row r="261" spans="1:65" hidden="1" x14ac:dyDescent="0.35">
      <c r="A261" t="s">
        <v>1708</v>
      </c>
      <c r="B261" t="s">
        <v>1709</v>
      </c>
      <c r="C261" t="s">
        <v>1747</v>
      </c>
      <c r="D261" t="s">
        <v>1748</v>
      </c>
    </row>
    <row r="262" spans="1:65" hidden="1" x14ac:dyDescent="0.3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1715</v>
      </c>
      <c r="B266" t="s">
        <v>1716</v>
      </c>
      <c r="C266" t="s">
        <v>1747</v>
      </c>
      <c r="D266" t="s">
        <v>1748</v>
      </c>
    </row>
    <row r="267" spans="1:65" hidden="1" x14ac:dyDescent="0.3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1749</v>
      </c>
    </row>
    <row r="274" spans="8:65" s="1" customFormat="1" x14ac:dyDescent="0.35">
      <c r="I274" s="1" t="s">
        <v>1724</v>
      </c>
    </row>
    <row r="275" spans="8:65" s="1" customFormat="1" x14ac:dyDescent="0.35">
      <c r="H275">
        <v>2020</v>
      </c>
      <c r="I275" s="156">
        <f>BL77*$BM$272</f>
        <v>35.151715039577837</v>
      </c>
      <c r="BB275" s="1" t="s">
        <v>2141</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2142</v>
      </c>
    </row>
    <row r="284" spans="8:65" s="1" customFormat="1" x14ac:dyDescent="0.35">
      <c r="H284">
        <v>2029</v>
      </c>
      <c r="I284" s="156">
        <f t="shared" si="1"/>
        <v>25.051250478568985</v>
      </c>
      <c r="BC284" s="50" t="s">
        <v>2143</v>
      </c>
    </row>
    <row r="285" spans="8:65" s="1" customFormat="1" x14ac:dyDescent="0.35">
      <c r="H285">
        <v>2030</v>
      </c>
      <c r="I285" s="156">
        <f t="shared" si="1"/>
        <v>24.125874471445066</v>
      </c>
      <c r="BC285" s="50" t="s">
        <v>2144</v>
      </c>
    </row>
    <row r="286" spans="8:65" s="1" customFormat="1" x14ac:dyDescent="0.35">
      <c r="H286">
        <v>2031</v>
      </c>
      <c r="I286" s="156">
        <f t="shared" si="1"/>
        <v>23.234681219201715</v>
      </c>
      <c r="BB286" s="312">
        <f>BB283*0.969*0.969*0.969</f>
        <v>8.3706495227999991</v>
      </c>
      <c r="BC286" s="50" t="s">
        <v>2145</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1750</v>
      </c>
      <c r="D5" t="s">
        <v>1751</v>
      </c>
    </row>
    <row r="6" spans="1:65" hidden="1" x14ac:dyDescent="0.3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1373</v>
      </c>
      <c r="B16" t="s">
        <v>1374</v>
      </c>
      <c r="C16" t="s">
        <v>1750</v>
      </c>
      <c r="D16" t="s">
        <v>1751</v>
      </c>
    </row>
    <row r="17" spans="1:64" hidden="1" x14ac:dyDescent="0.3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1391</v>
      </c>
      <c r="B32" t="s">
        <v>1392</v>
      </c>
      <c r="C32" t="s">
        <v>1750</v>
      </c>
      <c r="D32" t="s">
        <v>1751</v>
      </c>
    </row>
    <row r="33" spans="1:64" hidden="1" x14ac:dyDescent="0.3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1250</v>
      </c>
      <c r="B43" t="s">
        <v>1405</v>
      </c>
      <c r="C43" t="s">
        <v>1750</v>
      </c>
      <c r="D43" t="s">
        <v>1751</v>
      </c>
    </row>
    <row r="44" spans="1:64" hidden="1" x14ac:dyDescent="0.3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1422</v>
      </c>
      <c r="B56" t="s">
        <v>1423</v>
      </c>
      <c r="C56" t="s">
        <v>1750</v>
      </c>
      <c r="D56" t="s">
        <v>1751</v>
      </c>
    </row>
    <row r="57" spans="1:64" hidden="1" x14ac:dyDescent="0.35">
      <c r="A57" t="s">
        <v>1424</v>
      </c>
      <c r="B57" t="s">
        <v>1425</v>
      </c>
      <c r="C57" t="s">
        <v>1750</v>
      </c>
      <c r="D57" t="s">
        <v>1751</v>
      </c>
    </row>
    <row r="58" spans="1:64" hidden="1" x14ac:dyDescent="0.3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1461</v>
      </c>
      <c r="B83" t="s">
        <v>1462</v>
      </c>
      <c r="C83" t="s">
        <v>1750</v>
      </c>
      <c r="D83" t="s">
        <v>1751</v>
      </c>
    </row>
    <row r="84" spans="1:64" hidden="1" x14ac:dyDescent="0.3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1469</v>
      </c>
      <c r="B89" t="s">
        <v>1470</v>
      </c>
      <c r="C89" t="s">
        <v>1750</v>
      </c>
      <c r="D89" t="s">
        <v>1751</v>
      </c>
    </row>
    <row r="90" spans="1:64" hidden="1" x14ac:dyDescent="0.3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1478</v>
      </c>
      <c r="B96" t="s">
        <v>1479</v>
      </c>
      <c r="C96" t="s">
        <v>1750</v>
      </c>
      <c r="D96" t="s">
        <v>1751</v>
      </c>
    </row>
    <row r="97" spans="1:64" hidden="1" x14ac:dyDescent="0.3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1228</v>
      </c>
      <c r="B98" t="s">
        <v>1481</v>
      </c>
      <c r="C98" t="s">
        <v>1750</v>
      </c>
      <c r="D98" t="s">
        <v>1751</v>
      </c>
    </row>
    <row r="99" spans="1:64" hidden="1" x14ac:dyDescent="0.3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1485</v>
      </c>
      <c r="B101" t="s">
        <v>1486</v>
      </c>
      <c r="C101" t="s">
        <v>1750</v>
      </c>
      <c r="D101" t="s">
        <v>1751</v>
      </c>
    </row>
    <row r="102" spans="1:64" hidden="1" x14ac:dyDescent="0.3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1504</v>
      </c>
      <c r="B113" t="s">
        <v>1505</v>
      </c>
      <c r="C113" t="s">
        <v>1750</v>
      </c>
      <c r="D113" t="s">
        <v>1751</v>
      </c>
    </row>
    <row r="114" spans="1:64" hidden="1" x14ac:dyDescent="0.3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1507</v>
      </c>
      <c r="B115" t="s">
        <v>1508</v>
      </c>
      <c r="C115" t="s">
        <v>1750</v>
      </c>
      <c r="D115" t="s">
        <v>1751</v>
      </c>
    </row>
    <row r="116" spans="1:64" hidden="1" x14ac:dyDescent="0.3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1545</v>
      </c>
      <c r="B142" t="s">
        <v>1546</v>
      </c>
      <c r="C142" t="s">
        <v>1750</v>
      </c>
      <c r="D142" t="s">
        <v>1751</v>
      </c>
    </row>
    <row r="143" spans="1:64" hidden="1" x14ac:dyDescent="0.3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1558</v>
      </c>
      <c r="B151" t="s">
        <v>1559</v>
      </c>
      <c r="C151" t="s">
        <v>1750</v>
      </c>
      <c r="D151" t="s">
        <v>1751</v>
      </c>
    </row>
    <row r="152" spans="1:64" hidden="1" x14ac:dyDescent="0.35">
      <c r="A152" t="s">
        <v>1560</v>
      </c>
      <c r="B152" t="s">
        <v>1561</v>
      </c>
      <c r="C152" t="s">
        <v>1750</v>
      </c>
      <c r="D152" t="s">
        <v>1751</v>
      </c>
    </row>
    <row r="153" spans="1:64" hidden="1" x14ac:dyDescent="0.3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1584</v>
      </c>
      <c r="B169" t="s">
        <v>1585</v>
      </c>
      <c r="C169" t="s">
        <v>1750</v>
      </c>
      <c r="D169" t="s">
        <v>1751</v>
      </c>
    </row>
    <row r="170" spans="1:64" hidden="1" x14ac:dyDescent="0.3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1223</v>
      </c>
      <c r="B177" t="s">
        <v>1594</v>
      </c>
      <c r="C177" t="s">
        <v>1750</v>
      </c>
      <c r="D177" t="s">
        <v>1751</v>
      </c>
    </row>
    <row r="178" spans="1:64" hidden="1" x14ac:dyDescent="0.3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1189</v>
      </c>
      <c r="B197" t="s">
        <v>1619</v>
      </c>
      <c r="C197" t="s">
        <v>1750</v>
      </c>
      <c r="D197" t="s">
        <v>1751</v>
      </c>
    </row>
    <row r="198" spans="1:64" hidden="1" x14ac:dyDescent="0.3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1232</v>
      </c>
      <c r="B204" t="s">
        <v>1630</v>
      </c>
      <c r="C204" t="s">
        <v>1750</v>
      </c>
      <c r="D204" t="s">
        <v>1751</v>
      </c>
    </row>
    <row r="205" spans="1:64" hidden="1" x14ac:dyDescent="0.3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1662</v>
      </c>
      <c r="B230" t="s">
        <v>1663</v>
      </c>
      <c r="C230" t="s">
        <v>1750</v>
      </c>
      <c r="D230" t="s">
        <v>1751</v>
      </c>
    </row>
    <row r="231" spans="1:64" hidden="1" x14ac:dyDescent="0.3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1666</v>
      </c>
      <c r="B233" t="s">
        <v>1667</v>
      </c>
      <c r="C233" t="s">
        <v>1750</v>
      </c>
      <c r="D233" t="s">
        <v>1751</v>
      </c>
    </row>
    <row r="234" spans="1:64" hidden="1" x14ac:dyDescent="0.3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1706</v>
      </c>
      <c r="B260" t="s">
        <v>1707</v>
      </c>
      <c r="C260" t="s">
        <v>1750</v>
      </c>
      <c r="D260" t="s">
        <v>1751</v>
      </c>
    </row>
    <row r="261" spans="1:65" hidden="1" x14ac:dyDescent="0.35">
      <c r="A261" t="s">
        <v>1708</v>
      </c>
      <c r="B261" t="s">
        <v>1709</v>
      </c>
      <c r="C261" t="s">
        <v>1750</v>
      </c>
      <c r="D261" t="s">
        <v>1751</v>
      </c>
    </row>
    <row r="262" spans="1:65" hidden="1" x14ac:dyDescent="0.3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1715</v>
      </c>
      <c r="B266" t="s">
        <v>1716</v>
      </c>
      <c r="C266" t="s">
        <v>1750</v>
      </c>
      <c r="D266" t="s">
        <v>1751</v>
      </c>
    </row>
    <row r="267" spans="1:65" hidden="1" x14ac:dyDescent="0.3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1749</v>
      </c>
    </row>
    <row r="274" spans="8:65" s="1" customFormat="1" x14ac:dyDescent="0.35">
      <c r="I274" s="1" t="s">
        <v>1724</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1752</v>
      </c>
      <c r="D5" t="s">
        <v>1753</v>
      </c>
    </row>
    <row r="6" spans="1:65" hidden="1" x14ac:dyDescent="0.3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1373</v>
      </c>
      <c r="B16" t="s">
        <v>1374</v>
      </c>
      <c r="C16" t="s">
        <v>1752</v>
      </c>
      <c r="D16" t="s">
        <v>1753</v>
      </c>
    </row>
    <row r="17" spans="1:64" hidden="1" x14ac:dyDescent="0.3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1391</v>
      </c>
      <c r="B32" t="s">
        <v>1392</v>
      </c>
      <c r="C32" t="s">
        <v>1752</v>
      </c>
      <c r="D32" t="s">
        <v>1753</v>
      </c>
    </row>
    <row r="33" spans="1:64" hidden="1" x14ac:dyDescent="0.3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1250</v>
      </c>
      <c r="B43" t="s">
        <v>1405</v>
      </c>
      <c r="C43" t="s">
        <v>1752</v>
      </c>
      <c r="D43" t="s">
        <v>1753</v>
      </c>
    </row>
    <row r="44" spans="1:64" hidden="1" x14ac:dyDescent="0.3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1422</v>
      </c>
      <c r="B56" t="s">
        <v>1423</v>
      </c>
      <c r="C56" t="s">
        <v>1752</v>
      </c>
      <c r="D56" t="s">
        <v>1753</v>
      </c>
    </row>
    <row r="57" spans="1:64" hidden="1" x14ac:dyDescent="0.35">
      <c r="A57" t="s">
        <v>1424</v>
      </c>
      <c r="B57" t="s">
        <v>1425</v>
      </c>
      <c r="C57" t="s">
        <v>1752</v>
      </c>
      <c r="D57" t="s">
        <v>1753</v>
      </c>
    </row>
    <row r="58" spans="1:64" hidden="1" x14ac:dyDescent="0.3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1461</v>
      </c>
      <c r="B83" t="s">
        <v>1462</v>
      </c>
      <c r="C83" t="s">
        <v>1752</v>
      </c>
      <c r="D83" t="s">
        <v>1753</v>
      </c>
    </row>
    <row r="84" spans="1:64" hidden="1" x14ac:dyDescent="0.3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1469</v>
      </c>
      <c r="B89" t="s">
        <v>1470</v>
      </c>
      <c r="C89" t="s">
        <v>1752</v>
      </c>
      <c r="D89" t="s">
        <v>1753</v>
      </c>
    </row>
    <row r="90" spans="1:64" hidden="1" x14ac:dyDescent="0.3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1478</v>
      </c>
      <c r="B96" t="s">
        <v>1479</v>
      </c>
      <c r="C96" t="s">
        <v>1752</v>
      </c>
      <c r="D96" t="s">
        <v>1753</v>
      </c>
    </row>
    <row r="97" spans="1:64" hidden="1" x14ac:dyDescent="0.3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1228</v>
      </c>
      <c r="B98" t="s">
        <v>1481</v>
      </c>
      <c r="C98" t="s">
        <v>1752</v>
      </c>
      <c r="D98" t="s">
        <v>1753</v>
      </c>
    </row>
    <row r="99" spans="1:64" hidden="1" x14ac:dyDescent="0.3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1485</v>
      </c>
      <c r="B101" t="s">
        <v>1486</v>
      </c>
      <c r="C101" t="s">
        <v>1752</v>
      </c>
      <c r="D101" t="s">
        <v>1753</v>
      </c>
    </row>
    <row r="102" spans="1:64" hidden="1" x14ac:dyDescent="0.3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1504</v>
      </c>
      <c r="B113" t="s">
        <v>1505</v>
      </c>
      <c r="C113" t="s">
        <v>1752</v>
      </c>
      <c r="D113" t="s">
        <v>1753</v>
      </c>
    </row>
    <row r="114" spans="1:64" hidden="1" x14ac:dyDescent="0.3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1507</v>
      </c>
      <c r="B115" t="s">
        <v>1508</v>
      </c>
      <c r="C115" t="s">
        <v>1752</v>
      </c>
      <c r="D115" t="s">
        <v>1753</v>
      </c>
    </row>
    <row r="116" spans="1:64" hidden="1" x14ac:dyDescent="0.3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1545</v>
      </c>
      <c r="B142" t="s">
        <v>1546</v>
      </c>
      <c r="C142" t="s">
        <v>1752</v>
      </c>
      <c r="D142" t="s">
        <v>1753</v>
      </c>
    </row>
    <row r="143" spans="1:64" hidden="1" x14ac:dyDescent="0.3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1558</v>
      </c>
      <c r="B151" t="s">
        <v>1559</v>
      </c>
      <c r="C151" t="s">
        <v>1752</v>
      </c>
      <c r="D151" t="s">
        <v>1753</v>
      </c>
    </row>
    <row r="152" spans="1:64" hidden="1" x14ac:dyDescent="0.35">
      <c r="A152" t="s">
        <v>1560</v>
      </c>
      <c r="B152" t="s">
        <v>1561</v>
      </c>
      <c r="C152" t="s">
        <v>1752</v>
      </c>
      <c r="D152" t="s">
        <v>1753</v>
      </c>
    </row>
    <row r="153" spans="1:64" hidden="1" x14ac:dyDescent="0.3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1584</v>
      </c>
      <c r="B169" t="s">
        <v>1585</v>
      </c>
      <c r="C169" t="s">
        <v>1752</v>
      </c>
      <c r="D169" t="s">
        <v>1753</v>
      </c>
    </row>
    <row r="170" spans="1:64" hidden="1" x14ac:dyDescent="0.3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1223</v>
      </c>
      <c r="B177" t="s">
        <v>1594</v>
      </c>
      <c r="C177" t="s">
        <v>1752</v>
      </c>
      <c r="D177" t="s">
        <v>1753</v>
      </c>
    </row>
    <row r="178" spans="1:64" hidden="1" x14ac:dyDescent="0.3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1189</v>
      </c>
      <c r="B197" t="s">
        <v>1619</v>
      </c>
      <c r="C197" t="s">
        <v>1752</v>
      </c>
      <c r="D197" t="s">
        <v>1753</v>
      </c>
    </row>
    <row r="198" spans="1:64" hidden="1" x14ac:dyDescent="0.3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1232</v>
      </c>
      <c r="B204" t="s">
        <v>1630</v>
      </c>
      <c r="C204" t="s">
        <v>1752</v>
      </c>
      <c r="D204" t="s">
        <v>1753</v>
      </c>
    </row>
    <row r="205" spans="1:64" hidden="1" x14ac:dyDescent="0.3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1662</v>
      </c>
      <c r="B230" t="s">
        <v>1663</v>
      </c>
      <c r="C230" t="s">
        <v>1752</v>
      </c>
      <c r="D230" t="s">
        <v>1753</v>
      </c>
    </row>
    <row r="231" spans="1:64" hidden="1" x14ac:dyDescent="0.3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1666</v>
      </c>
      <c r="B233" t="s">
        <v>1667</v>
      </c>
      <c r="C233" t="s">
        <v>1752</v>
      </c>
      <c r="D233" t="s">
        <v>1753</v>
      </c>
    </row>
    <row r="234" spans="1:64" hidden="1" x14ac:dyDescent="0.3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1706</v>
      </c>
      <c r="B260" t="s">
        <v>1707</v>
      </c>
      <c r="C260" t="s">
        <v>1752</v>
      </c>
      <c r="D260" t="s">
        <v>1753</v>
      </c>
    </row>
    <row r="261" spans="1:65" hidden="1" x14ac:dyDescent="0.35">
      <c r="A261" t="s">
        <v>1708</v>
      </c>
      <c r="B261" t="s">
        <v>1709</v>
      </c>
      <c r="C261" t="s">
        <v>1752</v>
      </c>
      <c r="D261" t="s">
        <v>1753</v>
      </c>
    </row>
    <row r="262" spans="1:65" hidden="1" x14ac:dyDescent="0.3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1715</v>
      </c>
      <c r="B266" t="s">
        <v>1716</v>
      </c>
      <c r="C266" t="s">
        <v>1752</v>
      </c>
      <c r="D266" t="s">
        <v>1753</v>
      </c>
    </row>
    <row r="267" spans="1:65" hidden="1" x14ac:dyDescent="0.3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1749</v>
      </c>
    </row>
    <row r="274" spans="1:65" s="1" customFormat="1" x14ac:dyDescent="0.35">
      <c r="I274" s="1" t="s">
        <v>1724</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2125</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1754</v>
      </c>
      <c r="D5" t="s">
        <v>1755</v>
      </c>
    </row>
    <row r="6" spans="1:65" hidden="1" x14ac:dyDescent="0.3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1373</v>
      </c>
      <c r="B16" t="s">
        <v>1374</v>
      </c>
      <c r="C16" t="s">
        <v>1754</v>
      </c>
      <c r="D16" t="s">
        <v>1755</v>
      </c>
    </row>
    <row r="17" spans="1:64" hidden="1" x14ac:dyDescent="0.3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1391</v>
      </c>
      <c r="B32" t="s">
        <v>1392</v>
      </c>
      <c r="C32" t="s">
        <v>1754</v>
      </c>
      <c r="D32" t="s">
        <v>1755</v>
      </c>
    </row>
    <row r="33" spans="1:64" hidden="1" x14ac:dyDescent="0.3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1250</v>
      </c>
      <c r="B43" t="s">
        <v>1405</v>
      </c>
      <c r="C43" t="s">
        <v>1754</v>
      </c>
      <c r="D43" t="s">
        <v>1755</v>
      </c>
    </row>
    <row r="44" spans="1:64" hidden="1" x14ac:dyDescent="0.3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1422</v>
      </c>
      <c r="B56" t="s">
        <v>1423</v>
      </c>
      <c r="C56" t="s">
        <v>1754</v>
      </c>
      <c r="D56" t="s">
        <v>1755</v>
      </c>
    </row>
    <row r="57" spans="1:64" hidden="1" x14ac:dyDescent="0.35">
      <c r="A57" t="s">
        <v>1424</v>
      </c>
      <c r="B57" t="s">
        <v>1425</v>
      </c>
      <c r="C57" t="s">
        <v>1754</v>
      </c>
      <c r="D57" t="s">
        <v>1755</v>
      </c>
    </row>
    <row r="58" spans="1:64" hidden="1" x14ac:dyDescent="0.3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1461</v>
      </c>
      <c r="B83" t="s">
        <v>1462</v>
      </c>
      <c r="C83" t="s">
        <v>1754</v>
      </c>
      <c r="D83" t="s">
        <v>1755</v>
      </c>
    </row>
    <row r="84" spans="1:64" hidden="1" x14ac:dyDescent="0.3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1469</v>
      </c>
      <c r="B89" t="s">
        <v>1470</v>
      </c>
      <c r="C89" t="s">
        <v>1754</v>
      </c>
      <c r="D89" t="s">
        <v>1755</v>
      </c>
    </row>
    <row r="90" spans="1:64" hidden="1" x14ac:dyDescent="0.3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1478</v>
      </c>
      <c r="B96" t="s">
        <v>1479</v>
      </c>
      <c r="C96" t="s">
        <v>1754</v>
      </c>
      <c r="D96" t="s">
        <v>1755</v>
      </c>
    </row>
    <row r="97" spans="1:64" hidden="1" x14ac:dyDescent="0.3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1228</v>
      </c>
      <c r="B98" t="s">
        <v>1481</v>
      </c>
      <c r="C98" t="s">
        <v>1754</v>
      </c>
      <c r="D98" t="s">
        <v>1755</v>
      </c>
    </row>
    <row r="99" spans="1:64" hidden="1" x14ac:dyDescent="0.3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1485</v>
      </c>
      <c r="B101" t="s">
        <v>1486</v>
      </c>
      <c r="C101" t="s">
        <v>1754</v>
      </c>
      <c r="D101" t="s">
        <v>1755</v>
      </c>
    </row>
    <row r="102" spans="1:64" hidden="1" x14ac:dyDescent="0.3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1504</v>
      </c>
      <c r="B113" t="s">
        <v>1505</v>
      </c>
      <c r="C113" t="s">
        <v>1754</v>
      </c>
      <c r="D113" t="s">
        <v>1755</v>
      </c>
    </row>
    <row r="114" spans="1:64" hidden="1" x14ac:dyDescent="0.3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1507</v>
      </c>
      <c r="B115" t="s">
        <v>1508</v>
      </c>
      <c r="C115" t="s">
        <v>1754</v>
      </c>
      <c r="D115" t="s">
        <v>1755</v>
      </c>
    </row>
    <row r="116" spans="1:64" hidden="1" x14ac:dyDescent="0.3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1545</v>
      </c>
      <c r="B142" t="s">
        <v>1546</v>
      </c>
      <c r="C142" t="s">
        <v>1754</v>
      </c>
      <c r="D142" t="s">
        <v>1755</v>
      </c>
    </row>
    <row r="143" spans="1:64" hidden="1" x14ac:dyDescent="0.3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1558</v>
      </c>
      <c r="B151" t="s">
        <v>1559</v>
      </c>
      <c r="C151" t="s">
        <v>1754</v>
      </c>
      <c r="D151" t="s">
        <v>1755</v>
      </c>
    </row>
    <row r="152" spans="1:64" hidden="1" x14ac:dyDescent="0.35">
      <c r="A152" t="s">
        <v>1560</v>
      </c>
      <c r="B152" t="s">
        <v>1561</v>
      </c>
      <c r="C152" t="s">
        <v>1754</v>
      </c>
      <c r="D152" t="s">
        <v>1755</v>
      </c>
    </row>
    <row r="153" spans="1:64" hidden="1" x14ac:dyDescent="0.3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1584</v>
      </c>
      <c r="B169" t="s">
        <v>1585</v>
      </c>
      <c r="C169" t="s">
        <v>1754</v>
      </c>
      <c r="D169" t="s">
        <v>1755</v>
      </c>
    </row>
    <row r="170" spans="1:64" hidden="1" x14ac:dyDescent="0.3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1223</v>
      </c>
      <c r="B177" t="s">
        <v>1594</v>
      </c>
      <c r="C177" t="s">
        <v>1754</v>
      </c>
      <c r="D177" t="s">
        <v>1755</v>
      </c>
    </row>
    <row r="178" spans="1:64" hidden="1" x14ac:dyDescent="0.3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1189</v>
      </c>
      <c r="B197" t="s">
        <v>1619</v>
      </c>
      <c r="C197" t="s">
        <v>1754</v>
      </c>
      <c r="D197" t="s">
        <v>1755</v>
      </c>
    </row>
    <row r="198" spans="1:64" hidden="1" x14ac:dyDescent="0.3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1232</v>
      </c>
      <c r="B204" t="s">
        <v>1630</v>
      </c>
      <c r="C204" t="s">
        <v>1754</v>
      </c>
      <c r="D204" t="s">
        <v>1755</v>
      </c>
    </row>
    <row r="205" spans="1:64" hidden="1" x14ac:dyDescent="0.3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1662</v>
      </c>
      <c r="B230" t="s">
        <v>1663</v>
      </c>
      <c r="C230" t="s">
        <v>1754</v>
      </c>
      <c r="D230" t="s">
        <v>1755</v>
      </c>
    </row>
    <row r="231" spans="1:64" hidden="1" x14ac:dyDescent="0.3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1666</v>
      </c>
      <c r="B233" t="s">
        <v>1667</v>
      </c>
      <c r="C233" t="s">
        <v>1754</v>
      </c>
      <c r="D233" t="s">
        <v>1755</v>
      </c>
    </row>
    <row r="234" spans="1:64" hidden="1" x14ac:dyDescent="0.3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1706</v>
      </c>
      <c r="B260" t="s">
        <v>1707</v>
      </c>
      <c r="C260" t="s">
        <v>1754</v>
      </c>
      <c r="D260" t="s">
        <v>1755</v>
      </c>
    </row>
    <row r="261" spans="1:65" hidden="1" x14ac:dyDescent="0.35">
      <c r="A261" t="s">
        <v>1708</v>
      </c>
      <c r="B261" t="s">
        <v>1709</v>
      </c>
      <c r="C261" t="s">
        <v>1754</v>
      </c>
      <c r="D261" t="s">
        <v>1755</v>
      </c>
    </row>
    <row r="262" spans="1:65" hidden="1" x14ac:dyDescent="0.3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1715</v>
      </c>
      <c r="B266" t="s">
        <v>1716</v>
      </c>
      <c r="C266" t="s">
        <v>1754</v>
      </c>
      <c r="D266" t="s">
        <v>1755</v>
      </c>
    </row>
    <row r="267" spans="1:65" hidden="1" x14ac:dyDescent="0.3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1756</v>
      </c>
    </row>
    <row r="274" spans="8:65" s="1" customFormat="1" x14ac:dyDescent="0.35">
      <c r="I274" s="1" t="s">
        <v>1724</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1757</v>
      </c>
      <c r="D5" t="s">
        <v>1758</v>
      </c>
    </row>
    <row r="6" spans="1:65" x14ac:dyDescent="0.3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1373</v>
      </c>
      <c r="B16" t="s">
        <v>1374</v>
      </c>
      <c r="C16" t="s">
        <v>1757</v>
      </c>
      <c r="D16" t="s">
        <v>1758</v>
      </c>
    </row>
    <row r="17" spans="1:64" x14ac:dyDescent="0.3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1391</v>
      </c>
      <c r="B32" t="s">
        <v>1392</v>
      </c>
      <c r="C32" t="s">
        <v>1757</v>
      </c>
      <c r="D32" t="s">
        <v>1758</v>
      </c>
    </row>
    <row r="33" spans="1:64" x14ac:dyDescent="0.3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1250</v>
      </c>
      <c r="B43" t="s">
        <v>1405</v>
      </c>
      <c r="C43" t="s">
        <v>1757</v>
      </c>
      <c r="D43" t="s">
        <v>1758</v>
      </c>
    </row>
    <row r="44" spans="1:64" x14ac:dyDescent="0.3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1422</v>
      </c>
      <c r="B56" t="s">
        <v>1423</v>
      </c>
      <c r="C56" t="s">
        <v>1757</v>
      </c>
      <c r="D56" t="s">
        <v>1758</v>
      </c>
    </row>
    <row r="57" spans="1:64" x14ac:dyDescent="0.35">
      <c r="A57" t="s">
        <v>1424</v>
      </c>
      <c r="B57" t="s">
        <v>1425</v>
      </c>
      <c r="C57" t="s">
        <v>1757</v>
      </c>
      <c r="D57" t="s">
        <v>1758</v>
      </c>
    </row>
    <row r="58" spans="1:64" x14ac:dyDescent="0.3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1461</v>
      </c>
      <c r="B83" t="s">
        <v>1462</v>
      </c>
      <c r="C83" t="s">
        <v>1757</v>
      </c>
      <c r="D83" t="s">
        <v>1758</v>
      </c>
    </row>
    <row r="84" spans="1:64" x14ac:dyDescent="0.3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1469</v>
      </c>
      <c r="B89" t="s">
        <v>1470</v>
      </c>
      <c r="C89" t="s">
        <v>1757</v>
      </c>
      <c r="D89" t="s">
        <v>1758</v>
      </c>
    </row>
    <row r="90" spans="1:64" x14ac:dyDescent="0.3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1478</v>
      </c>
      <c r="B96" t="s">
        <v>1479</v>
      </c>
      <c r="C96" t="s">
        <v>1757</v>
      </c>
      <c r="D96" t="s">
        <v>1758</v>
      </c>
    </row>
    <row r="97" spans="1:64" x14ac:dyDescent="0.3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1228</v>
      </c>
      <c r="B98" t="s">
        <v>1481</v>
      </c>
      <c r="C98" t="s">
        <v>1757</v>
      </c>
      <c r="D98" t="s">
        <v>1758</v>
      </c>
    </row>
    <row r="99" spans="1:64" x14ac:dyDescent="0.3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1485</v>
      </c>
      <c r="B101" t="s">
        <v>1486</v>
      </c>
      <c r="C101" t="s">
        <v>1757</v>
      </c>
      <c r="D101" t="s">
        <v>1758</v>
      </c>
    </row>
    <row r="102" spans="1:64" x14ac:dyDescent="0.3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1504</v>
      </c>
      <c r="B113" t="s">
        <v>1505</v>
      </c>
      <c r="C113" t="s">
        <v>1757</v>
      </c>
      <c r="D113" t="s">
        <v>1758</v>
      </c>
    </row>
    <row r="114" spans="1:64" x14ac:dyDescent="0.3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1507</v>
      </c>
      <c r="B115" t="s">
        <v>1508</v>
      </c>
      <c r="C115" t="s">
        <v>1757</v>
      </c>
      <c r="D115" t="s">
        <v>1758</v>
      </c>
    </row>
    <row r="116" spans="1:64" x14ac:dyDescent="0.3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1545</v>
      </c>
      <c r="B142" t="s">
        <v>1546</v>
      </c>
      <c r="C142" t="s">
        <v>1757</v>
      </c>
      <c r="D142" t="s">
        <v>1758</v>
      </c>
    </row>
    <row r="143" spans="1:64" x14ac:dyDescent="0.3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1558</v>
      </c>
      <c r="B151" t="s">
        <v>1559</v>
      </c>
      <c r="C151" t="s">
        <v>1757</v>
      </c>
      <c r="D151" t="s">
        <v>1758</v>
      </c>
    </row>
    <row r="152" spans="1:64" x14ac:dyDescent="0.35">
      <c r="A152" t="s">
        <v>1560</v>
      </c>
      <c r="B152" t="s">
        <v>1561</v>
      </c>
      <c r="C152" t="s">
        <v>1757</v>
      </c>
      <c r="D152" t="s">
        <v>1758</v>
      </c>
    </row>
    <row r="153" spans="1:64" x14ac:dyDescent="0.3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1584</v>
      </c>
      <c r="B169" t="s">
        <v>1585</v>
      </c>
      <c r="C169" t="s">
        <v>1757</v>
      </c>
      <c r="D169" t="s">
        <v>1758</v>
      </c>
    </row>
    <row r="170" spans="1:64" x14ac:dyDescent="0.3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1223</v>
      </c>
      <c r="B177" t="s">
        <v>1594</v>
      </c>
      <c r="C177" t="s">
        <v>1757</v>
      </c>
      <c r="D177" t="s">
        <v>1758</v>
      </c>
    </row>
    <row r="178" spans="1:64" x14ac:dyDescent="0.3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1189</v>
      </c>
      <c r="B197" t="s">
        <v>1619</v>
      </c>
      <c r="C197" t="s">
        <v>1757</v>
      </c>
      <c r="D197" t="s">
        <v>1758</v>
      </c>
    </row>
    <row r="198" spans="1:64" x14ac:dyDescent="0.3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1232</v>
      </c>
      <c r="B204" t="s">
        <v>1630</v>
      </c>
      <c r="C204" t="s">
        <v>1757</v>
      </c>
      <c r="D204" t="s">
        <v>1758</v>
      </c>
    </row>
    <row r="205" spans="1:64" x14ac:dyDescent="0.3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1662</v>
      </c>
      <c r="B230" t="s">
        <v>1663</v>
      </c>
      <c r="C230" t="s">
        <v>1757</v>
      </c>
      <c r="D230" t="s">
        <v>1758</v>
      </c>
    </row>
    <row r="231" spans="1:64" x14ac:dyDescent="0.3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1666</v>
      </c>
      <c r="B233" t="s">
        <v>1667</v>
      </c>
      <c r="C233" t="s">
        <v>1757</v>
      </c>
      <c r="D233" t="s">
        <v>1758</v>
      </c>
    </row>
    <row r="234" spans="1:64" x14ac:dyDescent="0.3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1706</v>
      </c>
      <c r="B260" t="s">
        <v>1707</v>
      </c>
      <c r="C260" t="s">
        <v>1757</v>
      </c>
      <c r="D260" t="s">
        <v>1758</v>
      </c>
    </row>
    <row r="261" spans="1:65" x14ac:dyDescent="0.35">
      <c r="A261" t="s">
        <v>1708</v>
      </c>
      <c r="B261" t="s">
        <v>1709</v>
      </c>
      <c r="C261" t="s">
        <v>1757</v>
      </c>
      <c r="D261" t="s">
        <v>1758</v>
      </c>
    </row>
    <row r="262" spans="1:65" x14ac:dyDescent="0.3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1715</v>
      </c>
      <c r="B266" t="s">
        <v>1716</v>
      </c>
      <c r="C266" t="s">
        <v>1757</v>
      </c>
      <c r="D266" t="s">
        <v>1758</v>
      </c>
    </row>
    <row r="267" spans="1:65" x14ac:dyDescent="0.3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1756</v>
      </c>
    </row>
    <row r="274" spans="8:65" s="1" customFormat="1" x14ac:dyDescent="0.35">
      <c r="I274" s="1" t="s">
        <v>1724</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1759</v>
      </c>
      <c r="D5" t="s">
        <v>1760</v>
      </c>
    </row>
    <row r="6" spans="1:65" x14ac:dyDescent="0.3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1373</v>
      </c>
      <c r="B16" t="s">
        <v>1374</v>
      </c>
      <c r="C16" t="s">
        <v>1759</v>
      </c>
      <c r="D16" t="s">
        <v>1760</v>
      </c>
    </row>
    <row r="17" spans="1:64" x14ac:dyDescent="0.3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1391</v>
      </c>
      <c r="B32" t="s">
        <v>1392</v>
      </c>
      <c r="C32" t="s">
        <v>1759</v>
      </c>
      <c r="D32" t="s">
        <v>1760</v>
      </c>
    </row>
    <row r="33" spans="1:64" x14ac:dyDescent="0.3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1250</v>
      </c>
      <c r="B43" t="s">
        <v>1405</v>
      </c>
      <c r="C43" t="s">
        <v>1759</v>
      </c>
      <c r="D43" t="s">
        <v>1760</v>
      </c>
    </row>
    <row r="44" spans="1:64" x14ac:dyDescent="0.3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1422</v>
      </c>
      <c r="B56" t="s">
        <v>1423</v>
      </c>
      <c r="C56" t="s">
        <v>1759</v>
      </c>
      <c r="D56" t="s">
        <v>1760</v>
      </c>
    </row>
    <row r="57" spans="1:64" x14ac:dyDescent="0.35">
      <c r="A57" t="s">
        <v>1424</v>
      </c>
      <c r="B57" t="s">
        <v>1425</v>
      </c>
      <c r="C57" t="s">
        <v>1759</v>
      </c>
      <c r="D57" t="s">
        <v>1760</v>
      </c>
    </row>
    <row r="58" spans="1:64" x14ac:dyDescent="0.3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1461</v>
      </c>
      <c r="B83" t="s">
        <v>1462</v>
      </c>
      <c r="C83" t="s">
        <v>1759</v>
      </c>
      <c r="D83" t="s">
        <v>1760</v>
      </c>
    </row>
    <row r="84" spans="1:64" x14ac:dyDescent="0.3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1469</v>
      </c>
      <c r="B89" t="s">
        <v>1470</v>
      </c>
      <c r="C89" t="s">
        <v>1759</v>
      </c>
      <c r="D89" t="s">
        <v>1760</v>
      </c>
    </row>
    <row r="90" spans="1:64" x14ac:dyDescent="0.3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1478</v>
      </c>
      <c r="B96" t="s">
        <v>1479</v>
      </c>
      <c r="C96" t="s">
        <v>1759</v>
      </c>
      <c r="D96" t="s">
        <v>1760</v>
      </c>
    </row>
    <row r="97" spans="1:64" x14ac:dyDescent="0.3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1228</v>
      </c>
      <c r="B98" t="s">
        <v>1481</v>
      </c>
      <c r="C98" t="s">
        <v>1759</v>
      </c>
      <c r="D98" t="s">
        <v>1760</v>
      </c>
    </row>
    <row r="99" spans="1:64" x14ac:dyDescent="0.3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1485</v>
      </c>
      <c r="B101" t="s">
        <v>1486</v>
      </c>
      <c r="C101" t="s">
        <v>1759</v>
      </c>
      <c r="D101" t="s">
        <v>1760</v>
      </c>
    </row>
    <row r="102" spans="1:64" x14ac:dyDescent="0.3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1504</v>
      </c>
      <c r="B113" t="s">
        <v>1505</v>
      </c>
      <c r="C113" t="s">
        <v>1759</v>
      </c>
      <c r="D113" t="s">
        <v>1760</v>
      </c>
    </row>
    <row r="114" spans="1:64" x14ac:dyDescent="0.3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1507</v>
      </c>
      <c r="B115" t="s">
        <v>1508</v>
      </c>
      <c r="C115" t="s">
        <v>1759</v>
      </c>
      <c r="D115" t="s">
        <v>1760</v>
      </c>
    </row>
    <row r="116" spans="1:64" x14ac:dyDescent="0.3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1545</v>
      </c>
      <c r="B142" t="s">
        <v>1546</v>
      </c>
      <c r="C142" t="s">
        <v>1759</v>
      </c>
      <c r="D142" t="s">
        <v>1760</v>
      </c>
    </row>
    <row r="143" spans="1:64" x14ac:dyDescent="0.3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1558</v>
      </c>
      <c r="B151" t="s">
        <v>1559</v>
      </c>
      <c r="C151" t="s">
        <v>1759</v>
      </c>
      <c r="D151" t="s">
        <v>1760</v>
      </c>
    </row>
    <row r="152" spans="1:64" x14ac:dyDescent="0.35">
      <c r="A152" t="s">
        <v>1560</v>
      </c>
      <c r="B152" t="s">
        <v>1561</v>
      </c>
      <c r="C152" t="s">
        <v>1759</v>
      </c>
      <c r="D152" t="s">
        <v>1760</v>
      </c>
    </row>
    <row r="153" spans="1:64" x14ac:dyDescent="0.3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1584</v>
      </c>
      <c r="B169" t="s">
        <v>1585</v>
      </c>
      <c r="C169" t="s">
        <v>1759</v>
      </c>
      <c r="D169" t="s">
        <v>1760</v>
      </c>
    </row>
    <row r="170" spans="1:64" x14ac:dyDescent="0.3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1223</v>
      </c>
      <c r="B177" t="s">
        <v>1594</v>
      </c>
      <c r="C177" t="s">
        <v>1759</v>
      </c>
      <c r="D177" t="s">
        <v>1760</v>
      </c>
    </row>
    <row r="178" spans="1:64" x14ac:dyDescent="0.3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1189</v>
      </c>
      <c r="B197" t="s">
        <v>1619</v>
      </c>
      <c r="C197" t="s">
        <v>1759</v>
      </c>
      <c r="D197" t="s">
        <v>1760</v>
      </c>
    </row>
    <row r="198" spans="1:64" x14ac:dyDescent="0.3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1232</v>
      </c>
      <c r="B204" t="s">
        <v>1630</v>
      </c>
      <c r="C204" t="s">
        <v>1759</v>
      </c>
      <c r="D204" t="s">
        <v>1760</v>
      </c>
    </row>
    <row r="205" spans="1:64" x14ac:dyDescent="0.3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1662</v>
      </c>
      <c r="B230" t="s">
        <v>1663</v>
      </c>
      <c r="C230" t="s">
        <v>1759</v>
      </c>
      <c r="D230" t="s">
        <v>1760</v>
      </c>
    </row>
    <row r="231" spans="1:64" x14ac:dyDescent="0.3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1666</v>
      </c>
      <c r="B233" t="s">
        <v>1667</v>
      </c>
      <c r="C233" t="s">
        <v>1759</v>
      </c>
      <c r="D233" t="s">
        <v>1760</v>
      </c>
    </row>
    <row r="234" spans="1:64" x14ac:dyDescent="0.3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1706</v>
      </c>
      <c r="B260" t="s">
        <v>1707</v>
      </c>
      <c r="C260" t="s">
        <v>1759</v>
      </c>
      <c r="D260" t="s">
        <v>1760</v>
      </c>
    </row>
    <row r="261" spans="1:65" x14ac:dyDescent="0.35">
      <c r="A261" t="s">
        <v>1708</v>
      </c>
      <c r="B261" t="s">
        <v>1709</v>
      </c>
      <c r="C261" t="s">
        <v>1759</v>
      </c>
      <c r="D261" t="s">
        <v>1760</v>
      </c>
    </row>
    <row r="262" spans="1:65" x14ac:dyDescent="0.3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1715</v>
      </c>
      <c r="B266" t="s">
        <v>1716</v>
      </c>
      <c r="C266" t="s">
        <v>1759</v>
      </c>
      <c r="D266" t="s">
        <v>1760</v>
      </c>
    </row>
    <row r="267" spans="1:65" x14ac:dyDescent="0.3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1761</v>
      </c>
    </row>
    <row r="274" spans="8:65" s="1" customFormat="1" x14ac:dyDescent="0.35">
      <c r="I274" s="1" t="s">
        <v>1724</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1366</v>
      </c>
      <c r="B11" t="s">
        <v>1367</v>
      </c>
      <c r="C11" t="s">
        <v>1762</v>
      </c>
      <c r="D11" t="s">
        <v>1763</v>
      </c>
    </row>
    <row r="12" spans="1:65" x14ac:dyDescent="0.3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1373</v>
      </c>
      <c r="B16" t="s">
        <v>1374</v>
      </c>
      <c r="C16" t="s">
        <v>1762</v>
      </c>
      <c r="D16" t="s">
        <v>1763</v>
      </c>
    </row>
    <row r="17" spans="1:64" x14ac:dyDescent="0.3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1391</v>
      </c>
      <c r="B32" t="s">
        <v>1392</v>
      </c>
      <c r="C32" t="s">
        <v>1762</v>
      </c>
      <c r="D32" t="s">
        <v>1763</v>
      </c>
    </row>
    <row r="33" spans="1:64" x14ac:dyDescent="0.3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1424</v>
      </c>
      <c r="B57" t="s">
        <v>1425</v>
      </c>
      <c r="C57" t="s">
        <v>1762</v>
      </c>
      <c r="D57" t="s">
        <v>1763</v>
      </c>
    </row>
    <row r="58" spans="1:64" x14ac:dyDescent="0.3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1431</v>
      </c>
      <c r="B62" t="s">
        <v>1432</v>
      </c>
      <c r="C62" t="s">
        <v>1762</v>
      </c>
      <c r="D62" t="s">
        <v>1763</v>
      </c>
      <c r="AI62">
        <v>113.320444611404</v>
      </c>
      <c r="AS62">
        <v>105</v>
      </c>
    </row>
    <row r="63" spans="1:64" x14ac:dyDescent="0.3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1461</v>
      </c>
      <c r="B83" t="s">
        <v>1462</v>
      </c>
      <c r="C83" t="s">
        <v>1762</v>
      </c>
      <c r="D83" t="s">
        <v>1763</v>
      </c>
    </row>
    <row r="84" spans="1:64" x14ac:dyDescent="0.3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1469</v>
      </c>
      <c r="B89" t="s">
        <v>1470</v>
      </c>
      <c r="C89" t="s">
        <v>1762</v>
      </c>
      <c r="D89" t="s">
        <v>1763</v>
      </c>
    </row>
    <row r="90" spans="1:64" x14ac:dyDescent="0.3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1478</v>
      </c>
      <c r="B96" t="s">
        <v>1479</v>
      </c>
      <c r="C96" t="s">
        <v>1762</v>
      </c>
      <c r="D96" t="s">
        <v>1763</v>
      </c>
      <c r="AQ96">
        <v>196.58066841752901</v>
      </c>
      <c r="AR96">
        <v>202.680412371134</v>
      </c>
      <c r="AS96">
        <v>185.568065506653</v>
      </c>
      <c r="AT96">
        <v>179.56561639645199</v>
      </c>
    </row>
    <row r="97" spans="1:64" x14ac:dyDescent="0.3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1504</v>
      </c>
      <c r="B113" t="s">
        <v>1505</v>
      </c>
      <c r="C113" t="s">
        <v>1762</v>
      </c>
      <c r="D113" t="s">
        <v>1763</v>
      </c>
    </row>
    <row r="114" spans="1:64" x14ac:dyDescent="0.3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1507</v>
      </c>
      <c r="B115" t="s">
        <v>1508</v>
      </c>
      <c r="C115" t="s">
        <v>1762</v>
      </c>
      <c r="D115" t="s">
        <v>1763</v>
      </c>
    </row>
    <row r="116" spans="1:64" x14ac:dyDescent="0.3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1525</v>
      </c>
      <c r="B130" t="s">
        <v>1526</v>
      </c>
      <c r="C130" t="s">
        <v>1762</v>
      </c>
      <c r="D130" t="s">
        <v>1763</v>
      </c>
      <c r="AI130">
        <v>164.692978104546</v>
      </c>
      <c r="AS130">
        <v>148</v>
      </c>
    </row>
    <row r="131" spans="1:64" x14ac:dyDescent="0.3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1545</v>
      </c>
      <c r="B142" t="s">
        <v>1546</v>
      </c>
      <c r="C142" t="s">
        <v>1762</v>
      </c>
      <c r="D142" t="s">
        <v>1763</v>
      </c>
    </row>
    <row r="143" spans="1:64" x14ac:dyDescent="0.3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1560</v>
      </c>
      <c r="B152" t="s">
        <v>1561</v>
      </c>
      <c r="C152" t="s">
        <v>1762</v>
      </c>
      <c r="D152" t="s">
        <v>1763</v>
      </c>
    </row>
    <row r="153" spans="1:64" x14ac:dyDescent="0.3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1563</v>
      </c>
      <c r="B154" t="s">
        <v>1564</v>
      </c>
      <c r="C154" t="s">
        <v>1762</v>
      </c>
      <c r="D154" t="s">
        <v>1763</v>
      </c>
    </row>
    <row r="155" spans="1:64" x14ac:dyDescent="0.3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1572</v>
      </c>
      <c r="B160" t="s">
        <v>1573</v>
      </c>
      <c r="C160" t="s">
        <v>1762</v>
      </c>
      <c r="D160" t="s">
        <v>1763</v>
      </c>
      <c r="AS160">
        <v>230</v>
      </c>
    </row>
    <row r="161" spans="1:64" x14ac:dyDescent="0.3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1584</v>
      </c>
      <c r="B169" t="s">
        <v>1585</v>
      </c>
      <c r="C169" t="s">
        <v>1762</v>
      </c>
      <c r="D169" t="s">
        <v>1763</v>
      </c>
    </row>
    <row r="170" spans="1:64" x14ac:dyDescent="0.3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1601</v>
      </c>
      <c r="B184" t="s">
        <v>1602</v>
      </c>
      <c r="C184" t="s">
        <v>1762</v>
      </c>
      <c r="D184" t="s">
        <v>1763</v>
      </c>
    </row>
    <row r="185" spans="1:64" x14ac:dyDescent="0.3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1613</v>
      </c>
      <c r="B193" t="s">
        <v>1614</v>
      </c>
      <c r="C193" t="s">
        <v>1762</v>
      </c>
      <c r="D193" t="s">
        <v>1763</v>
      </c>
    </row>
    <row r="194" spans="1:64" x14ac:dyDescent="0.3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1644</v>
      </c>
      <c r="B217" t="s">
        <v>1645</v>
      </c>
      <c r="C217" t="s">
        <v>1762</v>
      </c>
      <c r="D217" t="s">
        <v>1763</v>
      </c>
    </row>
    <row r="218" spans="1:64" x14ac:dyDescent="0.3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1662</v>
      </c>
      <c r="B230" t="s">
        <v>1663</v>
      </c>
      <c r="C230" t="s">
        <v>1762</v>
      </c>
      <c r="D230" t="s">
        <v>1763</v>
      </c>
    </row>
    <row r="231" spans="1:64" x14ac:dyDescent="0.3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1666</v>
      </c>
      <c r="B233" t="s">
        <v>1667</v>
      </c>
      <c r="C233" t="s">
        <v>1762</v>
      </c>
      <c r="D233" t="s">
        <v>1763</v>
      </c>
    </row>
    <row r="234" spans="1:64" x14ac:dyDescent="0.3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1690</v>
      </c>
      <c r="B250" t="s">
        <v>1691</v>
      </c>
      <c r="C250" t="s">
        <v>1762</v>
      </c>
      <c r="D250" t="s">
        <v>1763</v>
      </c>
    </row>
    <row r="251" spans="1:64" x14ac:dyDescent="0.3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1706</v>
      </c>
      <c r="B260" t="s">
        <v>1707</v>
      </c>
      <c r="C260" t="s">
        <v>1762</v>
      </c>
      <c r="D260" t="s">
        <v>1763</v>
      </c>
    </row>
    <row r="261" spans="1:65" x14ac:dyDescent="0.3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1715</v>
      </c>
      <c r="B266" t="s">
        <v>1716</v>
      </c>
      <c r="C266" t="s">
        <v>1762</v>
      </c>
      <c r="D266" t="s">
        <v>1763</v>
      </c>
    </row>
    <row r="267" spans="1:65" x14ac:dyDescent="0.3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2124</v>
      </c>
    </row>
    <row r="274" spans="8:65" s="1" customFormat="1" x14ac:dyDescent="0.35">
      <c r="I274" s="1" t="s">
        <v>1724</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1366</v>
      </c>
      <c r="B11" t="s">
        <v>1367</v>
      </c>
      <c r="C11" t="s">
        <v>1765</v>
      </c>
      <c r="D11" t="s">
        <v>1766</v>
      </c>
    </row>
    <row r="12" spans="1:65" x14ac:dyDescent="0.3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1373</v>
      </c>
      <c r="B16" t="s">
        <v>1374</v>
      </c>
      <c r="C16" t="s">
        <v>1765</v>
      </c>
      <c r="D16" t="s">
        <v>1766</v>
      </c>
    </row>
    <row r="17" spans="1:64" x14ac:dyDescent="0.3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1391</v>
      </c>
      <c r="B32" t="s">
        <v>1392</v>
      </c>
      <c r="C32" t="s">
        <v>1765</v>
      </c>
      <c r="D32" t="s">
        <v>1766</v>
      </c>
    </row>
    <row r="33" spans="1:64" x14ac:dyDescent="0.3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1424</v>
      </c>
      <c r="B57" t="s">
        <v>1425</v>
      </c>
      <c r="C57" t="s">
        <v>1765</v>
      </c>
      <c r="D57" t="s">
        <v>1766</v>
      </c>
    </row>
    <row r="58" spans="1:64" x14ac:dyDescent="0.3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1431</v>
      </c>
      <c r="B62" t="s">
        <v>1432</v>
      </c>
      <c r="C62" t="s">
        <v>1765</v>
      </c>
      <c r="D62" t="s">
        <v>1766</v>
      </c>
      <c r="AI62">
        <v>154.17685339798601</v>
      </c>
      <c r="AS62">
        <v>183</v>
      </c>
    </row>
    <row r="63" spans="1:64" x14ac:dyDescent="0.3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1461</v>
      </c>
      <c r="B83" t="s">
        <v>1462</v>
      </c>
      <c r="C83" t="s">
        <v>1765</v>
      </c>
      <c r="D83" t="s">
        <v>1766</v>
      </c>
    </row>
    <row r="84" spans="1:64" x14ac:dyDescent="0.3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1469</v>
      </c>
      <c r="B89" t="s">
        <v>1470</v>
      </c>
      <c r="C89" t="s">
        <v>1765</v>
      </c>
      <c r="D89" t="s">
        <v>1766</v>
      </c>
    </row>
    <row r="90" spans="1:64" x14ac:dyDescent="0.3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1478</v>
      </c>
      <c r="B96" t="s">
        <v>1479</v>
      </c>
      <c r="C96" t="s">
        <v>1765</v>
      </c>
      <c r="D96" t="s">
        <v>1766</v>
      </c>
      <c r="AQ96">
        <v>271.90385858122602</v>
      </c>
      <c r="AR96">
        <v>280.94445600166398</v>
      </c>
      <c r="AS96">
        <v>273.811994189666</v>
      </c>
      <c r="AT96">
        <v>261.03169670602898</v>
      </c>
    </row>
    <row r="97" spans="1:64" x14ac:dyDescent="0.3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1504</v>
      </c>
      <c r="B113" t="s">
        <v>1505</v>
      </c>
      <c r="C113" t="s">
        <v>1765</v>
      </c>
      <c r="D113" t="s">
        <v>1766</v>
      </c>
    </row>
    <row r="114" spans="1:64" x14ac:dyDescent="0.3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1507</v>
      </c>
      <c r="B115" t="s">
        <v>1508</v>
      </c>
      <c r="C115" t="s">
        <v>1765</v>
      </c>
      <c r="D115" t="s">
        <v>1766</v>
      </c>
    </row>
    <row r="116" spans="1:64" x14ac:dyDescent="0.3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1525</v>
      </c>
      <c r="B130" t="s">
        <v>1526</v>
      </c>
      <c r="C130" t="s">
        <v>1765</v>
      </c>
      <c r="D130" t="s">
        <v>1766</v>
      </c>
      <c r="AI130">
        <v>226.567960142533</v>
      </c>
      <c r="AS130">
        <v>243</v>
      </c>
    </row>
    <row r="131" spans="1:64" x14ac:dyDescent="0.3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1545</v>
      </c>
      <c r="B142" t="s">
        <v>1546</v>
      </c>
      <c r="C142" t="s">
        <v>1765</v>
      </c>
      <c r="D142" t="s">
        <v>1766</v>
      </c>
    </row>
    <row r="143" spans="1:64" x14ac:dyDescent="0.3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1560</v>
      </c>
      <c r="B152" t="s">
        <v>1561</v>
      </c>
      <c r="C152" t="s">
        <v>1765</v>
      </c>
      <c r="D152" t="s">
        <v>1766</v>
      </c>
    </row>
    <row r="153" spans="1:64" x14ac:dyDescent="0.3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1563</v>
      </c>
      <c r="B154" t="s">
        <v>1564</v>
      </c>
      <c r="C154" t="s">
        <v>1765</v>
      </c>
      <c r="D154" t="s">
        <v>1766</v>
      </c>
    </row>
    <row r="155" spans="1:64" x14ac:dyDescent="0.3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1572</v>
      </c>
      <c r="B160" t="s">
        <v>1573</v>
      </c>
      <c r="C160" t="s">
        <v>1765</v>
      </c>
      <c r="D160" t="s">
        <v>1766</v>
      </c>
      <c r="AS160">
        <v>302</v>
      </c>
    </row>
    <row r="161" spans="1:64" x14ac:dyDescent="0.3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1584</v>
      </c>
      <c r="B169" t="s">
        <v>1585</v>
      </c>
      <c r="C169" t="s">
        <v>1765</v>
      </c>
      <c r="D169" t="s">
        <v>1766</v>
      </c>
    </row>
    <row r="170" spans="1:64" x14ac:dyDescent="0.3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1601</v>
      </c>
      <c r="B184" t="s">
        <v>1602</v>
      </c>
      <c r="C184" t="s">
        <v>1765</v>
      </c>
      <c r="D184" t="s">
        <v>1766</v>
      </c>
    </row>
    <row r="185" spans="1:64" x14ac:dyDescent="0.3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1613</v>
      </c>
      <c r="B193" t="s">
        <v>1614</v>
      </c>
      <c r="C193" t="s">
        <v>1765</v>
      </c>
      <c r="D193" t="s">
        <v>1766</v>
      </c>
    </row>
    <row r="194" spans="1:64" x14ac:dyDescent="0.3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1644</v>
      </c>
      <c r="B217" t="s">
        <v>1645</v>
      </c>
      <c r="C217" t="s">
        <v>1765</v>
      </c>
      <c r="D217" t="s">
        <v>1766</v>
      </c>
    </row>
    <row r="218" spans="1:64" x14ac:dyDescent="0.3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1662</v>
      </c>
      <c r="B230" t="s">
        <v>1663</v>
      </c>
      <c r="C230" t="s">
        <v>1765</v>
      </c>
      <c r="D230" t="s">
        <v>1766</v>
      </c>
    </row>
    <row r="231" spans="1:64" x14ac:dyDescent="0.3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1666</v>
      </c>
      <c r="B233" t="s">
        <v>1667</v>
      </c>
      <c r="C233" t="s">
        <v>1765</v>
      </c>
      <c r="D233" t="s">
        <v>1766</v>
      </c>
    </row>
    <row r="234" spans="1:64" x14ac:dyDescent="0.3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1690</v>
      </c>
      <c r="B250" t="s">
        <v>1691</v>
      </c>
      <c r="C250" t="s">
        <v>1765</v>
      </c>
      <c r="D250" t="s">
        <v>1766</v>
      </c>
    </row>
    <row r="251" spans="1:64" x14ac:dyDescent="0.3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1706</v>
      </c>
      <c r="B260" t="s">
        <v>1707</v>
      </c>
      <c r="C260" t="s">
        <v>1765</v>
      </c>
      <c r="D260" t="s">
        <v>1766</v>
      </c>
    </row>
    <row r="261" spans="1:65" x14ac:dyDescent="0.3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1715</v>
      </c>
      <c r="B266" t="s">
        <v>1716</v>
      </c>
      <c r="C266" t="s">
        <v>1765</v>
      </c>
      <c r="D266" t="s">
        <v>1766</v>
      </c>
    </row>
    <row r="267" spans="1:65" x14ac:dyDescent="0.3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1764</v>
      </c>
    </row>
    <row r="274" spans="8:65" s="1" customFormat="1" x14ac:dyDescent="0.35">
      <c r="I274" s="1" t="s">
        <v>1724</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90625" bestFit="1" customWidth="1"/>
    <col min="2" max="4" width="16.089843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1920</v>
      </c>
      <c r="B1" s="186" t="s">
        <v>1921</v>
      </c>
      <c r="C1" s="186" t="s">
        <v>1922</v>
      </c>
      <c r="D1" s="186" t="s">
        <v>1923</v>
      </c>
      <c r="E1" s="186" t="s">
        <v>2087</v>
      </c>
      <c r="F1" s="282" t="s">
        <v>2084</v>
      </c>
      <c r="G1" s="285" t="s">
        <v>2085</v>
      </c>
      <c r="H1" s="286" t="s">
        <v>2086</v>
      </c>
    </row>
    <row r="2" spans="1:8" x14ac:dyDescent="0.3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3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3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1</vt:i4>
      </vt:variant>
    </vt:vector>
  </HeadingPairs>
  <TitlesOfParts>
    <vt:vector size="57" baseType="lpstr">
      <vt:lpstr>Scenarios_retain</vt:lpstr>
      <vt:lpstr>To Do or Upgrade</vt:lpstr>
      <vt:lpstr>Read Me</vt:lpstr>
      <vt:lpstr>Scenarios</vt:lpstr>
      <vt:lpstr>TotalPop</vt:lpstr>
      <vt:lpstr>StochasticParamaters</vt:lpstr>
      <vt:lpstr>PopValues</vt:lpstr>
      <vt:lpstr>SeasonalityCurves</vt:lpstr>
      <vt:lpstr>SeasonalityOffsets</vt:lpstr>
      <vt:lpstr>TV_Comprehensive</vt:lpstr>
      <vt:lpstr>TV_Basic</vt:lpstr>
      <vt:lpstr>TV_Merged</vt:lpstr>
      <vt:lpstr>Cadres_Comprehensive</vt:lpstr>
      <vt:lpstr>Cadres_Basic</vt:lpstr>
      <vt:lpstr>Cadres_Merged</vt:lpstr>
      <vt:lpstr>Staffing Models</vt:lpstr>
      <vt:lpstr>TaskValues_ref</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lookups</vt:lpstr>
      <vt:lpstr>Prevalences</vt:lpstr>
      <vt:lpstr>DALYs </vt:lpstr>
      <vt:lpstr>CEA</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2022-03-23T14:17:02Z</dcterms:modified>
  <cp:category/>
  <cp:contentStatus/>
</cp:coreProperties>
</file>