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 Summary" sheetId="1" r:id="rId3"/>
    <sheet state="hidden" name="2013 Summary " sheetId="2" r:id="rId4"/>
    <sheet state="visible" name="2016 Summary" sheetId="3" r:id="rId5"/>
    <sheet state="visible" name="Africa" sheetId="4" r:id="rId6"/>
    <sheet state="visible" name="PIP" sheetId="5" r:id="rId7"/>
    <sheet state="visible" name="Eurasia" sheetId="6" r:id="rId8"/>
    <sheet state="visible" name="Asia" sheetId="7" r:id="rId9"/>
    <sheet state="visible" name="MENA" sheetId="8" r:id="rId10"/>
    <sheet state="visible" name="EP" sheetId="9" r:id="rId11"/>
    <sheet state="hidden" name="by donor Apr 14" sheetId="10" r:id="rId12"/>
    <sheet state="hidden" name="by donor Jul 14" sheetId="11" r:id="rId13"/>
    <sheet state="hidden" name="by donor Aug 14" sheetId="12" r:id="rId14"/>
  </sheets>
  <definedNames>
    <definedName localSheetId="7" name="OLE_LINK1">MENA!$B$28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F70">
      <text>
        <t xml:space="preserve">carry fwd from 2012</t>
      </text>
    </comment>
    <comment authorId="0" ref="E71">
      <text>
        <t xml:space="preserve">50k for 2014
10k travel reimbursemenet</t>
      </text>
    </comment>
    <comment authorId="0" ref="F72">
      <text>
        <t xml:space="preserve">Robert Barclay:
25,000 USD</t>
      </text>
    </comment>
    <comment authorId="0" ref="B78">
      <text>
        <t xml:space="preserve">carry forward
</t>
      </text>
    </comment>
    <comment authorId="0" ref="E85">
      <text>
        <t xml:space="preserve">no fixed budget, fees will depend on EU call-downs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F15">
      <text>
        <t xml:space="preserve">carry fwd from 2012</t>
      </text>
    </comment>
    <comment authorId="0" ref="E16">
      <text>
        <t xml:space="preserve">50k for 2014
10k travel reimbursemenet</t>
      </text>
    </comment>
    <comment authorId="0" ref="F17">
      <text>
        <t xml:space="preserve">Robert Barclay:
25,000 USD</t>
      </text>
    </comment>
    <comment authorId="0" ref="B25">
      <text>
        <t xml:space="preserve">carry forward
</t>
      </text>
    </comment>
    <comment authorId="0" ref="E27">
      <text>
        <t xml:space="preserve">no fixed budget, fees will depend on EU call-downs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I13">
      <text>
        <t xml:space="preserve">carry fwd from 2012</t>
      </text>
    </comment>
    <comment authorId="0" ref="B14">
      <text>
        <t xml:space="preserve">carry forward
PSO</t>
      </text>
    </comment>
    <comment authorId="0" ref="G18">
      <text>
        <t xml:space="preserve">50k for 2014
10k travel reimbursemenet</t>
      </text>
    </comment>
    <comment authorId="0" ref="G29">
      <text>
        <t xml:space="preserve">no fixed budget, fees will depend on EU call-downs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G6">
      <text>
        <t xml:space="preserve">no fixed budget, fees will depend on EU call-downs</t>
      </text>
    </comment>
    <comment authorId="0" ref="J8">
      <text>
        <t xml:space="preserve">tbc on XE rates
181k EUR per year</t>
      </text>
    </comment>
    <comment authorId="0" ref="J9">
      <text>
        <t xml:space="preserve">1 quarter funding?
</t>
      </text>
    </comment>
    <comment authorId="0" ref="I12">
      <text>
        <t xml:space="preserve">carry fwd from 2014</t>
      </text>
    </comment>
    <comment authorId="0" ref="G14">
      <text>
        <t xml:space="preserve">this is the 50% to PIP over 3 years. 
Same again to URF</t>
      </text>
    </comment>
    <comment authorId="0" ref="B39">
      <text>
        <t xml:space="preserve">carry forward
</t>
      </text>
    </comment>
  </commentList>
</comments>
</file>

<file path=xl/sharedStrings.xml><?xml version="1.0" encoding="utf-8"?>
<sst xmlns="http://schemas.openxmlformats.org/spreadsheetml/2006/main" count="2556" uniqueCount="741">
  <si>
    <t>Africa</t>
  </si>
  <si>
    <t>Eurasia</t>
  </si>
  <si>
    <t>Middle East &amp; North Africa Programme</t>
  </si>
  <si>
    <t>Peacebuilding Issues Programme</t>
  </si>
  <si>
    <t>Asia</t>
  </si>
  <si>
    <t>Emerging Programmes</t>
  </si>
  <si>
    <t>2015 RF Budget</t>
  </si>
  <si>
    <t>2015 REFORECAST</t>
  </si>
  <si>
    <t>2015 STATUS as at 2 Sept 2015</t>
  </si>
  <si>
    <t>2013  STATUS as at May 2012</t>
  </si>
  <si>
    <t>2016 STATUS as at 2 Sept 2015</t>
  </si>
  <si>
    <t>2015 Budget</t>
  </si>
  <si>
    <t>2012 Progess to Target</t>
  </si>
  <si>
    <t>2014 Progess to Target</t>
  </si>
  <si>
    <t>2016 Budget Targets</t>
  </si>
  <si>
    <t>Progress Status to Targets Against Budget (confirmed and highly likely)</t>
  </si>
  <si>
    <t>2015 Budget Targets</t>
  </si>
  <si>
    <t xml:space="preserve">2015 Budget </t>
  </si>
  <si>
    <t>2016 Budget</t>
  </si>
  <si>
    <t xml:space="preserve">Confirmed Funding </t>
  </si>
  <si>
    <t xml:space="preserve">2013 Draft Budget </t>
  </si>
  <si>
    <t>As % of TOTAL GRANT</t>
  </si>
  <si>
    <t>As % of 2014 funds</t>
  </si>
  <si>
    <t>average grant size</t>
  </si>
  <si>
    <t>Country / Strand</t>
  </si>
  <si>
    <t xml:space="preserve">Project </t>
  </si>
  <si>
    <t>Area</t>
  </si>
  <si>
    <t>Pipeline  (all unconfirmed)</t>
  </si>
  <si>
    <t>Comparison Figures as at 29 Aug 2014
</t>
  </si>
  <si>
    <t>2013 Budget Targets</t>
  </si>
  <si>
    <t>Comparison Figures at March 2012</t>
  </si>
  <si>
    <t xml:space="preserve">PROGRAMME </t>
  </si>
  <si>
    <t xml:space="preserve">Budget </t>
  </si>
  <si>
    <t>Confirmed</t>
  </si>
  <si>
    <t>Confirmed &amp; Highly Likely (CF/HL)</t>
  </si>
  <si>
    <t>Total Unconfirmed</t>
  </si>
  <si>
    <t xml:space="preserve"> </t>
  </si>
  <si>
    <t xml:space="preserve">Highly Likely </t>
  </si>
  <si>
    <t>Low to Medium</t>
  </si>
  <si>
    <t>Budget</t>
  </si>
  <si>
    <t>Value CF&amp;HL</t>
  </si>
  <si>
    <t>CF/HL</t>
  </si>
  <si>
    <t>TOTAL</t>
  </si>
  <si>
    <t>Confirmed(CF) + Highly Likely (HL)</t>
  </si>
  <si>
    <t>Comparison Figures as at 29 Aug 2014 for 2015 projections
</t>
  </si>
  <si>
    <t>Value CF/HL</t>
  </si>
  <si>
    <t xml:space="preserve">2016 Budget </t>
  </si>
  <si>
    <t>Fund Code</t>
  </si>
  <si>
    <t>Donor</t>
  </si>
  <si>
    <t>Dates</t>
  </si>
  <si>
    <t xml:space="preserve">Total grant Value    </t>
  </si>
  <si>
    <t xml:space="preserve">Total Value    </t>
  </si>
  <si>
    <t>2014 GRANT</t>
  </si>
  <si>
    <t>2015 GRANT</t>
  </si>
  <si>
    <t>DRC</t>
  </si>
  <si>
    <t>% MF Achieved</t>
  </si>
  <si>
    <t>Tufaidike Wote</t>
  </si>
  <si>
    <t>AP21DR</t>
  </si>
  <si>
    <t>USAID</t>
  </si>
  <si>
    <t>Rwanda</t>
  </si>
  <si>
    <t>Partnership for Peaceful Rural Transformation</t>
  </si>
  <si>
    <t>AP41DR</t>
  </si>
  <si>
    <t>Sri Lanka</t>
  </si>
  <si>
    <t>DONORS</t>
  </si>
  <si>
    <t>Project Dates</t>
  </si>
  <si>
    <t xml:space="preserve">Project Value    </t>
  </si>
  <si>
    <t xml:space="preserve">% MF Achieved </t>
  </si>
  <si>
    <t xml:space="preserve">Influencing the National Youth Policy </t>
  </si>
  <si>
    <t>TBC</t>
  </si>
  <si>
    <t>Tufaidike Wote - extension monies</t>
  </si>
  <si>
    <t>US State Dept</t>
  </si>
  <si>
    <t>US Government</t>
  </si>
  <si>
    <t>PIP-wide</t>
  </si>
  <si>
    <t xml:space="preserve">AFRICA </t>
  </si>
  <si>
    <t>Lebanon</t>
  </si>
  <si>
    <t>Doing Politics Differently 2015</t>
  </si>
  <si>
    <t>ME10DR</t>
  </si>
  <si>
    <t>Norway MFA</t>
  </si>
  <si>
    <t>EU Mediation Support Tender (in consortium)</t>
  </si>
  <si>
    <t>TH05BR</t>
  </si>
  <si>
    <t>EU</t>
  </si>
  <si>
    <t>Jan'14</t>
  </si>
  <si>
    <t>Dec'15</t>
  </si>
  <si>
    <t>n/a</t>
  </si>
  <si>
    <t>South Sudan Conflict Sensitivity</t>
  </si>
  <si>
    <t>TH05CR</t>
  </si>
  <si>
    <t>Dutch MFA</t>
  </si>
  <si>
    <t>Jun'15</t>
  </si>
  <si>
    <t>Women, Citizenship and Peacebuilding</t>
  </si>
  <si>
    <t>AP21CR</t>
  </si>
  <si>
    <t>SIDA</t>
  </si>
  <si>
    <t>Tushirike Wote - Let's All Participate Together!</t>
  </si>
  <si>
    <t>AP31GR</t>
  </si>
  <si>
    <t>Uganda</t>
  </si>
  <si>
    <t>Promoting National Reconciliation Using Economic and Private Sector Approaches</t>
  </si>
  <si>
    <t>AP51ER</t>
  </si>
  <si>
    <t>AU</t>
  </si>
  <si>
    <t>Partnership for Effective and Sustainable AULOs</t>
  </si>
  <si>
    <t>AP31ER</t>
  </si>
  <si>
    <t>Improving Peacebuilding Practice</t>
  </si>
  <si>
    <t>TH05DR</t>
  </si>
  <si>
    <t>DEP</t>
  </si>
  <si>
    <t>Europe</t>
  </si>
  <si>
    <t>People-centred SSR</t>
  </si>
  <si>
    <t>UK99AU</t>
  </si>
  <si>
    <t>UR</t>
  </si>
  <si>
    <t>Crime, Violence and Instability</t>
  </si>
  <si>
    <t>EP99CU</t>
  </si>
  <si>
    <t>New Approaches</t>
  </si>
  <si>
    <t>EP99GU</t>
  </si>
  <si>
    <t>DEP General</t>
  </si>
  <si>
    <t>EP99AU</t>
  </si>
  <si>
    <t> ME10ER</t>
  </si>
  <si>
    <t>Jun-12 </t>
  </si>
  <si>
    <t>Nov-14 </t>
  </si>
  <si>
    <t>Resilience to Syrian Conflict</t>
  </si>
  <si>
    <t> ME10FR</t>
  </si>
  <si>
    <t>EU IFS</t>
  </si>
  <si>
    <t>Feb-13 </t>
  </si>
  <si>
    <t>July-14 </t>
  </si>
  <si>
    <t>Finland MFA</t>
  </si>
  <si>
    <t>Dec'14</t>
  </si>
  <si>
    <t>Dec'2017</t>
  </si>
  <si>
    <t>Climate Change</t>
  </si>
  <si>
    <t>Building Peace from the Bottom up: Reinforcing Local Actions for Peace in the Kivus</t>
  </si>
  <si>
    <t>AP21GR</t>
  </si>
  <si>
    <t>EC IFS</t>
  </si>
  <si>
    <t>SA32KR</t>
  </si>
  <si>
    <t>Le renforcement des capacités communautaires en gestion des conflits et promotion de la paix à l’est</t>
  </si>
  <si>
    <t>AP21ER</t>
  </si>
  <si>
    <t>UNDP</t>
  </si>
  <si>
    <t>Georgia</t>
  </si>
  <si>
    <t>Peacebuilding Summer School</t>
  </si>
  <si>
    <t>ER02PR</t>
  </si>
  <si>
    <t>UN WOMEN</t>
  </si>
  <si>
    <t>Nepal</t>
  </si>
  <si>
    <t>Community security planning training</t>
  </si>
  <si>
    <t>SA01WR</t>
  </si>
  <si>
    <t>Strengthening the Rule of Law</t>
  </si>
  <si>
    <t>SA01YR</t>
  </si>
  <si>
    <t>UN Women</t>
  </si>
  <si>
    <t>Conflict sensitive humanitarian aid</t>
  </si>
  <si>
    <t>ME10JR</t>
  </si>
  <si>
    <t>UNHCR</t>
  </si>
  <si>
    <t>PIP</t>
  </si>
  <si>
    <t>PPA Climate Strand</t>
  </si>
  <si>
    <t>TC99AU</t>
  </si>
  <si>
    <t>DFID PPA</t>
  </si>
  <si>
    <t>Citizens' Agenda</t>
  </si>
  <si>
    <t>ME10IR</t>
  </si>
  <si>
    <t>UN agencies</t>
  </si>
  <si>
    <t>Liberia</t>
  </si>
  <si>
    <t>Strengthening Civil Society's Voice in National Reconciliation and Dealing with the Past</t>
  </si>
  <si>
    <t>AP11GR</t>
  </si>
  <si>
    <t>EC-EIDHR CBSS</t>
  </si>
  <si>
    <t>Nagorno Karabakh</t>
  </si>
  <si>
    <t>EPNK 2</t>
  </si>
  <si>
    <t>ER70BR</t>
  </si>
  <si>
    <t>EC-IFS</t>
  </si>
  <si>
    <t xml:space="preserve">SC Regional </t>
  </si>
  <si>
    <t xml:space="preserve">Business Adovacy for Peace </t>
  </si>
  <si>
    <t>ER05JR</t>
  </si>
  <si>
    <t>EU-NSA</t>
  </si>
  <si>
    <t>Tajikistan</t>
  </si>
  <si>
    <t>Promoting local decision-making (sub to ACTED)</t>
  </si>
  <si>
    <t>TBD</t>
  </si>
  <si>
    <t>Bulding Bridges</t>
  </si>
  <si>
    <t>ER20GR</t>
  </si>
  <si>
    <t>EU/EIDHR</t>
  </si>
  <si>
    <t>Safe Media</t>
  </si>
  <si>
    <t>SA01QR</t>
  </si>
  <si>
    <t>EC-EIDHR</t>
  </si>
  <si>
    <t>Inclusive Justice</t>
  </si>
  <si>
    <t>SA01MR</t>
  </si>
  <si>
    <t>EC NSA</t>
  </si>
  <si>
    <t>Pakistan</t>
  </si>
  <si>
    <t xml:space="preserve">Business for Peace </t>
  </si>
  <si>
    <t>SA21AR</t>
  </si>
  <si>
    <t>Philippines</t>
  </si>
  <si>
    <t>Conflict Inclusive Economic Governance for IPs</t>
  </si>
  <si>
    <t>SA94NR</t>
  </si>
  <si>
    <t>EC NSAs</t>
  </si>
  <si>
    <t>UK</t>
  </si>
  <si>
    <t>Promoting Positive Voices in Diaspora-UK Component</t>
  </si>
  <si>
    <t>UK01BR</t>
  </si>
  <si>
    <t>EC-NSA-DA</t>
  </si>
  <si>
    <t>European Union</t>
  </si>
  <si>
    <t>Vulnerability and resilience dynamics related to multiple and protracted displacement in Eastern DRC</t>
  </si>
  <si>
    <t>AP21IR</t>
  </si>
  <si>
    <t>DFID</t>
  </si>
  <si>
    <t>Advisory Consortium on Conflict Sensitivity</t>
  </si>
  <si>
    <t>AP51BR</t>
  </si>
  <si>
    <t>Oil and Gas for Peaceful Development in Uganda</t>
  </si>
  <si>
    <t>AP51FR</t>
  </si>
  <si>
    <t>DGF (DFID)</t>
  </si>
  <si>
    <t>Nigeria</t>
  </si>
  <si>
    <t>NSRP</t>
  </si>
  <si>
    <t>AP61BR</t>
  </si>
  <si>
    <t>DFID-BC</t>
  </si>
  <si>
    <t>Somalia</t>
  </si>
  <si>
    <t>ACPP Preventing GBV in Mogadishu</t>
  </si>
  <si>
    <t>AP81AR</t>
  </si>
  <si>
    <t>DFID ACPP</t>
  </si>
  <si>
    <t>ECCS</t>
  </si>
  <si>
    <t>Gender</t>
  </si>
  <si>
    <t>PPA Gender</t>
  </si>
  <si>
    <t xml:space="preserve">Women’s access to land in eastern DRC </t>
  </si>
  <si>
    <t>AP21HR</t>
  </si>
  <si>
    <t>Consultancy WfWI</t>
  </si>
  <si>
    <t>G7 Climate Security Knowledge Platform and Study</t>
  </si>
  <si>
    <t>Consultancies from 2013</t>
  </si>
  <si>
    <t>SG01BR</t>
  </si>
  <si>
    <t>Adelphi</t>
  </si>
  <si>
    <t>ESRC DfID ARK</t>
  </si>
  <si>
    <t>ME10NR</t>
  </si>
  <si>
    <t>Syrian refugee Justice</t>
  </si>
  <si>
    <t>TOTAL CONFIRMED AGAINST BUDGET</t>
  </si>
  <si>
    <t xml:space="preserve">EURASIA </t>
  </si>
  <si>
    <t>ME10MR</t>
  </si>
  <si>
    <t xml:space="preserve">ASIA </t>
  </si>
  <si>
    <t>Dutch KP</t>
  </si>
  <si>
    <t xml:space="preserve">TC01DR </t>
  </si>
  <si>
    <t>MENA</t>
  </si>
  <si>
    <t>DfID</t>
  </si>
  <si>
    <t>Jan'15</t>
  </si>
  <si>
    <t>TC01CR</t>
  </si>
  <si>
    <t>IDS</t>
  </si>
  <si>
    <t>TG99CU</t>
  </si>
  <si>
    <t>Institutions</t>
  </si>
  <si>
    <t>Consultancies</t>
  </si>
  <si>
    <t>Diaspora - Voices for Peace PHASE V</t>
  </si>
  <si>
    <t>FCO CSSF</t>
  </si>
  <si>
    <t>Diaspora - Voices for Peace PHASE IV</t>
  </si>
  <si>
    <t>SA32JR</t>
  </si>
  <si>
    <t>FCO CPP</t>
  </si>
  <si>
    <t>Conflict sesnitivity services development</t>
  </si>
  <si>
    <t>-</t>
  </si>
  <si>
    <t>Alert</t>
  </si>
  <si>
    <t>Inclusive Justice co-financing</t>
  </si>
  <si>
    <t>PPA Institutions</t>
  </si>
  <si>
    <t>TH07DU</t>
  </si>
  <si>
    <t>Research</t>
  </si>
  <si>
    <t>PPA State and Citizenship</t>
  </si>
  <si>
    <t>TS99AU</t>
  </si>
  <si>
    <t>T&amp;L</t>
  </si>
  <si>
    <t>Analysis of effective interventions - VAWG</t>
  </si>
  <si>
    <t>SA01UR</t>
  </si>
  <si>
    <t>Economics and Peace</t>
  </si>
  <si>
    <t>PPA Economy Strand</t>
  </si>
  <si>
    <t>TB99AU</t>
  </si>
  <si>
    <t xml:space="preserve">Anglo </t>
  </si>
  <si>
    <t>TB03CR</t>
  </si>
  <si>
    <t>Anglo</t>
  </si>
  <si>
    <t>tbc</t>
  </si>
  <si>
    <t>AngloGold Ashanti consultancy</t>
  </si>
  <si>
    <t>TB03BR</t>
  </si>
  <si>
    <t>AGA</t>
  </si>
  <si>
    <t>Ecopetrol cosultancies</t>
  </si>
  <si>
    <t>Ecopetrol</t>
  </si>
  <si>
    <t>Consultancies (2013 fund still due)</t>
  </si>
  <si>
    <t>Repsol, CSR Europe</t>
  </si>
  <si>
    <t>Global Compact</t>
  </si>
  <si>
    <t>TB03AR</t>
  </si>
  <si>
    <t>CDA / Suncore</t>
  </si>
  <si>
    <t>Gender consultancies (2013 and ESVC Summit)</t>
  </si>
  <si>
    <t>TG04AR</t>
  </si>
  <si>
    <t>FCO</t>
  </si>
  <si>
    <t>King's College, Univ. of East Anglia &amp; 2013 funds</t>
  </si>
  <si>
    <t>TP01DR</t>
  </si>
  <si>
    <t>Various</t>
  </si>
  <si>
    <t>Australian FCAS and Do No Harm Training</t>
  </si>
  <si>
    <t>Australian DFAT</t>
  </si>
  <si>
    <t>ENTRI</t>
  </si>
  <si>
    <t>TP04LR</t>
  </si>
  <si>
    <t>ZIF</t>
  </si>
  <si>
    <t xml:space="preserve">general TL consultancies </t>
  </si>
  <si>
    <t>TP01CR</t>
  </si>
  <si>
    <t>various</t>
  </si>
  <si>
    <t>UCL &amp; ODI  consultancies</t>
  </si>
  <si>
    <t>UCL &amp; ODI</t>
  </si>
  <si>
    <t>Consultancies Carry Forward</t>
  </si>
  <si>
    <t xml:space="preserve">Total Project Value    </t>
  </si>
  <si>
    <t>%  MF Achieved</t>
  </si>
  <si>
    <t>ADYAN evaluation</t>
  </si>
  <si>
    <t>Consultancies &amp; FW</t>
  </si>
  <si>
    <t>CP Civil Dialogues (CCDEI)</t>
  </si>
  <si>
    <t>ER09CR</t>
  </si>
  <si>
    <t>UK-FCO</t>
  </si>
  <si>
    <t>CCDEI Top-up 2013-2014</t>
  </si>
  <si>
    <t>SA01ZR</t>
  </si>
  <si>
    <t>SDC</t>
  </si>
  <si>
    <t>Nepal Capacity support</t>
  </si>
  <si>
    <t>SA99IU</t>
  </si>
  <si>
    <t>Jan'12</t>
  </si>
  <si>
    <t>Economy</t>
  </si>
  <si>
    <t>ongoing</t>
  </si>
  <si>
    <t>UNDP - NCE</t>
  </si>
  <si>
    <t xml:space="preserve">King's College, Univ. of East Anglia </t>
  </si>
  <si>
    <t>Gender consultancies</t>
  </si>
  <si>
    <t>OECD / INCAF</t>
  </si>
  <si>
    <t>Increase Resilience of People Affected by Multiple Displacement in North and South Kivu</t>
  </si>
  <si>
    <t>Business Adovacy for Peace (BAP)</t>
  </si>
  <si>
    <t>ER05IR</t>
  </si>
  <si>
    <t>Preventing sexual violence initiative</t>
  </si>
  <si>
    <t>BAP Top-up 2013-2014</t>
  </si>
  <si>
    <t xml:space="preserve">CA Regional </t>
  </si>
  <si>
    <t>Upstream Conflict Prevention (UCPCA)</t>
  </si>
  <si>
    <t>ER15AR</t>
  </si>
  <si>
    <t>FCO/BHC CPP</t>
  </si>
  <si>
    <t>Diaspora - Voices for Peace PHASE III</t>
  </si>
  <si>
    <t>SA32IR</t>
  </si>
  <si>
    <t>Peace and conflict Assessment in Terai</t>
  </si>
  <si>
    <t>SA01XR</t>
  </si>
  <si>
    <t>SA21CR</t>
  </si>
  <si>
    <t>Myanmar</t>
  </si>
  <si>
    <t>Building peace in Rakhine state</t>
  </si>
  <si>
    <t>Consultancies: Carry forward</t>
  </si>
  <si>
    <t xml:space="preserve">various </t>
  </si>
  <si>
    <t xml:space="preserve"> Repsol </t>
  </si>
  <si>
    <t>TB03DR</t>
  </si>
  <si>
    <t>Repsol, FFP</t>
  </si>
  <si>
    <t>CSBP 2.0</t>
  </si>
  <si>
    <t>TB03FR</t>
  </si>
  <si>
    <t xml:space="preserve">IFC / FFP </t>
  </si>
  <si>
    <t>IFC, World Bank</t>
  </si>
  <si>
    <t>Aug'14</t>
  </si>
  <si>
    <t>Aug'15</t>
  </si>
  <si>
    <t>Consultancies Lat Am: Stratos &amp; Ecopetrol</t>
  </si>
  <si>
    <t>TB03ER</t>
  </si>
  <si>
    <t>Consultancies Lat Am: TOTAL Bolivia</t>
  </si>
  <si>
    <t>tbd</t>
  </si>
  <si>
    <t>Consultancies Lat Am: Oxy</t>
  </si>
  <si>
    <t>Tunisia</t>
  </si>
  <si>
    <t>Citizen Voices 2015</t>
  </si>
  <si>
    <t>ME20DR</t>
  </si>
  <si>
    <t>SA94VR</t>
  </si>
  <si>
    <t xml:space="preserve">FCO  </t>
  </si>
  <si>
    <t>Youth Agenda</t>
  </si>
  <si>
    <t>ME20BR</t>
  </si>
  <si>
    <t>MENA Regional</t>
  </si>
  <si>
    <t>Borders for All</t>
  </si>
  <si>
    <t>ME40AR</t>
  </si>
  <si>
    <t>CSEG Balochistan</t>
  </si>
  <si>
    <t>EP</t>
  </si>
  <si>
    <t xml:space="preserve">SA21DR </t>
  </si>
  <si>
    <t>Canada</t>
  </si>
  <si>
    <t>Gender in peacebuilding</t>
  </si>
  <si>
    <t>SA21HR</t>
  </si>
  <si>
    <t>WRC</t>
  </si>
  <si>
    <t>CVI scoping project</t>
  </si>
  <si>
    <t>Taking Conflict out of Investment 2</t>
  </si>
  <si>
    <t>TBA</t>
  </si>
  <si>
    <t>Inclusive Security Governance</t>
  </si>
  <si>
    <t>ICMM Company - Community Conflict</t>
  </si>
  <si>
    <t>ICMM</t>
  </si>
  <si>
    <t>21'000</t>
  </si>
  <si>
    <t>ME20CR</t>
  </si>
  <si>
    <t xml:space="preserve">Consultancies </t>
  </si>
  <si>
    <t>DANIDA</t>
  </si>
  <si>
    <t>DANIDA/Crown Agents</t>
  </si>
  <si>
    <t>N/A</t>
  </si>
  <si>
    <t>ER05LR</t>
  </si>
  <si>
    <t>Consultancy: Visiting Fellow</t>
  </si>
  <si>
    <t>Uni of Hamburg</t>
  </si>
  <si>
    <t>Consultancy: GIZ, SOMO, minor</t>
  </si>
  <si>
    <t xml:space="preserve">IIP consultancies carry forward </t>
  </si>
  <si>
    <t>Country</t>
  </si>
  <si>
    <t>Harnessing Trade for Peace</t>
  </si>
  <si>
    <t>Frameworks</t>
  </si>
  <si>
    <t>Strengthening the role of business in supporting conflict sensitive social integration</t>
  </si>
  <si>
    <t>SA21FR</t>
  </si>
  <si>
    <t>DAI</t>
  </si>
  <si>
    <t>Commercial</t>
  </si>
  <si>
    <t>World Bank Youth in West Africa Study</t>
  </si>
  <si>
    <t>TI01FR</t>
  </si>
  <si>
    <t>World Bank</t>
  </si>
  <si>
    <t>Applying IFC's Environmental and Social Assessment and Management Framework to Security Forces and in Fragile and Conflict Affected States</t>
  </si>
  <si>
    <t xml:space="preserve">Fragility assessment </t>
  </si>
  <si>
    <t>SA01VR</t>
  </si>
  <si>
    <t>ADB</t>
  </si>
  <si>
    <t>Bangsmoro Conflict Monitoring System</t>
  </si>
  <si>
    <t>SA94TR</t>
  </si>
  <si>
    <t>WB</t>
  </si>
  <si>
    <t>Banks</t>
  </si>
  <si>
    <t>South Ossetia Youth Empowerment</t>
  </si>
  <si>
    <t>ER02OR</t>
  </si>
  <si>
    <t>Swiss MFA</t>
  </si>
  <si>
    <t>ER05MR</t>
  </si>
  <si>
    <t>Do no harm training</t>
  </si>
  <si>
    <t>SA21GR</t>
  </si>
  <si>
    <t>Breaking the links b/w local economies &amp; conflict in Mindanao Phase 2</t>
  </si>
  <si>
    <t>SA94RR</t>
  </si>
  <si>
    <t>AUSAID</t>
  </si>
  <si>
    <t>Canada DFATD</t>
  </si>
  <si>
    <t>Oil and Gas for Peaceful Development in Uganda - Irish Aid Bridge</t>
  </si>
  <si>
    <t>AP51DR</t>
  </si>
  <si>
    <t>Irish Aid</t>
  </si>
  <si>
    <t>Mali</t>
  </si>
  <si>
    <t>Drivers of Change in Mali</t>
  </si>
  <si>
    <t>AP71AR</t>
  </si>
  <si>
    <t>Danish Ministry of Foreign Affairs</t>
  </si>
  <si>
    <t>Various government</t>
  </si>
  <si>
    <t>Reconciliation and Socio-Economic Reintegration in Rwanda and Burundi</t>
  </si>
  <si>
    <t>AP41CR</t>
  </si>
  <si>
    <t>Misereor</t>
  </si>
  <si>
    <t>Working towards peaceful natural resource exploitation in Liberia</t>
  </si>
  <si>
    <t>AP11HR</t>
  </si>
  <si>
    <t>Humanity United</t>
  </si>
  <si>
    <t>Charitable Trusts - various</t>
  </si>
  <si>
    <t>AP41ER</t>
  </si>
  <si>
    <t>Platform for Voice</t>
  </si>
  <si>
    <t>UK11AR</t>
  </si>
  <si>
    <t>OSFIE</t>
  </si>
  <si>
    <t>Building a Coalition of Voice and Influence for Good Relations work in England</t>
  </si>
  <si>
    <t>UK01CR</t>
  </si>
  <si>
    <t>JRCT+Oxfam</t>
  </si>
  <si>
    <t>Peace audits</t>
  </si>
  <si>
    <t xml:space="preserve">SA21ER </t>
  </si>
  <si>
    <t>Oxfam Novib</t>
  </si>
  <si>
    <t>Various foundations &amp; NGOs</t>
  </si>
  <si>
    <t>Doing Politics Differently 2014</t>
  </si>
  <si>
    <t>ME10HR</t>
  </si>
  <si>
    <t>Citizen Voices 2014</t>
  </si>
  <si>
    <t>#Syria</t>
  </si>
  <si>
    <t>Seed funding - diaspora</t>
  </si>
  <si>
    <t>ME30AR</t>
  </si>
  <si>
    <t>Other Unrestricted</t>
  </si>
  <si>
    <t>Mali Seed funding</t>
  </si>
  <si>
    <t>Measuring Peace</t>
  </si>
  <si>
    <t>TS01DR</t>
  </si>
  <si>
    <t>NMFA</t>
  </si>
  <si>
    <t>Paving new avenues for peace year 1 and 2</t>
  </si>
  <si>
    <t>SA94WR</t>
  </si>
  <si>
    <t>Earmarked UR</t>
  </si>
  <si>
    <t>ER99AU</t>
  </si>
  <si>
    <t>Caucasus Programme Relaunch (Challenge Fund)</t>
  </si>
  <si>
    <t>ER99CU</t>
  </si>
  <si>
    <t>CF</t>
  </si>
  <si>
    <t>Nepal Peace Audit</t>
  </si>
  <si>
    <t>Core</t>
  </si>
  <si>
    <t>URF</t>
  </si>
  <si>
    <t>Earmarked (TH02AU and TH02ZU)</t>
  </si>
  <si>
    <t>TH02AU/ZU</t>
  </si>
  <si>
    <t>Core for Head of Advocacy</t>
  </si>
  <si>
    <t>TH02CU</t>
  </si>
  <si>
    <t>MDTF peace and conflict assessment</t>
  </si>
  <si>
    <t>SA99KU</t>
  </si>
  <si>
    <t xml:space="preserve">Strengthening impact of Small-Scale Cross-Border Trade (SSCBT) between Rwanda and DRC-survey </t>
  </si>
  <si>
    <t>AP41GR</t>
  </si>
  <si>
    <t>Trademark</t>
  </si>
  <si>
    <t>Unrestricted</t>
  </si>
  <si>
    <t>Plural business partnerships for peace</t>
  </si>
  <si>
    <t>EDACE pahse 2 bridging fund</t>
  </si>
  <si>
    <t>SA21JR</t>
  </si>
  <si>
    <t xml:space="preserve">Summary of Progress to 2015 Budget </t>
  </si>
  <si>
    <t xml:space="preserve">Summary of Progress to 2014 Budget </t>
  </si>
  <si>
    <t>Borders for All 2</t>
  </si>
  <si>
    <t>Likelihood</t>
  </si>
  <si>
    <t>Submission Date</t>
  </si>
  <si>
    <t>Duration</t>
  </si>
  <si>
    <t>Total</t>
  </si>
  <si>
    <t>%MF Required</t>
  </si>
  <si>
    <t xml:space="preserve">Unconfirmed Funding </t>
  </si>
  <si>
    <t>CVI</t>
  </si>
  <si>
    <t>UN Women IAGE project</t>
  </si>
  <si>
    <t>ER02RR</t>
  </si>
  <si>
    <t>Civil Society Crisis prevention initiative</t>
  </si>
  <si>
    <t>ER02QR</t>
  </si>
  <si>
    <t>EU-IFS</t>
  </si>
  <si>
    <t>United Nations</t>
  </si>
  <si>
    <t>Strengthening business for conflict sensitive social integration EDACE phase 1</t>
  </si>
  <si>
    <t>Earmarked</t>
  </si>
  <si>
    <t>SA99AU</t>
  </si>
  <si>
    <t>SA99ZU</t>
  </si>
  <si>
    <t>UK (EC project match funding)</t>
  </si>
  <si>
    <t>ME99AU</t>
  </si>
  <si>
    <t>ME98BU</t>
  </si>
  <si>
    <t>AP99AU</t>
  </si>
  <si>
    <t>Alert core</t>
  </si>
  <si>
    <t>Designated</t>
  </si>
  <si>
    <t>AP99ZU</t>
  </si>
  <si>
    <t>Challenge Fund</t>
  </si>
  <si>
    <t>Challenge Fund Mali</t>
  </si>
  <si>
    <t>AP99JU</t>
  </si>
  <si>
    <t>Alert challenge fund</t>
  </si>
  <si>
    <t>Challenge Fund Somalia</t>
  </si>
  <si>
    <t>AP99IU</t>
  </si>
  <si>
    <t>Thematic</t>
  </si>
  <si>
    <t>GRM Consultancy</t>
  </si>
  <si>
    <t>AP41HR</t>
  </si>
  <si>
    <t>SIDA Phase 2 extension</t>
  </si>
  <si>
    <t>SIDA PHASE 3 - INCEPTION</t>
  </si>
  <si>
    <t>AP51GR</t>
  </si>
  <si>
    <t>Harnessing the potential of oil to contribute to Uganda's peaceful development - Phase 2</t>
  </si>
  <si>
    <t>Promoting Conflict-Sensitive Socio-Economic Development and Better Local Governance in Northern Mali</t>
  </si>
  <si>
    <t>AP71BR</t>
  </si>
  <si>
    <t>ACPP</t>
  </si>
  <si>
    <t>MENA Regional &amp; Libya</t>
  </si>
  <si>
    <t>ME98AU</t>
  </si>
  <si>
    <t>ER15CR</t>
  </si>
  <si>
    <t>No More Violence</t>
  </si>
  <si>
    <t>ER20IR</t>
  </si>
  <si>
    <t>Peacebuilding Approach to Drug Trafficking: Afghanistan, Colombia, Nigeria</t>
  </si>
  <si>
    <t>Med</t>
  </si>
  <si>
    <t>OSF</t>
  </si>
  <si>
    <t>Advocacy</t>
  </si>
  <si>
    <t>Head of Advocacy</t>
  </si>
  <si>
    <t>Tackling Organised Crime/Peace Agreement - Mali</t>
  </si>
  <si>
    <t>High</t>
  </si>
  <si>
    <t>ERMES</t>
  </si>
  <si>
    <t>ER20HR</t>
  </si>
  <si>
    <t>Support to Good Resource Governance in Mali</t>
  </si>
  <si>
    <t>AP71CR</t>
  </si>
  <si>
    <t>GIZ</t>
  </si>
  <si>
    <t>Stabilisation Efforts deliver inclusive development and reconciliation in Mali</t>
  </si>
  <si>
    <t>AP71FR</t>
  </si>
  <si>
    <t>Kyrgyzstan</t>
  </si>
  <si>
    <t>TASK Consortium</t>
  </si>
  <si>
    <t>ER10DR</t>
  </si>
  <si>
    <t>Project ended, but not yet closed (last tranche due)</t>
  </si>
  <si>
    <t>UN</t>
  </si>
  <si>
    <t>Conflict Ideas Forum</t>
  </si>
  <si>
    <t>EP99DU</t>
  </si>
  <si>
    <t>Mali startup</t>
  </si>
  <si>
    <t>EP99BU</t>
  </si>
  <si>
    <t>Peacebuilding Approaches</t>
  </si>
  <si>
    <t>New Programme Development</t>
  </si>
  <si>
    <t>Alert UR</t>
  </si>
  <si>
    <t>CSSF</t>
  </si>
  <si>
    <t>CSSF Sahel Border Security</t>
  </si>
  <si>
    <t>AP71ER</t>
  </si>
  <si>
    <t>IRC Conflict sensitivity training</t>
  </si>
  <si>
    <t>AP71DR</t>
  </si>
  <si>
    <t>IRC</t>
  </si>
  <si>
    <t>ACPP Preventing GBV in Mogadishu - Year 3</t>
  </si>
  <si>
    <t>AP81BR</t>
  </si>
  <si>
    <t>Media Professionals as Agents for Change</t>
  </si>
  <si>
    <t>ER70CR</t>
  </si>
  <si>
    <t>Ukraine</t>
  </si>
  <si>
    <t>EU psycho-social rehabilitation</t>
  </si>
  <si>
    <t>Initiative for Youth-led Civic Dialogue and Action</t>
  </si>
  <si>
    <t xml:space="preserve">Business Advocacy for Peace </t>
  </si>
  <si>
    <t>ER05NR</t>
  </si>
  <si>
    <t>Earmarked UR (incl. Ukraine scoping grant)</t>
  </si>
  <si>
    <t>Specific ask re Liberia</t>
  </si>
  <si>
    <t>AP99KU</t>
  </si>
  <si>
    <t>Challenge Fund/ OIF</t>
  </si>
  <si>
    <t>Transnational Organised Crime and Human Security in Mali</t>
  </si>
  <si>
    <t>Low</t>
  </si>
  <si>
    <t>Dutch Knowledge Platform</t>
  </si>
  <si>
    <t>Impact of Drug Use on Violence and Conflict</t>
  </si>
  <si>
    <t>Arts</t>
  </si>
  <si>
    <t>Syrian Artists Peacebuilding Capacity</t>
  </si>
  <si>
    <t>British Council</t>
  </si>
  <si>
    <t xml:space="preserve">Europe </t>
  </si>
  <si>
    <t>Horizon 2020: young people, diaspora, gender</t>
  </si>
  <si>
    <t>Kenya OIF</t>
  </si>
  <si>
    <t>AP99LU</t>
  </si>
  <si>
    <t>Nigeria OIF</t>
  </si>
  <si>
    <t>AP99MU</t>
  </si>
  <si>
    <t>Minimising Conflict risk and Maximising Peace Dividends in the Bangsamoro</t>
  </si>
  <si>
    <t>SA94XR</t>
  </si>
  <si>
    <t>Aus DFAT</t>
  </si>
  <si>
    <t>Conflict sensitive business</t>
  </si>
  <si>
    <t>SA94YR</t>
  </si>
  <si>
    <t>ICCO</t>
  </si>
  <si>
    <t>Paving avenues for peace year 3</t>
  </si>
  <si>
    <t>SA94ZR</t>
  </si>
  <si>
    <t>Doing Politics Differently 2016</t>
  </si>
  <si>
    <t>Agreement</t>
  </si>
  <si>
    <t>Civil-military relations monitoring</t>
  </si>
  <si>
    <t>Aktis</t>
  </si>
  <si>
    <t>Countering Islamophobia</t>
  </si>
  <si>
    <t>DfID Multilaterals</t>
  </si>
  <si>
    <t>LGBTI Righs in Diaspora Communities</t>
  </si>
  <si>
    <t>Global Equality Fund</t>
  </si>
  <si>
    <t>Hybrid Security Systems</t>
  </si>
  <si>
    <t>Evidence based constituency building for peace</t>
  </si>
  <si>
    <t>TH05ER</t>
  </si>
  <si>
    <t>UNCONFIRMED</t>
  </si>
  <si>
    <t>Norway Embassy</t>
  </si>
  <si>
    <t>Bangsmoro Conflict Monitoring System extension</t>
  </si>
  <si>
    <t xml:space="preserve"> Unconfirmed Funding </t>
  </si>
  <si>
    <t>Jul-14 </t>
  </si>
  <si>
    <t>HIGHLY LIKELY (marked in bold)</t>
  </si>
  <si>
    <t>Youth recruitment by extremist groups</t>
  </si>
  <si>
    <t>EU - EIDHR</t>
  </si>
  <si>
    <t xml:space="preserve">Conflict Sensitivity - healthcare </t>
  </si>
  <si>
    <t>AFD</t>
  </si>
  <si>
    <t xml:space="preserve">Urban development for peace </t>
  </si>
  <si>
    <t>EU -DEVCO</t>
  </si>
  <si>
    <t>Bekaa Dialogue</t>
  </si>
  <si>
    <t>Swiss -FDFA</t>
  </si>
  <si>
    <t>Syria</t>
  </si>
  <si>
    <t>Tahdir</t>
  </si>
  <si>
    <t xml:space="preserve">Peace education </t>
  </si>
  <si>
    <t>Libya</t>
  </si>
  <si>
    <t>Libya Leadership Capacity</t>
  </si>
  <si>
    <t>ASI</t>
  </si>
  <si>
    <t>Inclusive Border Security Governance</t>
  </si>
  <si>
    <t>EU - IcPS</t>
  </si>
  <si>
    <t>Reducing Youth Vulnerability</t>
  </si>
  <si>
    <t>Danida</t>
  </si>
  <si>
    <t>Oxfam</t>
  </si>
  <si>
    <t>Citizen Voices Year 2016</t>
  </si>
  <si>
    <t>TOTAL CONFIRMED + HIGH LIKELY AGAINST BUDGET</t>
  </si>
  <si>
    <t>Myanmar capacity support</t>
  </si>
  <si>
    <t>SA99LU</t>
  </si>
  <si>
    <t>Mini peace audit and office support</t>
  </si>
  <si>
    <t xml:space="preserve">sri lanka </t>
  </si>
  <si>
    <t xml:space="preserve">Duration </t>
  </si>
  <si>
    <t>% MF Required</t>
  </si>
  <si>
    <t>Enhancing Human Security in Ukraine</t>
  </si>
  <si>
    <t>CSSF - Journalists top-up</t>
  </si>
  <si>
    <t>med</t>
  </si>
  <si>
    <t>Azerbaijan</t>
  </si>
  <si>
    <t>CSSF - CBDN top-up</t>
  </si>
  <si>
    <t>EPNK 3</t>
  </si>
  <si>
    <t>Peace Nexus (M&amp;E grant with PDFA)</t>
  </si>
  <si>
    <t>GI 11AR</t>
  </si>
  <si>
    <t>Peace Nexus</t>
  </si>
  <si>
    <t>Nov '14</t>
  </si>
  <si>
    <t>IFRC Consultancy (WDR)</t>
  </si>
  <si>
    <t>Note</t>
  </si>
  <si>
    <t>TOTAL UNCONFIRMED</t>
  </si>
  <si>
    <t>TOTAL CONFIRMED &amp; HIGHLY LIKELY AGAINST BUDGET</t>
  </si>
  <si>
    <t>*MF=Match Funding in Column H. Only enter  for EC-NSA, EIDHR calls or USAID  or other donor calls where contract specifies a co-financing match/ funding requirement.</t>
  </si>
  <si>
    <t>Supporting CS foresty management</t>
  </si>
  <si>
    <t>SC regional</t>
  </si>
  <si>
    <t xml:space="preserve">*MF=Match Funding in Column H. Only enter  for EC-NSA, EIDHR calls or USAID  or other donor where contract specifies a co-financing/ match funding requirement.                        </t>
  </si>
  <si>
    <t>TS01GR</t>
  </si>
  <si>
    <t>IFRC</t>
  </si>
  <si>
    <t>World Bank research consultancy</t>
  </si>
  <si>
    <t>TS01DR-FR</t>
  </si>
  <si>
    <t>Voluntary Principles secretariat for DRC</t>
  </si>
  <si>
    <t>Swiss Dev Coop</t>
  </si>
  <si>
    <t>Supporting inclusive and transparent governance for sustainable peace in DRC</t>
  </si>
  <si>
    <t>Medium</t>
  </si>
  <si>
    <t>\</t>
  </si>
  <si>
    <t>Gold mining for peace and development in Mali – pilot phase, Kayes</t>
  </si>
  <si>
    <t xml:space="preserve">High </t>
  </si>
  <si>
    <t>Asia Regional</t>
  </si>
  <si>
    <t>Conflict sensitive employment Afghanistan and Pakistan</t>
  </si>
  <si>
    <t>SA21IR</t>
  </si>
  <si>
    <t>Dutch /NWO</t>
  </si>
  <si>
    <t>EU/EC</t>
  </si>
  <si>
    <t xml:space="preserve">CMM Proposal </t>
  </si>
  <si>
    <t>Burundi</t>
  </si>
  <si>
    <t xml:space="preserve">Gender EIDHR </t>
  </si>
  <si>
    <t>EC</t>
  </si>
  <si>
    <t>Reconciliation and Reintegration in Burundi</t>
  </si>
  <si>
    <t>Misereor/BfTW</t>
  </si>
  <si>
    <t>PFOG support</t>
  </si>
  <si>
    <t>DGF</t>
  </si>
  <si>
    <t xml:space="preserve">Nigeria </t>
  </si>
  <si>
    <t>SIDA Phase 3</t>
  </si>
  <si>
    <t>Climate</t>
  </si>
  <si>
    <t>uk</t>
  </si>
  <si>
    <t>ACPP - further prospect</t>
  </si>
  <si>
    <t>PIP wide</t>
  </si>
  <si>
    <t xml:space="preserve">Swiss  </t>
  </si>
  <si>
    <t xml:space="preserve">Danish  </t>
  </si>
  <si>
    <t>Rwanda &amp; Buru</t>
  </si>
  <si>
    <t xml:space="preserve">Canada  </t>
  </si>
  <si>
    <t>Consultancy: King's College Course</t>
  </si>
  <si>
    <t xml:space="preserve">King's </t>
  </si>
  <si>
    <t>Consultancy: Cairo course</t>
  </si>
  <si>
    <t>Cairo Centre for Training</t>
  </si>
  <si>
    <t>Danish</t>
  </si>
  <si>
    <t>as above</t>
  </si>
  <si>
    <t>Sp-11</t>
  </si>
  <si>
    <t>IGAP (with PiP/Internatinal Institutions)</t>
  </si>
  <si>
    <t>ER10ER</t>
  </si>
  <si>
    <t>Alert / core</t>
  </si>
  <si>
    <t>TOTALS</t>
  </si>
  <si>
    <t>EP-thematic</t>
  </si>
  <si>
    <t>EP-wide</t>
  </si>
  <si>
    <t>incl carry fwd, SG7 &amp; Peace Nexus</t>
  </si>
  <si>
    <t xml:space="preserve">Eurasia </t>
  </si>
  <si>
    <t>MF Required</t>
  </si>
  <si>
    <t>Paving new avenues for peace</t>
  </si>
  <si>
    <t>SA94SR</t>
  </si>
  <si>
    <t>Norway</t>
  </si>
  <si>
    <t>Increasing Women’s representation in political participation in Sri Lanka</t>
  </si>
  <si>
    <t>Canadian Embassy</t>
  </si>
  <si>
    <t>na</t>
  </si>
  <si>
    <t>Australia</t>
  </si>
  <si>
    <t xml:space="preserve">Sri Lanka </t>
  </si>
  <si>
    <t>Governance and Security FW Agreement (Awaiting sub-contracts)</t>
  </si>
  <si>
    <t>CA regional</t>
  </si>
  <si>
    <t>DFID/Coffey</t>
  </si>
  <si>
    <t>Building Trust through Cross Community Collaborations project</t>
  </si>
  <si>
    <t>US state dept</t>
  </si>
  <si>
    <t>Jan'11</t>
  </si>
  <si>
    <t>Mar'14</t>
  </si>
  <si>
    <t xml:space="preserve">Liberia </t>
  </si>
  <si>
    <t>NGOs</t>
  </si>
  <si>
    <t>Aug'17</t>
  </si>
  <si>
    <t>Fragile &amp; Conflct Affected States FW Agreement (Awaiting Sub-contracts)</t>
  </si>
  <si>
    <t>Putting peace in the news</t>
  </si>
  <si>
    <t>Swiss</t>
  </si>
  <si>
    <t>JWF</t>
  </si>
  <si>
    <t>DFID DEPP - Conflict Sensitive Women Leadership in Disaster Preparedness</t>
  </si>
  <si>
    <t>Tackling political interference</t>
  </si>
  <si>
    <t>SDC/FCO</t>
  </si>
  <si>
    <t>Access to Justice</t>
  </si>
  <si>
    <t>Global Resilience Programme - Kenya</t>
  </si>
  <si>
    <t>Rockefeller</t>
  </si>
  <si>
    <t>Myanmar renewables research</t>
  </si>
  <si>
    <t>EU H2020 (Adelphi consortium)</t>
  </si>
  <si>
    <t>medium</t>
  </si>
  <si>
    <t>Economy and Peacebuilding</t>
  </si>
  <si>
    <t>GF</t>
  </si>
  <si>
    <t>OSF (Cross-Border Drug Trade)</t>
  </si>
  <si>
    <t>International Institutions Programme</t>
  </si>
  <si>
    <t>Accountable Education</t>
  </si>
  <si>
    <t>Conflict Sensitive Mulitateral Practice</t>
  </si>
  <si>
    <t>Swiss &amp; Finnish MFA</t>
  </si>
  <si>
    <t>AfDB Consultancy</t>
  </si>
  <si>
    <t>CS media</t>
  </si>
  <si>
    <t>approved</t>
  </si>
  <si>
    <t>FCO CS training</t>
  </si>
  <si>
    <t>Theatre for peace</t>
  </si>
  <si>
    <t>ENTRi Specialisation Course (CA/CS)</t>
  </si>
  <si>
    <t>low</t>
  </si>
  <si>
    <t>Paving avenues for peace yr 4</t>
  </si>
  <si>
    <t>EU H2020 Training (CREVIT)</t>
  </si>
  <si>
    <t xml:space="preserve">NWO Fragility Research </t>
  </si>
  <si>
    <t>Bangsmoro Conflict Monitoring System Phase 2</t>
  </si>
  <si>
    <t>Business for peace</t>
  </si>
  <si>
    <t>Peace Support Fund</t>
  </si>
  <si>
    <t>Mapping for B4P programme</t>
  </si>
  <si>
    <t>CSEG and voluntary principles</t>
  </si>
  <si>
    <t>Afghanistan</t>
  </si>
  <si>
    <t>Understanding drug trafficking from a peacebuilding perspective</t>
  </si>
  <si>
    <t>Strengthening women’s role in peace</t>
  </si>
  <si>
    <t>Regional</t>
  </si>
  <si>
    <t>SOAS borderlands research</t>
  </si>
  <si>
    <t>ESRC</t>
  </si>
  <si>
    <t>*MF=Match Funding in Column H. Only enter  for EC-NSA, EIDHR calls or USAID  or other donor calls where contract specifies a co-financing/ match funding requirement.</t>
  </si>
  <si>
    <t xml:space="preserve">TOTAL CONFIRMED + HIGH LIKELY AGAINST BUDGET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</si>
</sst>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* #,##0_-;\-* #,##0_-;_-* &quot;-&quot;??_-;_-@"/>
    <numFmt numFmtId="165" formatCode="_-* #,##0.00_-;\-* #,##0.00_-;_-* &quot;-&quot;??_-;_-@"/>
    <numFmt numFmtId="166" formatCode="d/m/yy"/>
    <numFmt numFmtId="167" formatCode="&quot;£&quot;#,##0"/>
    <numFmt numFmtId="168" formatCode="&quot;£&quot;#,##0;\-&quot;£&quot;#,##0"/>
    <numFmt numFmtId="169" formatCode="dd/mm/yy"/>
    <numFmt numFmtId="170" formatCode="_-* #,##0.0_-;\-* #,##0.0_-;_-* &quot;-&quot;??_-;_-@"/>
  </numFmts>
  <fonts count="56">
    <font>
      <sz val="11.0"/>
      <color rgb="FF000000"/>
      <name val="Calibri"/>
    </font>
    <font>
      <b/>
      <sz val="14.0"/>
      <color rgb="FFFFFFFF"/>
      <name val="Arial Narrow"/>
    </font>
    <font/>
    <font>
      <b/>
      <sz val="12.0"/>
      <color rgb="FF632423"/>
      <name val="Arial Narrow"/>
    </font>
    <font>
      <b/>
      <sz val="11.0"/>
      <color rgb="FF632423"/>
      <name val="Arial Narrow"/>
    </font>
    <font>
      <b/>
      <sz val="12.0"/>
      <color rgb="FFFFFFFF"/>
      <name val="Arial Narrow"/>
    </font>
    <font>
      <b/>
      <sz val="11.0"/>
      <color rgb="FF205867"/>
      <name val="Arial Narrow"/>
    </font>
    <font>
      <b/>
      <sz val="10.0"/>
      <color rgb="FF244061"/>
      <name val="Arial Narrow"/>
    </font>
    <font>
      <b/>
      <sz val="11.0"/>
      <color rgb="FF244061"/>
      <name val="Arial Narrow"/>
    </font>
    <font>
      <b/>
      <sz val="11.0"/>
      <name val="Arial Narrow"/>
    </font>
    <font>
      <sz val="9.0"/>
      <color rgb="FF000000"/>
      <name val="Calibri"/>
    </font>
    <font>
      <sz val="9.0"/>
      <name val="Arial Narrow"/>
    </font>
    <font>
      <sz val="10.0"/>
      <name val="Calibri"/>
    </font>
    <font>
      <b/>
      <sz val="10.0"/>
      <name val="Calibri"/>
    </font>
    <font>
      <sz val="10.0"/>
      <color rgb="FF000000"/>
      <name val="Arial Narrow"/>
    </font>
    <font>
      <sz val="10.0"/>
      <name val="Arial Narrow"/>
    </font>
    <font>
      <sz val="10.0"/>
      <color rgb="FFFFFFFF"/>
      <name val="Arial Narrow"/>
    </font>
    <font>
      <b/>
      <sz val="10.0"/>
      <name val="Arial Narrow"/>
    </font>
    <font>
      <b/>
      <sz val="10.0"/>
      <color rgb="FFFF0000"/>
      <name val="Calibri"/>
    </font>
    <font>
      <b/>
      <sz val="10.0"/>
      <color rgb="FFFF0000"/>
      <name val="Arial Narrow"/>
    </font>
    <font>
      <b/>
      <sz val="10.0"/>
      <color rgb="FF000000"/>
      <name val="Arial Narrow"/>
    </font>
    <font>
      <sz val="10.0"/>
      <color rgb="FFFFFFFF"/>
      <name val="Arial"/>
    </font>
    <font>
      <b/>
      <sz val="9.0"/>
      <name val="Arial Narrow"/>
    </font>
    <font>
      <sz val="9.0"/>
      <color rgb="FFFFFFFF"/>
      <name val="Arial Narrow"/>
    </font>
    <font>
      <b/>
      <sz val="12.0"/>
      <color rgb="FF205867"/>
      <name val="Arial Narrow"/>
    </font>
    <font>
      <b/>
      <sz val="11.0"/>
      <color rgb="FF17365D"/>
      <name val="Arial Narrow"/>
    </font>
    <font>
      <b/>
      <sz val="11.0"/>
      <color rgb="FFFFFFFF"/>
      <name val="Arial Narrow"/>
    </font>
    <font>
      <b/>
      <sz val="10.0"/>
      <color rgb="FFFFFFFF"/>
      <name val="Arial Narrow"/>
    </font>
    <font>
      <b/>
      <sz val="14.0"/>
      <color rgb="FF632423"/>
      <name val="Arial Narrow"/>
    </font>
    <font>
      <b/>
      <sz val="9.0"/>
      <name val="Calibri"/>
    </font>
    <font>
      <b/>
      <sz val="9.0"/>
      <color rgb="FF632423"/>
      <name val="Arial Narrow"/>
    </font>
    <font>
      <b/>
      <sz val="10.0"/>
      <color rgb="FF632423"/>
      <name val="Arial Narrow"/>
    </font>
    <font>
      <b/>
      <sz val="8.0"/>
      <name val="Arial Narrow"/>
    </font>
    <font>
      <sz val="10.0"/>
      <color rgb="FFFF0000"/>
      <name val="Arial Narrow"/>
    </font>
    <font>
      <b/>
      <sz val="9.0"/>
      <color rgb="FF000000"/>
      <name val="Calibri"/>
    </font>
    <font>
      <b/>
      <sz val="11.0"/>
      <color rgb="FF1F497D"/>
      <name val="Arial Narrow"/>
    </font>
    <font>
      <sz val="9.0"/>
      <color rgb="FF000000"/>
      <name val="Arial Narrow"/>
    </font>
    <font>
      <b/>
      <sz val="11.0"/>
      <color rgb="FF244061"/>
      <name val="Arial"/>
    </font>
    <font>
      <sz val="11.0"/>
      <color rgb="FF1F497D"/>
      <name val="Arial"/>
    </font>
    <font>
      <sz val="11.0"/>
      <name val="Arial"/>
    </font>
    <font>
      <sz val="9.0"/>
      <color rgb="FFFF0000"/>
      <name val="Calibri"/>
    </font>
    <font>
      <b/>
      <sz val="9.0"/>
      <color rgb="FF000000"/>
      <name val="Arial Narrow"/>
    </font>
    <font>
      <b/>
      <sz val="10.0"/>
      <color rgb="FF000000"/>
      <name val="Arial"/>
    </font>
    <font>
      <b/>
      <sz val="8.0"/>
      <color rgb="FF632423"/>
      <name val="Arial Narrow"/>
    </font>
    <font>
      <sz val="10.0"/>
      <color rgb="FF632423"/>
      <name val="Calibri"/>
    </font>
    <font>
      <sz val="9.0"/>
      <color rgb="FF632423"/>
      <name val="Calibri"/>
    </font>
    <font>
      <b/>
      <sz val="11.0"/>
      <color rgb="FF000000"/>
      <name val="Calibri"/>
    </font>
    <font>
      <b/>
      <sz val="10.0"/>
      <name val="Arial"/>
    </font>
    <font>
      <sz val="11.0"/>
      <name val="Arial Narrow"/>
    </font>
    <font>
      <b/>
      <sz val="10.0"/>
      <color rgb="FFC0504D"/>
      <name val="Arial"/>
    </font>
    <font>
      <sz val="8.0"/>
      <name val="Arial Narrow"/>
    </font>
    <font>
      <sz val="10.0"/>
      <color rgb="FF000000"/>
      <name val="Calibri"/>
    </font>
    <font>
      <sz val="8.0"/>
      <color rgb="FF000000"/>
      <name val="Calibri"/>
    </font>
    <font>
      <sz val="11.0"/>
      <name val="Calibri"/>
    </font>
    <font>
      <b/>
      <sz val="11.0"/>
      <name val="Calibri"/>
    </font>
    <font>
      <sz val="11.0"/>
      <color rgb="FFFF0000"/>
      <name val="Calibri"/>
    </font>
  </fonts>
  <fills count="26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C0504D"/>
        <bgColor rgb="FFC0504D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800000"/>
        <bgColor rgb="FF800000"/>
      </patternFill>
    </fill>
    <fill>
      <patternFill patternType="solid">
        <fgColor rgb="FF366092"/>
        <bgColor rgb="FF366092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974806"/>
        <bgColor rgb="FF974806"/>
      </patternFill>
    </fill>
    <fill>
      <patternFill patternType="solid">
        <fgColor rgb="FF76923C"/>
        <bgColor rgb="FF76923C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</fills>
  <borders count="296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left style="medium">
        <color rgb="FF632423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17365D"/>
      </left>
      <right/>
      <top style="thick">
        <color rgb="FF17365D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632423"/>
      </right>
      <top style="medium">
        <color rgb="FF000000"/>
      </top>
      <bottom/>
    </border>
    <border>
      <left style="medium">
        <color rgb="FF632423"/>
      </left>
      <right/>
      <top style="medium">
        <color rgb="FF000000"/>
      </top>
      <bottom style="thick">
        <color rgb="FF000000"/>
      </bottom>
    </border>
    <border>
      <left/>
      <right/>
      <top style="thick">
        <color rgb="FF17365D"/>
      </top>
      <bottom/>
    </border>
    <border>
      <left/>
      <right style="thick">
        <color rgb="FF000080"/>
      </right>
      <top style="thick">
        <color rgb="FF17365D"/>
      </top>
      <bottom/>
    </border>
    <border>
      <left/>
      <right style="thick">
        <color rgb="FF17365D"/>
      </right>
      <top style="thick">
        <color rgb="FF17365D"/>
      </top>
      <bottom/>
    </border>
    <border>
      <left style="thick">
        <color rgb="FF17365D"/>
      </left>
      <right/>
      <top style="medium">
        <color rgb="FF0F243E"/>
      </top>
      <bottom style="medium">
        <color rgb="FF000000"/>
      </bottom>
    </border>
    <border>
      <left/>
      <right style="thick">
        <color rgb="FF17365D"/>
      </right>
      <top style="medium">
        <color rgb="FF0F243E"/>
      </top>
      <bottom style="medium">
        <color rgb="FF000000"/>
      </bottom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medium">
        <color rgb="FF632423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/>
    </border>
    <border>
      <left style="medium">
        <color rgb="FF632423"/>
      </left>
      <right/>
      <top style="thick">
        <color rgb="FF000000"/>
      </top>
      <bottom/>
    </border>
    <border>
      <left/>
      <right style="medium">
        <color rgb="FF632423"/>
      </right>
      <top style="thick">
        <color rgb="FF000000"/>
      </top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/>
      <top style="medium">
        <color rgb="FF0F243E"/>
      </top>
      <bottom style="medium">
        <color rgb="FF000000"/>
      </bottom>
    </border>
    <border>
      <left/>
      <right style="thick">
        <color rgb="FF366092"/>
      </right>
      <top style="medium">
        <color rgb="FF0F243E"/>
      </top>
      <bottom style="medium">
        <color rgb="FF000000"/>
      </bottom>
    </border>
    <border>
      <left style="thick">
        <color rgb="FF366092"/>
      </left>
      <right/>
      <top style="medium">
        <color rgb="FF0F243E"/>
      </top>
      <bottom style="thick">
        <color rgb="FF366092"/>
      </bottom>
    </border>
    <border>
      <left/>
      <right/>
      <top style="medium">
        <color rgb="FF0F243E"/>
      </top>
      <bottom style="thick">
        <color rgb="FF366092"/>
      </bottom>
    </border>
    <border>
      <left/>
      <right style="thick">
        <color rgb="FF000080"/>
      </right>
      <top style="medium">
        <color rgb="FF0F243E"/>
      </top>
      <bottom style="thick">
        <color rgb="FF366092"/>
      </bottom>
    </border>
    <border>
      <left style="thick">
        <color rgb="FF000080"/>
      </left>
      <right/>
      <top style="medium">
        <color rgb="FF0F243E"/>
      </top>
      <bottom style="thick">
        <color rgb="FF17365D"/>
      </bottom>
    </border>
    <border>
      <left/>
      <right/>
      <top style="medium">
        <color rgb="FF0F243E"/>
      </top>
      <bottom style="thick">
        <color rgb="FF17365D"/>
      </bottom>
    </border>
    <border>
      <left/>
      <right style="thick">
        <color rgb="FF17365D"/>
      </right>
      <top style="medium">
        <color rgb="FF0F243E"/>
      </top>
      <bottom style="thick">
        <color rgb="FF17365D"/>
      </bottom>
    </border>
    <border>
      <left style="thick">
        <color rgb="FF17365D"/>
      </left>
      <right/>
      <top style="medium">
        <color rgb="FF000080"/>
      </top>
      <bottom style="thick">
        <color rgb="FF000080"/>
      </bottom>
    </border>
    <border>
      <left style="thick">
        <color rgb="FF000080"/>
      </left>
      <right style="thick">
        <color rgb="FF17365D"/>
      </right>
      <top style="medium">
        <color rgb="FF000000"/>
      </top>
      <bottom/>
    </border>
    <border>
      <left/>
      <right style="thick">
        <color rgb="FF366092"/>
      </right>
      <top style="medium">
        <color rgb="FF000000"/>
      </top>
      <bottom/>
    </border>
    <border>
      <left/>
      <right style="medium">
        <color rgb="FF632423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366092"/>
      </left>
      <right/>
      <top style="thick">
        <color rgb="FF366092"/>
      </top>
      <bottom style="thick">
        <color rgb="FF366092"/>
      </bottom>
    </border>
    <border>
      <left style="thick">
        <color rgb="FF366092"/>
      </left>
      <right style="thick">
        <color rgb="FF366092"/>
      </right>
      <top style="thick">
        <color rgb="FF366092"/>
      </top>
      <bottom style="thick">
        <color rgb="FF366092"/>
      </bottom>
    </border>
    <border>
      <left/>
      <right style="thick">
        <color rgb="FF000080"/>
      </right>
      <top style="thick">
        <color rgb="FF366092"/>
      </top>
      <bottom style="thick">
        <color rgb="FF366092"/>
      </bottom>
    </border>
    <border>
      <left style="thick">
        <color rgb="FF000080"/>
      </left>
      <right style="medium">
        <color rgb="FF000080"/>
      </right>
      <top style="thick">
        <color rgb="FF17365D"/>
      </top>
      <bottom style="thick">
        <color rgb="FF366092"/>
      </bottom>
    </border>
    <border>
      <left/>
      <right style="thin">
        <color rgb="FF000000"/>
      </right>
      <top style="thick">
        <color rgb="FF17365D"/>
      </top>
      <bottom style="thick">
        <color rgb="FF366092"/>
      </bottom>
    </border>
    <border>
      <left/>
      <right style="thick">
        <color rgb="FF17365D"/>
      </right>
      <top style="thick">
        <color rgb="FF17365D"/>
      </top>
      <bottom style="thick">
        <color rgb="FF366092"/>
      </bottom>
    </border>
    <border>
      <left style="thick">
        <color rgb="FF17365D"/>
      </left>
      <right/>
      <top style="thick">
        <color rgb="FF000080"/>
      </top>
      <bottom style="thick">
        <color rgb="FF000080"/>
      </bottom>
    </border>
    <border>
      <left/>
      <right/>
      <top style="medium">
        <color rgb="FF000000"/>
      </top>
      <bottom style="medium">
        <color rgb="FF000000"/>
      </bottom>
    </border>
    <border>
      <left style="thick">
        <color rgb="FF000080"/>
      </left>
      <right style="thick">
        <color rgb="FF17365D"/>
      </right>
      <top style="thick">
        <color rgb="FF000080"/>
      </top>
      <bottom style="thick">
        <color rgb="FF000080"/>
      </bottom>
    </border>
    <border>
      <left style="thick">
        <color rgb="FF000000"/>
      </left>
      <right style="thick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366092"/>
      </right>
      <top style="thick">
        <color rgb="FF000080"/>
      </top>
      <bottom style="thick">
        <color rgb="FF000080"/>
      </bottom>
    </border>
    <border>
      <left/>
      <right style="thick">
        <color rgb="FF366092"/>
      </right>
      <top style="thick">
        <color rgb="FF000080"/>
      </top>
      <bottom style="thick">
        <color rgb="FF000080"/>
      </bottom>
    </border>
    <border>
      <left style="medium">
        <color rgb="FF000000"/>
      </left>
      <right/>
      <top/>
      <bottom style="medium">
        <color rgb="FF000000"/>
      </bottom>
    </border>
    <border>
      <left style="thick">
        <color rgb="FF366092"/>
      </left>
      <right style="thin">
        <color rgb="FF366092"/>
      </right>
      <top style="thick">
        <color rgb="FF000080"/>
      </top>
      <bottom style="thick">
        <color rgb="FF00008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366092"/>
      </left>
      <right style="thick">
        <color rgb="FF366092"/>
      </right>
      <top style="thick">
        <color rgb="FF000080"/>
      </top>
      <bottom style="thick">
        <color rgb="FF000080"/>
      </bottom>
    </border>
    <border>
      <left/>
      <right style="thick">
        <color rgb="FF000080"/>
      </right>
      <top style="thick">
        <color rgb="FF000080"/>
      </top>
      <bottom style="thick">
        <color rgb="FF000080"/>
      </bottom>
    </border>
    <border>
      <left/>
      <right style="medium">
        <color rgb="FF244061"/>
      </right>
      <top style="thick">
        <color rgb="FF000080"/>
      </top>
      <bottom style="thick">
        <color rgb="FF00008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ck">
        <color rgb="FF000080"/>
      </top>
      <bottom style="thick">
        <color rgb="FF00008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ck">
        <color rgb="FF17365D"/>
      </right>
      <top style="thick">
        <color rgb="FF000080"/>
      </top>
      <bottom style="thick">
        <color rgb="FF000080"/>
      </bottom>
    </border>
    <border>
      <left style="thick">
        <color rgb="FF17365D"/>
      </left>
      <right/>
      <top style="medium">
        <color rgb="FF17365D"/>
      </top>
      <bottom style="medium">
        <color rgb="FF000080"/>
      </bottom>
    </border>
    <border>
      <left/>
      <right/>
      <top/>
      <bottom style="medium">
        <color rgb="FF000000"/>
      </bottom>
    </border>
    <border>
      <left style="thick">
        <color rgb="FF000080"/>
      </left>
      <right style="thick">
        <color rgb="FF17365D"/>
      </right>
      <top style="medium">
        <color rgb="FF17365D"/>
      </top>
      <bottom style="medium">
        <color rgb="FF000080"/>
      </bottom>
    </border>
    <border>
      <left style="thick">
        <color rgb="FF17365D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366092"/>
      </right>
      <top style="medium">
        <color rgb="FF17365D"/>
      </top>
      <bottom style="medium">
        <color rgb="FF00008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/>
      <right style="thick">
        <color rgb="FF366092"/>
      </right>
      <top style="medium">
        <color rgb="FF17365D"/>
      </top>
      <bottom style="medium">
        <color rgb="FF000080"/>
      </bottom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ck">
        <color rgb="FF000080"/>
      </left>
      <right style="thick">
        <color rgb="FF17365D"/>
      </right>
      <top/>
      <bottom/>
    </border>
    <border>
      <left/>
      <right style="thin">
        <color rgb="FF366092"/>
      </right>
      <top/>
      <bottom/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366092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ck">
        <color rgb="FF366092"/>
      </left>
      <right style="thin">
        <color rgb="FF366092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632423"/>
      </right>
      <top/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366092"/>
      </left>
      <right style="thin">
        <color rgb="FF366092"/>
      </right>
      <top style="medium">
        <color rgb="FF17365D"/>
      </top>
      <bottom style="medium">
        <color rgb="FF000080"/>
      </bottom>
    </border>
    <border>
      <left style="thick">
        <color rgb="FF366092"/>
      </left>
      <right style="thick">
        <color rgb="FF366092"/>
      </right>
      <top/>
      <bottom/>
    </border>
    <border>
      <left/>
      <right style="thick">
        <color rgb="FF000080"/>
      </right>
      <top/>
      <bottom/>
    </border>
    <border>
      <left/>
      <right style="medium">
        <color rgb="FF244061"/>
      </right>
      <top/>
      <bottom/>
    </border>
    <border>
      <left/>
      <right style="thick">
        <color rgb="FF17365D"/>
      </right>
      <top/>
      <bottom/>
    </border>
    <border>
      <left style="thick">
        <color rgb="FF17365D"/>
      </left>
      <right/>
      <top/>
      <bottom style="medium">
        <color rgb="FF000080"/>
      </bottom>
    </border>
    <border>
      <left style="thick">
        <color rgb="FF000080"/>
      </left>
      <right style="thick">
        <color rgb="FF17365D"/>
      </right>
      <top/>
      <bottom style="medium">
        <color rgb="FF000080"/>
      </bottom>
    </border>
    <border>
      <left/>
      <right style="thin">
        <color rgb="FF366092"/>
      </right>
      <top/>
      <bottom style="medium">
        <color rgb="FF00008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366092"/>
      </left>
      <right style="thick">
        <color rgb="FF366092"/>
      </right>
      <top style="medium">
        <color rgb="FF17365D"/>
      </top>
      <bottom style="medium">
        <color rgb="FF000080"/>
      </bottom>
    </border>
    <border>
      <left/>
      <right style="thick">
        <color rgb="FF000080"/>
      </right>
      <top style="medium">
        <color rgb="FF17365D"/>
      </top>
      <bottom style="medium">
        <color rgb="FF000080"/>
      </bottom>
    </border>
    <border>
      <left/>
      <right style="medium">
        <color rgb="FF244061"/>
      </right>
      <top style="medium">
        <color rgb="FF17365D"/>
      </top>
      <bottom style="medium">
        <color rgb="FF000080"/>
      </bottom>
    </border>
    <border>
      <left/>
      <right style="thin">
        <color rgb="FF000000"/>
      </right>
      <top style="medium">
        <color rgb="FF17365D"/>
      </top>
      <bottom style="medium">
        <color rgb="FF00008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/>
    </border>
    <border>
      <left/>
      <right style="thick">
        <color rgb="FF17365D"/>
      </right>
      <top style="medium">
        <color rgb="FF17365D"/>
      </top>
      <bottom style="medium">
        <color rgb="FF000080"/>
      </bottom>
    </border>
    <border>
      <left style="thick">
        <color rgb="FF17365D"/>
      </left>
      <right/>
      <top style="medium">
        <color rgb="FF000080"/>
      </top>
      <bottom style="medium">
        <color rgb="FF00008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ck">
        <color rgb="FF366092"/>
      </right>
      <top/>
      <bottom style="medium">
        <color rgb="FF000080"/>
      </bottom>
    </border>
    <border>
      <left style="thick">
        <color rgb="FF366092"/>
      </left>
      <right style="thin">
        <color rgb="FF366092"/>
      </right>
      <top/>
      <bottom style="medium">
        <color rgb="FF000080"/>
      </bottom>
    </border>
    <border>
      <left style="thick">
        <color rgb="FF366092"/>
      </left>
      <right style="thick">
        <color rgb="FF366092"/>
      </right>
      <top/>
      <bottom style="medium">
        <color rgb="FF000080"/>
      </bottom>
    </border>
    <border>
      <left style="medium">
        <color rgb="FF632423"/>
      </left>
      <right/>
      <top style="thick">
        <color rgb="FF000000"/>
      </top>
      <bottom style="medium">
        <color rgb="FF000000"/>
      </bottom>
    </border>
    <border>
      <left/>
      <right style="medium">
        <color rgb="FF632423"/>
      </right>
      <top style="thick">
        <color rgb="FF000000"/>
      </top>
      <bottom style="medium">
        <color rgb="FF000000"/>
      </bottom>
    </border>
    <border>
      <left style="medium">
        <color rgb="FF632423"/>
      </left>
      <right/>
      <top/>
      <bottom style="medium">
        <color rgb="FF000000"/>
      </bottom>
    </border>
    <border>
      <left/>
      <right style="thick">
        <color rgb="FF000080"/>
      </right>
      <top/>
      <bottom style="medium">
        <color rgb="FF000080"/>
      </bottom>
    </border>
    <border>
      <left/>
      <right style="medium">
        <color rgb="FF244061"/>
      </right>
      <top/>
      <bottom style="medium">
        <color rgb="FF000080"/>
      </bottom>
    </border>
    <border>
      <left style="thick">
        <color rgb="FF000080"/>
      </left>
      <right style="thick">
        <color rgb="FF17365D"/>
      </right>
      <top style="medium">
        <color rgb="FF000080"/>
      </top>
      <bottom style="medium">
        <color rgb="FF00008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366092"/>
      </right>
      <top style="medium">
        <color rgb="FF000080"/>
      </top>
      <bottom style="medium">
        <color rgb="FF000080"/>
      </bottom>
    </border>
    <border>
      <left/>
      <right style="thick">
        <color rgb="FF366092"/>
      </right>
      <top style="medium">
        <color rgb="FF000080"/>
      </top>
      <bottom style="medium">
        <color rgb="FF00008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/>
      <right style="thick">
        <color rgb="FF17365D"/>
      </right>
      <top/>
      <bottom style="medium">
        <color rgb="FF000080"/>
      </bottom>
    </border>
    <border>
      <left style="thick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 style="thick">
        <color rgb="FF366092"/>
      </left>
      <right style="thin">
        <color rgb="FF366092"/>
      </right>
      <top style="medium">
        <color rgb="FF000080"/>
      </top>
      <bottom style="medium">
        <color rgb="FF000080"/>
      </bottom>
    </border>
    <border>
      <left style="thick">
        <color rgb="FF366092"/>
      </left>
      <right style="thick">
        <color rgb="FF366092"/>
      </right>
      <top style="medium">
        <color rgb="FF000080"/>
      </top>
      <bottom style="medium">
        <color rgb="FF000080"/>
      </bottom>
    </border>
    <border>
      <left/>
      <right style="thick">
        <color rgb="FF000080"/>
      </right>
      <top style="medium">
        <color rgb="FF000080"/>
      </top>
      <bottom style="medium">
        <color rgb="FF000080"/>
      </bottom>
    </border>
    <border>
      <left/>
      <right style="medium">
        <color rgb="FF244061"/>
      </right>
      <top style="medium">
        <color rgb="FF000080"/>
      </top>
      <bottom style="medium">
        <color rgb="FF000080"/>
      </bottom>
    </border>
    <border>
      <left/>
      <right style="thin">
        <color rgb="FF000000"/>
      </right>
      <top style="medium">
        <color rgb="FF000080"/>
      </top>
      <bottom style="medium">
        <color rgb="FF00008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17365D"/>
      </left>
      <right/>
      <top style="medium">
        <color rgb="FF000080"/>
      </top>
      <bottom/>
    </border>
    <border>
      <left style="thick">
        <color rgb="FF000080"/>
      </left>
      <right style="thick">
        <color rgb="FF17365D"/>
      </right>
      <top style="medium">
        <color rgb="FF000080"/>
      </top>
      <bottom/>
    </border>
    <border>
      <left style="thick">
        <color rgb="FF000000"/>
      </left>
      <right style="medium">
        <color rgb="FF000000"/>
      </right>
      <top/>
      <bottom/>
    </border>
    <border>
      <left style="thick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medium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double">
        <color rgb="FF000000"/>
      </top>
      <bottom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366092"/>
      </right>
      <top style="medium">
        <color rgb="FF000080"/>
      </top>
      <bottom/>
    </border>
    <border>
      <left/>
      <right style="thick">
        <color rgb="FF366092"/>
      </right>
      <top style="medium">
        <color rgb="FF000080"/>
      </top>
      <bottom/>
    </border>
    <border>
      <left style="thick">
        <color rgb="FF366092"/>
      </left>
      <right style="thin">
        <color rgb="FF366092"/>
      </right>
      <top style="medium">
        <color rgb="FF000080"/>
      </top>
      <bottom/>
    </border>
    <border>
      <left style="thick">
        <color rgb="FF366092"/>
      </left>
      <right style="thick">
        <color rgb="FF366092"/>
      </right>
      <top style="medium">
        <color rgb="FF000080"/>
      </top>
      <bottom/>
    </border>
    <border>
      <left style="thick">
        <color rgb="FF000000"/>
      </left>
      <right/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80"/>
      </left>
      <right style="medium">
        <color rgb="FF244061"/>
      </right>
      <top style="medium">
        <color rgb="FF000080"/>
      </top>
      <bottom/>
    </border>
    <border>
      <left style="medium">
        <color rgb="FF244061"/>
      </left>
      <right style="thin">
        <color rgb="FF000000"/>
      </right>
      <top style="medium">
        <color rgb="FF000080"/>
      </top>
      <bottom/>
    </border>
    <border>
      <left style="thin">
        <color rgb="FF000000"/>
      </left>
      <right style="thick">
        <color rgb="FF17365D"/>
      </right>
      <top style="medium">
        <color rgb="FF000080"/>
      </top>
      <bottom/>
    </border>
    <border>
      <left/>
      <right/>
      <top style="thin">
        <color rgb="FF000000"/>
      </top>
      <bottom/>
    </border>
    <border>
      <left style="thick">
        <color rgb="FF17365D"/>
      </left>
      <right/>
      <top style="medium">
        <color rgb="FF000080"/>
      </top>
      <bottom style="thick">
        <color rgb="FF17365D"/>
      </bottom>
    </border>
    <border>
      <left style="thick">
        <color rgb="FF000080"/>
      </left>
      <right style="thick">
        <color rgb="FF17365D"/>
      </right>
      <top style="medium">
        <color rgb="FF000080"/>
      </top>
      <bottom style="thick">
        <color rgb="FF17365D"/>
      </bottom>
    </border>
    <border>
      <left/>
      <right style="thin">
        <color rgb="FF366092"/>
      </right>
      <top style="medium">
        <color rgb="FF000080"/>
      </top>
      <bottom style="thick">
        <color rgb="FF17365D"/>
      </bottom>
    </border>
    <border>
      <left/>
      <right style="thick">
        <color rgb="FF366092"/>
      </right>
      <top style="medium">
        <color rgb="FF000080"/>
      </top>
      <bottom style="thick">
        <color rgb="FF17365D"/>
      </bottom>
    </border>
    <border>
      <left style="thick">
        <color rgb="FF366092"/>
      </left>
      <right style="thin">
        <color rgb="FF366092"/>
      </right>
      <top style="medium">
        <color rgb="FF000080"/>
      </top>
      <bottom style="thick">
        <color rgb="FF17365D"/>
      </bottom>
    </border>
    <border>
      <left/>
      <right style="thick">
        <color rgb="FF17365D"/>
      </right>
      <top style="medium">
        <color rgb="FF000080"/>
      </top>
      <bottom style="medium">
        <color rgb="FF000080"/>
      </bottom>
    </border>
    <border>
      <left style="thin">
        <color rgb="FF000000"/>
      </left>
      <right style="medium">
        <color rgb="FF000000"/>
      </right>
      <top/>
      <bottom style="double">
        <color rgb="FF000000"/>
      </bottom>
    </border>
    <border>
      <left style="thick">
        <color rgb="FF366092"/>
      </left>
      <right style="thick">
        <color rgb="FF366092"/>
      </right>
      <top style="medium">
        <color rgb="FF000080"/>
      </top>
      <bottom style="thick">
        <color rgb="FF17365D"/>
      </bottom>
    </border>
    <border>
      <left style="thick">
        <color rgb="FF000080"/>
      </left>
      <right style="medium">
        <color rgb="FF244061"/>
      </right>
      <top/>
      <bottom style="thick">
        <color rgb="FF17365D"/>
      </bottom>
    </border>
    <border>
      <left style="medium">
        <color rgb="FF244061"/>
      </left>
      <right style="thin">
        <color rgb="FF000000"/>
      </right>
      <top/>
      <bottom style="thick">
        <color rgb="FF17365D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17365D"/>
      </right>
      <top/>
      <bottom style="medium">
        <color rgb="FF00008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/>
    </border>
    <border>
      <left style="thick">
        <color rgb="FF000000"/>
      </left>
      <right style="medium">
        <color rgb="FF000000"/>
      </right>
      <top/>
      <bottom style="thin">
        <color rgb="FF000000"/>
      </bottom>
    </border>
    <border>
      <left/>
      <right style="thick">
        <color rgb="FF000000"/>
      </right>
      <top style="medium">
        <color rgb="FF000000"/>
      </top>
      <bottom/>
    </border>
    <border>
      <left/>
      <right style="thick">
        <color rgb="FF000080"/>
      </right>
      <top style="medium">
        <color rgb="FF000080"/>
      </top>
      <bottom style="thick">
        <color rgb="FF17365D"/>
      </bottom>
    </border>
    <border>
      <left/>
      <right style="medium">
        <color rgb="FF244061"/>
      </right>
      <top style="medium">
        <color rgb="FF000080"/>
      </top>
      <bottom style="thick">
        <color rgb="FF17365D"/>
      </bottom>
    </border>
    <border>
      <left/>
      <right style="thick">
        <color rgb="FF17365D"/>
      </right>
      <top style="medium">
        <color rgb="FF000080"/>
      </top>
      <bottom style="thick">
        <color rgb="FF17365D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 style="medium">
        <color rgb="FF000000"/>
      </right>
      <top style="double">
        <color rgb="FF000000"/>
      </top>
      <bottom style="thin">
        <color rgb="FF000000"/>
      </bottom>
    </border>
    <border>
      <left/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medium">
        <color rgb="FF632423"/>
      </bottom>
    </border>
    <border>
      <left/>
      <right/>
      <top style="thick">
        <color rgb="FF000000"/>
      </top>
      <bottom style="medium">
        <color rgb="FF632423"/>
      </bottom>
    </border>
    <border>
      <left/>
      <right style="medium">
        <color rgb="FF632423"/>
      </right>
      <top style="thick">
        <color rgb="FF000000"/>
      </top>
      <bottom style="medium">
        <color rgb="FF63242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double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632423"/>
      </left>
      <right style="medium">
        <color rgb="FF632423"/>
      </right>
      <top style="thick">
        <color rgb="FF000000"/>
      </top>
      <bottom style="medium">
        <color rgb="FF632423"/>
      </bottom>
    </border>
    <border>
      <left style="medium">
        <color rgb="FF632423"/>
      </left>
      <right style="thick">
        <color rgb="FF000000"/>
      </right>
      <top style="thick">
        <color rgb="FF000000"/>
      </top>
      <bottom style="medium">
        <color rgb="FF632423"/>
      </bottom>
    </border>
    <border>
      <left style="thick">
        <color rgb="FF000000"/>
      </left>
      <right/>
      <top style="medium">
        <color rgb="FF632423"/>
      </top>
      <bottom style="medium">
        <color rgb="FF632423"/>
      </bottom>
    </border>
    <border>
      <left/>
      <right/>
      <top style="medium">
        <color rgb="FF632423"/>
      </top>
      <bottom style="medium">
        <color rgb="FF632423"/>
      </bottom>
    </border>
    <border>
      <left/>
      <right style="medium">
        <color rgb="FF632423"/>
      </right>
      <top style="medium">
        <color rgb="FF632423"/>
      </top>
      <bottom style="medium">
        <color rgb="FF632423"/>
      </bottom>
    </border>
    <border>
      <left style="medium">
        <color rgb="FF632423"/>
      </left>
      <right style="medium">
        <color rgb="FF632423"/>
      </right>
      <top style="medium">
        <color rgb="FF632423"/>
      </top>
      <bottom style="medium">
        <color rgb="FF632423"/>
      </bottom>
    </border>
    <border>
      <left style="medium">
        <color rgb="FF632423"/>
      </left>
      <right style="thick">
        <color rgb="FF000000"/>
      </right>
      <top style="medium">
        <color rgb="FF632423"/>
      </top>
      <bottom style="medium">
        <color rgb="FF632423"/>
      </bottom>
    </border>
    <border>
      <left style="thick">
        <color rgb="FF000000"/>
      </left>
      <right/>
      <top style="medium">
        <color rgb="FF632423"/>
      </top>
      <bottom/>
    </border>
    <border>
      <left/>
      <right/>
      <top style="medium">
        <color rgb="FF632423"/>
      </top>
      <bottom/>
    </border>
    <border>
      <left/>
      <right style="medium">
        <color rgb="FF632423"/>
      </right>
      <top style="medium">
        <color rgb="FF632423"/>
      </top>
      <bottom/>
    </border>
    <border>
      <left/>
      <right style="medium">
        <color rgb="FF632423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double">
        <color rgb="FF000000"/>
      </top>
      <bottom/>
    </border>
    <border>
      <left style="thick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/>
      <top style="double">
        <color rgb="FF000000"/>
      </top>
      <bottom style="thin">
        <color rgb="FF000000"/>
      </bottom>
    </border>
    <border>
      <left style="medium">
        <color rgb="FF632423"/>
      </left>
      <right style="medium">
        <color rgb="FF632423"/>
      </right>
      <top style="medium">
        <color rgb="FF632423"/>
      </top>
      <bottom style="thick">
        <color rgb="FF000000"/>
      </bottom>
    </border>
    <border>
      <left style="medium">
        <color rgb="FF632423"/>
      </left>
      <right style="thick">
        <color rgb="FF000000"/>
      </right>
      <top style="medium">
        <color rgb="FF632423"/>
      </top>
      <bottom style="thick">
        <color rgb="FF000000"/>
      </bottom>
    </border>
    <border>
      <left style="thick">
        <color rgb="FF000000"/>
      </left>
      <right style="medium">
        <color rgb="FF632423"/>
      </right>
      <top style="medium">
        <color rgb="FF632423"/>
      </top>
      <bottom style="medium">
        <color rgb="FF632423"/>
      </bottom>
    </border>
    <border>
      <left style="medium">
        <color rgb="FF632423"/>
      </left>
      <right style="medium">
        <color rgb="FF632423"/>
      </right>
      <top style="medium">
        <color rgb="FF632423"/>
      </top>
      <bottom style="thick">
        <color rgb="FF632423"/>
      </bottom>
    </border>
    <border>
      <left style="medium">
        <color rgb="FF632423"/>
      </left>
      <right style="thick">
        <color rgb="FF000000"/>
      </right>
      <top style="medium">
        <color rgb="FF632423"/>
      </top>
      <bottom style="thick">
        <color rgb="FF632423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medium">
        <color rgb="FF000000"/>
      </right>
      <top style="thin">
        <color rgb="FF000000"/>
      </top>
      <bottom style="double">
        <color rgb="FF9933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993300"/>
      </bottom>
    </border>
    <border>
      <left style="medium">
        <color rgb="FF000000"/>
      </left>
      <right/>
      <top style="thin">
        <color rgb="FF000000"/>
      </top>
      <bottom style="double">
        <color rgb="FF9933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double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632423"/>
      </bottom>
    </border>
    <border>
      <left/>
      <right/>
      <top style="medium">
        <color rgb="FF000000"/>
      </top>
      <bottom style="medium">
        <color rgb="FF632423"/>
      </bottom>
    </border>
    <border>
      <left style="medium">
        <color rgb="FF000000"/>
      </left>
      <right style="medium">
        <color rgb="FF000000"/>
      </right>
      <top/>
      <bottom style="double">
        <color rgb="FF953734"/>
      </bottom>
    </border>
    <border>
      <left/>
      <right style="medium">
        <color rgb="FF632423"/>
      </right>
      <top style="medium">
        <color rgb="FF000000"/>
      </top>
      <bottom style="medium">
        <color rgb="FF632423"/>
      </bottom>
    </border>
    <border>
      <left style="medium">
        <color rgb="FF000000"/>
      </left>
      <right style="medium">
        <color rgb="FF000000"/>
      </right>
      <top style="double">
        <color rgb="FF953734"/>
      </top>
      <bottom/>
    </border>
    <border>
      <left style="medium">
        <color rgb="FF632423"/>
      </left>
      <right style="medium">
        <color rgb="FF632423"/>
      </right>
      <top/>
      <bottom style="medium">
        <color rgb="FF632423"/>
      </bottom>
    </border>
    <border>
      <left style="medium">
        <color rgb="FF632423"/>
      </left>
      <right style="medium">
        <color rgb="FF000000"/>
      </right>
      <top/>
      <bottom style="medium">
        <color rgb="FF632423"/>
      </bottom>
    </border>
    <border>
      <left style="medium">
        <color rgb="FF000000"/>
      </left>
      <right/>
      <top style="medium">
        <color rgb="FF632423"/>
      </top>
      <bottom style="medium">
        <color rgb="FF632423"/>
      </bottom>
    </border>
    <border>
      <left style="medium">
        <color rgb="FF000000"/>
      </left>
      <right/>
      <top style="medium">
        <color rgb="FF632423"/>
      </top>
      <bottom/>
    </border>
    <border>
      <left style="thick">
        <color rgb="FF0C0C0C"/>
      </left>
      <right/>
      <top/>
      <bottom style="medium">
        <color rgb="FF632423"/>
      </bottom>
    </border>
    <border>
      <left/>
      <right/>
      <top/>
      <bottom style="medium">
        <color rgb="FF632423"/>
      </bottom>
    </border>
    <border>
      <left style="medium">
        <color rgb="FF000000"/>
      </left>
      <right/>
      <top/>
      <bottom style="thick">
        <color rgb="FF632423"/>
      </bottom>
    </border>
    <border>
      <left/>
      <right/>
      <top/>
      <bottom style="thick">
        <color rgb="FF632423"/>
      </bottom>
    </border>
    <border>
      <left/>
      <right style="medium">
        <color rgb="FF632423"/>
      </right>
      <top/>
      <bottom style="medium">
        <color rgb="FF632423"/>
      </bottom>
    </border>
    <border>
      <left/>
      <right style="medium">
        <color rgb="FF632423"/>
      </right>
      <top/>
      <bottom style="thick">
        <color rgb="FF632423"/>
      </bottom>
    </border>
    <border>
      <left style="medium">
        <color rgb="FF632423"/>
      </left>
      <right style="medium">
        <color rgb="FF000000"/>
      </right>
      <top style="medium">
        <color rgb="FF632423"/>
      </top>
      <bottom style="thick">
        <color rgb="FF632423"/>
      </bottom>
    </border>
    <border>
      <left style="thick">
        <color rgb="FF0C0C0C"/>
      </left>
      <right/>
      <top style="medium">
        <color rgb="FF632423"/>
      </top>
      <bottom style="medium">
        <color rgb="FF632423"/>
      </bottom>
    </border>
    <border>
      <left style="thick">
        <color rgb="FF0C0C0C"/>
      </left>
      <right/>
      <top style="medium">
        <color rgb="FF632423"/>
      </top>
      <bottom/>
    </border>
    <border>
      <left style="medium">
        <color rgb="FF632423"/>
      </left>
      <right style="thick">
        <color rgb="FF0C0C0C"/>
      </right>
      <top style="medium">
        <color rgb="FF632423"/>
      </top>
      <bottom style="medium">
        <color rgb="FF632423"/>
      </bottom>
    </border>
    <border>
      <left style="thick">
        <color rgb="FF0C0C0C"/>
      </left>
      <right/>
      <top/>
      <bottom style="thick">
        <color rgb="FF000000"/>
      </bottom>
    </border>
    <border>
      <left style="medium">
        <color rgb="FF632423"/>
      </left>
      <right style="thick">
        <color rgb="FF0C0C0C"/>
      </right>
      <top style="medium">
        <color rgb="FF632423"/>
      </top>
      <bottom style="thick">
        <color rgb="FF632423"/>
      </bottom>
    </border>
    <border>
      <left style="thick">
        <color rgb="FF0C0C0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C0C0C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9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3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3" xfId="0" applyAlignment="1" applyBorder="1" applyFont="1" applyNumberFormat="1">
      <alignment horizontal="center" vertical="center"/>
    </xf>
    <xf borderId="6" fillId="0" fontId="2" numFmtId="0" xfId="0" applyBorder="1" applyFont="1"/>
    <xf borderId="1" fillId="0" fontId="4" numFmtId="3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vertical="center" wrapText="1"/>
    </xf>
    <xf borderId="3" fillId="0" fontId="2" numFmtId="0" xfId="0" applyBorder="1" applyFont="1"/>
    <xf borderId="2" fillId="2" fontId="5" numFmtId="0" xfId="0" applyAlignment="1" applyBorder="1" applyFont="1">
      <alignment horizontal="center" vertical="center" wrapText="1"/>
    </xf>
    <xf borderId="7" fillId="0" fontId="6" numFmtId="0" xfId="0" applyAlignment="1" applyBorder="1" applyFont="1">
      <alignment horizontal="center" vertical="center"/>
    </xf>
    <xf borderId="5" fillId="0" fontId="4" numFmtId="3" xfId="0" applyAlignment="1" applyBorder="1" applyFont="1" applyNumberFormat="1">
      <alignment horizontal="left" vertical="center"/>
    </xf>
    <xf borderId="8" fillId="3" fontId="1" numFmtId="0" xfId="0" applyAlignment="1" applyBorder="1" applyFill="1" applyFont="1">
      <alignment horizontal="center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3" numFmtId="3" xfId="0" applyAlignment="1" applyBorder="1" applyFont="1" applyNumberFormat="1">
      <alignment horizontal="center" vertical="center"/>
    </xf>
    <xf borderId="5" fillId="0" fontId="4" numFmtId="3" xfId="0" applyAlignment="1" applyBorder="1" applyFont="1" applyNumberFormat="1">
      <alignment horizontal="right" vertical="center"/>
    </xf>
    <xf borderId="1" fillId="0" fontId="4" numFmtId="3" xfId="0" applyAlignment="1" applyBorder="1" applyFont="1" applyNumberFormat="1">
      <alignment horizontal="right" vertical="center"/>
    </xf>
    <xf borderId="0" fillId="0" fontId="0" numFmtId="0" xfId="0" applyFont="1"/>
    <xf borderId="12" fillId="0" fontId="2" numFmtId="0" xfId="0" applyBorder="1" applyFont="1"/>
    <xf borderId="13" fillId="0" fontId="2" numFmtId="0" xfId="0" applyBorder="1" applyFont="1"/>
    <xf borderId="12" fillId="4" fontId="7" numFmtId="0" xfId="0" applyAlignment="1" applyBorder="1" applyFill="1" applyFont="1">
      <alignment horizontal="center" vertical="center"/>
    </xf>
    <xf borderId="12" fillId="0" fontId="2" numFmtId="0" xfId="0" applyBorder="1" applyFont="1"/>
    <xf borderId="14" fillId="0" fontId="2" numFmtId="0" xfId="0" applyBorder="1" applyFont="1"/>
    <xf borderId="15" fillId="0" fontId="8" numFmtId="0" xfId="0" applyAlignment="1" applyBorder="1" applyFont="1">
      <alignment horizontal="center" vertical="center" wrapText="1"/>
    </xf>
    <xf borderId="16" fillId="0" fontId="2" numFmtId="0" xfId="0" applyBorder="1" applyFont="1"/>
    <xf borderId="0" fillId="0" fontId="0" numFmtId="0" xfId="0" applyFont="1"/>
    <xf borderId="17" fillId="0" fontId="2" numFmtId="0" xfId="0" applyBorder="1" applyFont="1"/>
    <xf borderId="1" fillId="5" fontId="9" numFmtId="3" xfId="0" applyAlignment="1" applyBorder="1" applyFill="1" applyFont="1" applyNumberFormat="1">
      <alignment horizontal="center" vertical="center"/>
    </xf>
    <xf borderId="18" fillId="2" fontId="1" numFmtId="0" xfId="0" applyAlignment="1" applyBorder="1" applyFont="1">
      <alignment horizontal="center" vertical="center" wrapText="1"/>
    </xf>
    <xf borderId="18" fillId="0" fontId="0" numFmtId="0" xfId="0" applyBorder="1" applyFont="1"/>
    <xf borderId="0" fillId="0" fontId="10" numFmtId="0" xfId="0" applyAlignment="1" applyFont="1">
      <alignment horizontal="center" vertical="center"/>
    </xf>
    <xf borderId="0" fillId="6" fontId="11" numFmtId="0" xfId="0" applyAlignment="1" applyBorder="1" applyFill="1" applyFont="1">
      <alignment horizontal="center" vertical="center" wrapText="1"/>
    </xf>
    <xf borderId="1" fillId="7" fontId="5" numFmtId="0" xfId="0" applyAlignment="1" applyBorder="1" applyFill="1" applyFont="1">
      <alignment horizontal="center" vertical="center" wrapText="1"/>
    </xf>
    <xf borderId="19" fillId="0" fontId="2" numFmtId="0" xfId="0" applyBorder="1" applyFont="1"/>
    <xf borderId="0" fillId="0" fontId="12" numFmtId="0" xfId="0" applyAlignment="1" applyFont="1">
      <alignment wrapText="1"/>
    </xf>
    <xf borderId="4" fillId="0" fontId="3" numFmtId="3" xfId="0" applyAlignment="1" applyBorder="1" applyFont="1" applyNumberFormat="1">
      <alignment horizontal="center" vertical="center"/>
    </xf>
    <xf borderId="0" fillId="5" fontId="12" numFmtId="0" xfId="0" applyAlignment="1" applyBorder="1" applyFont="1">
      <alignment wrapText="1"/>
    </xf>
    <xf borderId="20" fillId="0" fontId="2" numFmtId="0" xfId="0" applyBorder="1" applyFont="1"/>
    <xf borderId="0" fillId="5" fontId="13" numFmtId="0" xfId="0" applyAlignment="1" applyBorder="1" applyFont="1">
      <alignment wrapText="1"/>
    </xf>
    <xf borderId="0" fillId="0" fontId="2" numFmtId="0" xfId="0" applyBorder="1" applyFont="1"/>
    <xf borderId="0" fillId="5" fontId="13" numFmtId="164" xfId="0" applyAlignment="1" applyBorder="1" applyFont="1" applyNumberFormat="1">
      <alignment wrapText="1"/>
    </xf>
    <xf borderId="21" fillId="0" fontId="3" numFmtId="3" xfId="0" applyAlignment="1" applyBorder="1" applyFont="1" applyNumberFormat="1">
      <alignment horizontal="center" vertical="center"/>
    </xf>
    <xf borderId="0" fillId="0" fontId="13" numFmtId="165" xfId="0" applyAlignment="1" applyFont="1" applyNumberFormat="1">
      <alignment wrapText="1"/>
    </xf>
    <xf borderId="22" fillId="0" fontId="2" numFmtId="0" xfId="0" applyBorder="1" applyFont="1"/>
    <xf borderId="0" fillId="0" fontId="14" numFmtId="0" xfId="0" applyAlignment="1" applyFont="1">
      <alignment wrapText="1"/>
    </xf>
    <xf borderId="17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4" fillId="0" fontId="2" numFmtId="0" xfId="0" applyBorder="1" applyFont="1"/>
    <xf borderId="0" fillId="5" fontId="15" numFmtId="0" xfId="0" applyAlignment="1" applyBorder="1" applyFont="1">
      <alignment wrapText="1"/>
    </xf>
    <xf borderId="0" fillId="5" fontId="16" numFmtId="0" xfId="0" applyAlignment="1" applyBorder="1" applyFont="1">
      <alignment wrapText="1"/>
    </xf>
    <xf borderId="0" fillId="5" fontId="17" numFmtId="0" xfId="0" applyAlignment="1" applyBorder="1" applyFont="1">
      <alignment wrapText="1"/>
    </xf>
    <xf borderId="0" fillId="5" fontId="17" numFmtId="164" xfId="0" applyAlignment="1" applyBorder="1" applyFont="1" applyNumberFormat="1">
      <alignment wrapText="1"/>
    </xf>
    <xf borderId="0" fillId="0" fontId="18" numFmtId="165" xfId="0" applyAlignment="1" applyFont="1" applyNumberFormat="1">
      <alignment wrapText="1"/>
    </xf>
    <xf borderId="0" fillId="0" fontId="19" numFmtId="165" xfId="0" applyAlignment="1" applyFont="1" applyNumberFormat="1">
      <alignment wrapText="1"/>
    </xf>
    <xf borderId="0" fillId="0" fontId="12" numFmtId="0" xfId="0" applyFont="1"/>
    <xf borderId="0" fillId="0" fontId="19" numFmtId="164" xfId="0" applyAlignment="1" applyFont="1" applyNumberFormat="1">
      <alignment wrapText="1"/>
    </xf>
    <xf borderId="0" fillId="0" fontId="20" numFmtId="0" xfId="0" applyAlignment="1" applyFont="1">
      <alignment wrapText="1"/>
    </xf>
    <xf borderId="18" fillId="7" fontId="21" numFmtId="0" xfId="0" applyAlignment="1" applyBorder="1" applyFont="1">
      <alignment horizontal="center" vertical="center"/>
    </xf>
    <xf borderId="18" fillId="6" fontId="22" numFmtId="0" xfId="0" applyAlignment="1" applyBorder="1" applyFont="1">
      <alignment horizontal="center" wrapText="1"/>
    </xf>
    <xf borderId="18" fillId="6" fontId="11" numFmtId="0" xfId="0" applyAlignment="1" applyBorder="1" applyFont="1">
      <alignment horizontal="left" vertical="center" wrapText="1"/>
    </xf>
    <xf borderId="18" fillId="6" fontId="23" numFmtId="0" xfId="0" applyAlignment="1" applyBorder="1" applyFont="1">
      <alignment horizontal="left"/>
    </xf>
    <xf borderId="18" fillId="6" fontId="11" numFmtId="0" xfId="0" applyBorder="1" applyFont="1"/>
    <xf borderId="18" fillId="6" fontId="11" numFmtId="0" xfId="0" applyAlignment="1" applyBorder="1" applyFont="1">
      <alignment horizontal="left" wrapText="1"/>
    </xf>
    <xf borderId="18" fillId="6" fontId="11" numFmtId="164" xfId="0" applyAlignment="1" applyBorder="1" applyFont="1" applyNumberFormat="1">
      <alignment horizontal="left"/>
    </xf>
    <xf borderId="18" fillId="6" fontId="11" numFmtId="164" xfId="0" applyAlignment="1" applyBorder="1" applyFont="1" applyNumberFormat="1">
      <alignment horizontal="center"/>
    </xf>
    <xf borderId="0" fillId="6" fontId="23" numFmtId="0" xfId="0" applyAlignment="1" applyBorder="1" applyFont="1">
      <alignment horizontal="center" vertical="center"/>
    </xf>
    <xf borderId="0" fillId="6" fontId="11" numFmtId="0" xfId="0" applyAlignment="1" applyBorder="1" applyFont="1">
      <alignment horizontal="center" vertical="center"/>
    </xf>
    <xf borderId="1" fillId="0" fontId="3" numFmtId="3" xfId="0" applyAlignment="1" applyBorder="1" applyFont="1" applyNumberFormat="1">
      <alignment horizontal="center" vertical="center" wrapText="1"/>
    </xf>
    <xf borderId="0" fillId="0" fontId="0" numFmtId="0" xfId="0" applyAlignment="1" applyFont="1">
      <alignment wrapText="1"/>
    </xf>
    <xf borderId="2" fillId="2" fontId="1" numFmtId="0" xfId="0" applyAlignment="1" applyBorder="1" applyFont="1">
      <alignment horizontal="center" vertical="center" wrapText="1"/>
    </xf>
    <xf borderId="25" fillId="0" fontId="8" numFmtId="0" xfId="0" applyAlignment="1" applyBorder="1" applyFont="1">
      <alignment horizontal="center" vertical="center" wrapText="1"/>
    </xf>
    <xf borderId="25" fillId="0" fontId="2" numFmtId="0" xfId="0" applyBorder="1" applyFont="1"/>
    <xf borderId="26" fillId="0" fontId="2" numFmtId="0" xfId="0" applyBorder="1" applyFont="1"/>
    <xf borderId="27" fillId="0" fontId="24" numFmtId="164" xfId="0" applyAlignment="1" applyBorder="1" applyFont="1" applyNumberFormat="1">
      <alignment horizontal="center" vertical="center" wrapText="1"/>
    </xf>
    <xf borderId="28" fillId="0" fontId="2" numFmtId="0" xfId="0" applyBorder="1" applyFont="1"/>
    <xf borderId="29" fillId="0" fontId="2" numFmtId="0" xfId="0" applyBorder="1" applyFont="1"/>
    <xf borderId="30" fillId="4" fontId="7" numFmtId="164" xfId="0" applyAlignment="1" applyBorder="1" applyFont="1" applyNumberFormat="1">
      <alignment horizontal="center" vertical="center" wrapText="1"/>
    </xf>
    <xf borderId="31" fillId="0" fontId="2" numFmtId="0" xfId="0" applyBorder="1" applyFont="1"/>
    <xf borderId="32" fillId="0" fontId="2" numFmtId="0" xfId="0" applyBorder="1" applyFont="1"/>
    <xf borderId="33" fillId="5" fontId="25" numFmtId="0" xfId="0" applyAlignment="1" applyBorder="1" applyFont="1">
      <alignment horizontal="center" vertical="center"/>
    </xf>
    <xf borderId="34" fillId="7" fontId="26" numFmtId="164" xfId="0" applyAlignment="1" applyBorder="1" applyFont="1" applyNumberFormat="1">
      <alignment horizontal="center" vertical="center" wrapText="1"/>
    </xf>
    <xf borderId="9" fillId="2" fontId="27" numFmtId="164" xfId="0" applyAlignment="1" applyBorder="1" applyFont="1" applyNumberFormat="1">
      <alignment horizontal="center" vertical="center" wrapText="1"/>
    </xf>
    <xf borderId="35" fillId="0" fontId="2" numFmtId="0" xfId="0" applyBorder="1" applyFont="1"/>
    <xf borderId="9" fillId="5" fontId="17" numFmtId="164" xfId="0" applyAlignment="1" applyBorder="1" applyFont="1" applyNumberFormat="1">
      <alignment horizontal="center" vertical="center" wrapText="1"/>
    </xf>
    <xf borderId="4" fillId="0" fontId="4" numFmtId="0" xfId="0" applyAlignment="1" applyBorder="1" applyFont="1">
      <alignment horizontal="right" wrapText="1"/>
    </xf>
    <xf borderId="36" fillId="0" fontId="2" numFmtId="0" xfId="0" applyBorder="1" applyFont="1"/>
    <xf borderId="37" fillId="0" fontId="28" numFmtId="3" xfId="0" applyAlignment="1" applyBorder="1" applyFont="1" applyNumberFormat="1">
      <alignment vertical="center"/>
    </xf>
    <xf borderId="38" fillId="0" fontId="2" numFmtId="0" xfId="0" applyBorder="1" applyFont="1"/>
    <xf borderId="1" fillId="0" fontId="4" numFmtId="164" xfId="0" applyAlignment="1" applyBorder="1" applyFont="1" applyNumberFormat="1">
      <alignment horizontal="center"/>
    </xf>
    <xf borderId="39" fillId="0" fontId="17" numFmtId="164" xfId="0" applyAlignment="1" applyBorder="1" applyFont="1" applyNumberFormat="1">
      <alignment horizontal="center" vertical="center" wrapText="1"/>
    </xf>
    <xf borderId="40" fillId="8" fontId="27" numFmtId="164" xfId="0" applyAlignment="1" applyBorder="1" applyFill="1" applyFont="1" applyNumberFormat="1">
      <alignment horizontal="center" vertical="center" wrapText="1"/>
    </xf>
    <xf borderId="41" fillId="9" fontId="27" numFmtId="164" xfId="0" applyAlignment="1" applyBorder="1" applyFill="1" applyFont="1" applyNumberFormat="1">
      <alignment horizontal="center" vertical="center" wrapText="1"/>
    </xf>
    <xf borderId="42" fillId="4" fontId="8" numFmtId="164" xfId="0" applyAlignment="1" applyBorder="1" applyFont="1" applyNumberFormat="1">
      <alignment horizontal="center" vertical="center" wrapText="1"/>
    </xf>
    <xf borderId="43" fillId="4" fontId="8" numFmtId="164" xfId="0" applyAlignment="1" applyBorder="1" applyFont="1" applyNumberFormat="1">
      <alignment horizontal="center" vertical="center" wrapText="1"/>
    </xf>
    <xf borderId="44" fillId="4" fontId="8" numFmtId="164" xfId="0" applyAlignment="1" applyBorder="1" applyFont="1" applyNumberFormat="1">
      <alignment horizontal="center" vertical="center" wrapText="1"/>
    </xf>
    <xf borderId="45" fillId="10" fontId="9" numFmtId="0" xfId="0" applyAlignment="1" applyBorder="1" applyFill="1" applyFont="1">
      <alignment horizontal="center" vertical="center" wrapText="1"/>
    </xf>
    <xf borderId="4" fillId="0" fontId="4" numFmtId="0" xfId="0" applyAlignment="1" applyBorder="1" applyFont="1">
      <alignment horizontal="left" wrapText="1"/>
    </xf>
    <xf borderId="1" fillId="0" fontId="4" numFmtId="164" xfId="0" applyAlignment="1" applyBorder="1" applyFont="1" applyNumberFormat="1">
      <alignment horizontal="right"/>
    </xf>
    <xf borderId="3" fillId="2" fontId="21" numFmtId="0" xfId="0" applyAlignment="1" applyBorder="1" applyFont="1">
      <alignment horizontal="center" vertical="center" wrapText="1"/>
    </xf>
    <xf borderId="3" fillId="0" fontId="0" numFmtId="0" xfId="0" applyAlignment="1" applyBorder="1" applyFont="1">
      <alignment horizontal="center" vertical="center" wrapText="1"/>
    </xf>
    <xf borderId="0" fillId="6" fontId="22" numFmtId="0" xfId="0" applyAlignment="1" applyBorder="1" applyFont="1">
      <alignment horizontal="center" vertical="center" wrapText="1"/>
    </xf>
    <xf borderId="0" fillId="6" fontId="22" numFmtId="164" xfId="0" applyAlignment="1" applyBorder="1" applyFont="1" applyNumberFormat="1">
      <alignment horizontal="center" vertical="center"/>
    </xf>
    <xf borderId="0" fillId="0" fontId="29" numFmtId="165" xfId="0" applyAlignment="1" applyFont="1" applyNumberFormat="1">
      <alignment horizontal="center" vertical="center"/>
    </xf>
    <xf borderId="0" fillId="0" fontId="29" numFmtId="164" xfId="0" applyAlignment="1" applyFont="1" applyNumberFormat="1">
      <alignment horizontal="center" vertical="center" wrapText="1"/>
    </xf>
    <xf borderId="18" fillId="0" fontId="30" numFmtId="0" xfId="0" applyAlignment="1" applyBorder="1" applyFont="1">
      <alignment horizontal="center" vertical="center" wrapText="1"/>
    </xf>
    <xf borderId="18" fillId="0" fontId="30" numFmtId="0" xfId="0" applyAlignment="1" applyBorder="1" applyFont="1">
      <alignment vertical="center" wrapText="1"/>
    </xf>
    <xf borderId="0" fillId="0" fontId="31" numFmtId="0" xfId="0" applyAlignment="1" applyFont="1">
      <alignment wrapText="1"/>
    </xf>
    <xf borderId="1" fillId="0" fontId="30" numFmtId="166" xfId="0" applyAlignment="1" applyBorder="1" applyFont="1" applyNumberFormat="1">
      <alignment horizontal="center" vertical="center" wrapText="1"/>
    </xf>
    <xf borderId="0" fillId="0" fontId="13" numFmtId="0" xfId="0" applyAlignment="1" applyFont="1">
      <alignment wrapText="1"/>
    </xf>
    <xf borderId="0" fillId="0" fontId="13" numFmtId="9" xfId="0" applyAlignment="1" applyFont="1" applyNumberFormat="1">
      <alignment wrapText="1"/>
    </xf>
    <xf borderId="37" fillId="0" fontId="3" numFmtId="3" xfId="0" applyAlignment="1" applyBorder="1" applyFont="1" applyNumberFormat="1">
      <alignment horizontal="center" vertical="center"/>
    </xf>
    <xf borderId="46" fillId="0" fontId="2" numFmtId="0" xfId="0" applyBorder="1" applyFont="1"/>
    <xf borderId="0" fillId="0" fontId="12" numFmtId="165" xfId="0" applyFont="1" applyNumberFormat="1"/>
    <xf borderId="0" fillId="0" fontId="18" numFmtId="165" xfId="0" applyFont="1" applyNumberFormat="1"/>
    <xf borderId="18" fillId="0" fontId="30" numFmtId="9" xfId="0" applyAlignment="1" applyBorder="1" applyFont="1" applyNumberFormat="1">
      <alignment horizontal="center" vertical="center" wrapText="1"/>
    </xf>
    <xf borderId="18" fillId="0" fontId="32" numFmtId="3" xfId="0" applyAlignment="1" applyBorder="1" applyFont="1" applyNumberFormat="1">
      <alignment horizontal="center" vertical="center" wrapText="1"/>
    </xf>
    <xf borderId="18" fillId="0" fontId="22" numFmtId="0" xfId="0" applyAlignment="1" applyBorder="1" applyFont="1">
      <alignment horizontal="center" vertical="center" wrapText="1"/>
    </xf>
    <xf borderId="0" fillId="0" fontId="17" numFmtId="9" xfId="0" applyAlignment="1" applyFont="1" applyNumberFormat="1">
      <alignment wrapText="1"/>
    </xf>
    <xf borderId="0" fillId="0" fontId="17" numFmtId="0" xfId="0" applyAlignment="1" applyFont="1">
      <alignment wrapText="1"/>
    </xf>
    <xf borderId="0" fillId="11" fontId="17" numFmtId="0" xfId="0" applyAlignment="1" applyBorder="1" applyFill="1" applyFont="1">
      <alignment horizontal="right" readingOrder="2" wrapText="1"/>
    </xf>
    <xf borderId="0" fillId="11" fontId="14" numFmtId="0" xfId="0" applyAlignment="1" applyBorder="1" applyFont="1">
      <alignment wrapText="1"/>
    </xf>
    <xf borderId="0" fillId="11" fontId="15" numFmtId="3" xfId="0" applyAlignment="1" applyBorder="1" applyFont="1" applyNumberFormat="1">
      <alignment wrapText="1"/>
    </xf>
    <xf borderId="0" fillId="0" fontId="33" numFmtId="165" xfId="0" applyAlignment="1" applyFont="1" applyNumberFormat="1">
      <alignment wrapText="1"/>
    </xf>
    <xf borderId="0" fillId="0" fontId="33" numFmtId="164" xfId="0" applyAlignment="1" applyFont="1" applyNumberFormat="1">
      <alignment wrapText="1"/>
    </xf>
    <xf borderId="0" fillId="11" fontId="15" numFmtId="0" xfId="0" applyAlignment="1" applyBorder="1" applyFont="1">
      <alignment wrapText="1"/>
    </xf>
    <xf borderId="0" fillId="0" fontId="34" numFmtId="0" xfId="0" applyAlignment="1" applyFont="1">
      <alignment horizontal="center" vertical="center"/>
    </xf>
    <xf borderId="0" fillId="0" fontId="30" numFmtId="0" xfId="0" applyAlignment="1" applyFont="1">
      <alignment horizontal="center" vertical="center" wrapText="1"/>
    </xf>
    <xf borderId="47" fillId="10" fontId="35" numFmtId="167" xfId="0" applyAlignment="1" applyBorder="1" applyFont="1" applyNumberFormat="1">
      <alignment horizontal="center" vertical="center" wrapText="1"/>
    </xf>
    <xf borderId="0" fillId="0" fontId="22" numFmtId="166" xfId="0" applyAlignment="1" applyFont="1" applyNumberFormat="1">
      <alignment horizontal="center" vertical="center" wrapText="1"/>
    </xf>
    <xf borderId="0" fillId="0" fontId="22" numFmtId="9" xfId="0" applyAlignment="1" applyFont="1" applyNumberFormat="1">
      <alignment horizontal="center" vertical="center" wrapText="1"/>
    </xf>
    <xf borderId="4" fillId="0" fontId="3" numFmtId="3" xfId="0" applyAlignment="1" applyBorder="1" applyFont="1" applyNumberFormat="1">
      <alignment horizontal="center" vertical="center" wrapText="1"/>
    </xf>
    <xf borderId="2" fillId="7" fontId="5" numFmtId="0" xfId="0" applyAlignment="1" applyBorder="1" applyFont="1">
      <alignment horizontal="center" vertical="center" wrapText="1"/>
    </xf>
    <xf borderId="2" fillId="7" fontId="27" numFmtId="0" xfId="0" applyAlignment="1" applyBorder="1" applyFont="1">
      <alignment horizontal="center" vertical="center" wrapText="1"/>
    </xf>
    <xf borderId="3" fillId="0" fontId="2" numFmtId="0" xfId="0" applyBorder="1" applyFont="1"/>
    <xf borderId="17" fillId="7" fontId="21" numFmtId="0" xfId="0" applyAlignment="1" applyBorder="1" applyFont="1">
      <alignment horizontal="center" vertical="center"/>
    </xf>
    <xf borderId="17" fillId="7" fontId="16" numFmtId="0" xfId="0" applyAlignment="1" applyBorder="1" applyFont="1">
      <alignment horizontal="center" vertical="center" wrapText="1"/>
    </xf>
    <xf borderId="48" fillId="6" fontId="17" numFmtId="0" xfId="0" applyAlignment="1" applyBorder="1" applyFont="1">
      <alignment horizontal="center" wrapText="1"/>
    </xf>
    <xf borderId="0" fillId="6" fontId="15" numFmtId="0" xfId="0" applyAlignment="1" applyBorder="1" applyFont="1">
      <alignment horizontal="left" vertical="center" wrapText="1"/>
    </xf>
    <xf borderId="0" fillId="6" fontId="16" numFmtId="0" xfId="0" applyAlignment="1" applyBorder="1" applyFont="1">
      <alignment horizontal="center" wrapText="1"/>
    </xf>
    <xf borderId="49" fillId="6" fontId="15" numFmtId="0" xfId="0" applyAlignment="1" applyBorder="1" applyFont="1">
      <alignment horizontal="center" wrapText="1"/>
    </xf>
    <xf borderId="0" fillId="6" fontId="15" numFmtId="0" xfId="0" applyAlignment="1" applyBorder="1" applyFont="1">
      <alignment horizontal="center" vertical="center" wrapText="1"/>
    </xf>
    <xf borderId="0" fillId="6" fontId="15" numFmtId="0" xfId="0" applyAlignment="1" applyBorder="1" applyFont="1">
      <alignment horizontal="center" wrapText="1"/>
    </xf>
    <xf borderId="0" fillId="6" fontId="16" numFmtId="164" xfId="0" applyAlignment="1" applyBorder="1" applyFont="1" applyNumberFormat="1">
      <alignment horizontal="center" wrapText="1"/>
    </xf>
    <xf borderId="0" fillId="6" fontId="15" numFmtId="164" xfId="0" applyAlignment="1" applyBorder="1" applyFont="1" applyNumberFormat="1">
      <alignment horizontal="center" wrapText="1"/>
    </xf>
    <xf borderId="50" fillId="6" fontId="15" numFmtId="164" xfId="0" applyAlignment="1" applyBorder="1" applyFont="1" applyNumberFormat="1">
      <alignment horizontal="center" wrapText="1"/>
    </xf>
    <xf borderId="51" fillId="0" fontId="31" numFmtId="0" xfId="0" applyAlignment="1" applyBorder="1" applyFont="1">
      <alignment horizontal="center" vertical="center" wrapText="1"/>
    </xf>
    <xf borderId="52" fillId="0" fontId="31" numFmtId="0" xfId="0" applyAlignment="1" applyBorder="1" applyFont="1">
      <alignment horizontal="center" vertical="center" wrapText="1"/>
    </xf>
    <xf borderId="40" fillId="12" fontId="27" numFmtId="164" xfId="0" applyAlignment="1" applyBorder="1" applyFill="1" applyFont="1" applyNumberFormat="1">
      <alignment horizontal="center" vertical="center" wrapText="1"/>
    </xf>
    <xf borderId="41" fillId="13" fontId="27" numFmtId="164" xfId="0" applyAlignment="1" applyBorder="1" applyFill="1" applyFont="1" applyNumberFormat="1">
      <alignment horizontal="center" vertical="center" wrapText="1"/>
    </xf>
    <xf borderId="45" fillId="14" fontId="9" numFmtId="0" xfId="0" applyAlignment="1" applyBorder="1" applyFill="1" applyFont="1">
      <alignment horizontal="center" vertical="center" wrapText="1"/>
    </xf>
    <xf borderId="47" fillId="14" fontId="35" numFmtId="167" xfId="0" applyAlignment="1" applyBorder="1" applyFont="1" applyNumberFormat="1">
      <alignment horizontal="center" vertical="center" wrapText="1"/>
    </xf>
    <xf borderId="53" fillId="10" fontId="9" numFmtId="168" xfId="0" applyAlignment="1" applyBorder="1" applyFont="1" applyNumberFormat="1">
      <alignment horizontal="center" vertical="center"/>
    </xf>
    <xf borderId="54" fillId="10" fontId="9" numFmtId="9" xfId="0" applyAlignment="1" applyBorder="1" applyFont="1" applyNumberFormat="1">
      <alignment horizontal="center" vertical="center"/>
    </xf>
    <xf borderId="55" fillId="0" fontId="2" numFmtId="0" xfId="0" applyBorder="1" applyFont="1"/>
    <xf borderId="56" fillId="10" fontId="9" numFmtId="167" xfId="0" applyAlignment="1" applyBorder="1" applyFont="1" applyNumberFormat="1">
      <alignment horizontal="center" vertical="center"/>
    </xf>
    <xf borderId="48" fillId="6" fontId="22" numFmtId="0" xfId="0" applyAlignment="1" applyBorder="1" applyFont="1">
      <alignment horizontal="center" wrapText="1"/>
    </xf>
    <xf borderId="0" fillId="6" fontId="11" numFmtId="0" xfId="0" applyAlignment="1" applyBorder="1" applyFont="1">
      <alignment horizontal="left" vertical="center" wrapText="1"/>
    </xf>
    <xf borderId="0" fillId="6" fontId="23" numFmtId="0" xfId="0" applyAlignment="1" applyBorder="1" applyFont="1">
      <alignment horizontal="left"/>
    </xf>
    <xf borderId="49" fillId="6" fontId="11" numFmtId="0" xfId="0" applyAlignment="1" applyBorder="1" applyFont="1">
      <alignment horizontal="left"/>
    </xf>
    <xf borderId="53" fillId="14" fontId="9" numFmtId="168" xfId="0" applyAlignment="1" applyBorder="1" applyFont="1" applyNumberFormat="1">
      <alignment horizontal="center" vertical="center"/>
    </xf>
    <xf borderId="57" fillId="0" fontId="31" numFmtId="166" xfId="0" applyAlignment="1" applyBorder="1" applyFont="1" applyNumberFormat="1">
      <alignment horizontal="center" vertical="center" wrapText="1"/>
    </xf>
    <xf borderId="58" fillId="0" fontId="2" numFmtId="0" xfId="0" applyBorder="1" applyFont="1"/>
    <xf borderId="52" fillId="0" fontId="31" numFmtId="9" xfId="0" applyAlignment="1" applyBorder="1" applyFont="1" applyNumberFormat="1">
      <alignment horizontal="center" vertical="center" wrapText="1"/>
    </xf>
    <xf borderId="52" fillId="0" fontId="31" numFmtId="3" xfId="0" applyAlignment="1" applyBorder="1" applyFont="1" applyNumberFormat="1">
      <alignment horizontal="center" vertical="center" wrapText="1"/>
    </xf>
    <xf borderId="0" fillId="6" fontId="11" numFmtId="0" xfId="0" applyAlignment="1" applyBorder="1" applyFont="1">
      <alignment horizontal="left" wrapText="1"/>
    </xf>
    <xf borderId="0" fillId="6" fontId="11" numFmtId="164" xfId="0" applyAlignment="1" applyBorder="1" applyFont="1" applyNumberFormat="1">
      <alignment horizontal="left"/>
    </xf>
    <xf borderId="0" fillId="6" fontId="11" numFmtId="164" xfId="0" applyAlignment="1" applyBorder="1" applyFont="1" applyNumberFormat="1">
      <alignment horizontal="center"/>
    </xf>
    <xf borderId="50" fillId="6" fontId="11" numFmtId="164" xfId="0" applyAlignment="1" applyBorder="1" applyFont="1" applyNumberFormat="1">
      <alignment horizontal="left"/>
    </xf>
    <xf borderId="59" fillId="0" fontId="31" numFmtId="0" xfId="0" applyAlignment="1" applyBorder="1" applyFont="1">
      <alignment horizontal="center" vertical="center" wrapText="1"/>
    </xf>
    <xf borderId="60" fillId="0" fontId="31" numFmtId="0" xfId="0" applyAlignment="1" applyBorder="1" applyFont="1">
      <alignment horizontal="center" vertical="center" wrapText="1"/>
    </xf>
    <xf borderId="9" fillId="0" fontId="31" numFmtId="166" xfId="0" applyAlignment="1" applyBorder="1" applyFont="1" applyNumberFormat="1">
      <alignment horizontal="center" vertical="center" wrapText="1"/>
    </xf>
    <xf borderId="61" fillId="0" fontId="2" numFmtId="0" xfId="0" applyBorder="1" applyFont="1"/>
    <xf borderId="62" fillId="10" fontId="9" numFmtId="167" xfId="0" applyAlignment="1" applyBorder="1" applyFont="1" applyNumberFormat="1">
      <alignment horizontal="center" vertical="center"/>
    </xf>
    <xf borderId="63" fillId="10" fontId="9" numFmtId="167" xfId="0" applyAlignment="1" applyBorder="1" applyFont="1" applyNumberFormat="1">
      <alignment horizontal="center" vertical="center"/>
    </xf>
    <xf borderId="64" fillId="11" fontId="9" numFmtId="167" xfId="0" applyAlignment="1" applyBorder="1" applyFont="1" applyNumberFormat="1">
      <alignment horizontal="center" vertical="center"/>
    </xf>
    <xf borderId="0" fillId="0" fontId="22" numFmtId="3" xfId="0" applyAlignment="1" applyFont="1" applyNumberFormat="1">
      <alignment horizontal="center" vertical="center" wrapText="1"/>
    </xf>
    <xf borderId="0" fillId="0" fontId="22" numFmtId="0" xfId="0" applyAlignment="1" applyFont="1">
      <alignment horizontal="center" vertical="center" wrapText="1"/>
    </xf>
    <xf borderId="0" fillId="4" fontId="10" numFmtId="0" xfId="0" applyAlignment="1" applyBorder="1" applyFont="1">
      <alignment horizontal="center" vertical="center"/>
    </xf>
    <xf borderId="0" fillId="4" fontId="36" numFmtId="0" xfId="0" applyAlignment="1" applyBorder="1" applyFont="1">
      <alignment horizontal="center" vertical="center"/>
    </xf>
    <xf borderId="0" fillId="15" fontId="17" numFmtId="0" xfId="0" applyAlignment="1" applyBorder="1" applyFill="1" applyFont="1">
      <alignment horizontal="right" readingOrder="2" wrapText="1"/>
    </xf>
    <xf borderId="0" fillId="15" fontId="15" numFmtId="0" xfId="0" applyAlignment="1" applyBorder="1" applyFont="1">
      <alignment wrapText="1"/>
    </xf>
    <xf borderId="1" fillId="0" fontId="22" numFmtId="0" xfId="0" applyAlignment="1" applyBorder="1" applyFont="1">
      <alignment horizontal="center" vertical="center" wrapText="1"/>
    </xf>
    <xf borderId="65" fillId="4" fontId="17" numFmtId="0" xfId="0" applyAlignment="1" applyBorder="1" applyFont="1">
      <alignment horizontal="center" readingOrder="2" vertical="center" wrapText="1"/>
    </xf>
    <xf borderId="18" fillId="4" fontId="15" numFmtId="0" xfId="0" applyBorder="1" applyFont="1"/>
    <xf borderId="18" fillId="4" fontId="15" numFmtId="0" xfId="0" applyAlignment="1" applyBorder="1" applyFont="1">
      <alignment horizontal="center"/>
    </xf>
    <xf borderId="0" fillId="11" fontId="13" numFmtId="0" xfId="0" applyAlignment="1" applyBorder="1" applyFont="1">
      <alignment horizontal="right" readingOrder="2" wrapText="1"/>
    </xf>
    <xf borderId="0" fillId="11" fontId="12" numFmtId="0" xfId="0" applyBorder="1" applyFont="1"/>
    <xf borderId="0" fillId="11" fontId="12" numFmtId="3" xfId="0" applyBorder="1" applyFont="1" applyNumberFormat="1"/>
    <xf borderId="50" fillId="7" fontId="21" numFmtId="0" xfId="0" applyAlignment="1" applyBorder="1" applyFont="1">
      <alignment horizontal="center" vertical="center"/>
    </xf>
    <xf borderId="66" fillId="0" fontId="30" numFmtId="0" xfId="0" applyAlignment="1" applyBorder="1" applyFont="1">
      <alignment horizontal="center" vertical="center" wrapText="1"/>
    </xf>
    <xf borderId="61" fillId="0" fontId="30" numFmtId="0" xfId="0" applyAlignment="1" applyBorder="1" applyFont="1">
      <alignment horizontal="center" vertical="center" wrapText="1"/>
    </xf>
    <xf borderId="60" fillId="0" fontId="30" numFmtId="0" xfId="0" applyAlignment="1" applyBorder="1" applyFont="1">
      <alignment horizontal="center" vertical="center" wrapText="1"/>
    </xf>
    <xf borderId="0" fillId="11" fontId="12" numFmtId="3" xfId="0" applyAlignment="1" applyBorder="1" applyFont="1" applyNumberFormat="1">
      <alignment wrapText="1"/>
    </xf>
    <xf borderId="18" fillId="0" fontId="15" numFmtId="17" xfId="0" applyAlignment="1" applyBorder="1" applyFont="1" applyNumberFormat="1">
      <alignment horizontal="center"/>
    </xf>
    <xf borderId="0" fillId="16" fontId="13" numFmtId="0" xfId="0" applyAlignment="1" applyBorder="1" applyFill="1" applyFont="1">
      <alignment horizontal="right" readingOrder="2" wrapText="1"/>
    </xf>
    <xf borderId="0" fillId="16" fontId="12" numFmtId="0" xfId="0" applyAlignment="1" applyBorder="1" applyFont="1">
      <alignment wrapText="1"/>
    </xf>
    <xf borderId="0" fillId="16" fontId="12" numFmtId="0" xfId="0" applyBorder="1" applyFont="1"/>
    <xf borderId="0" fillId="16" fontId="12" numFmtId="3" xfId="0" applyAlignment="1" applyBorder="1" applyFont="1" applyNumberFormat="1">
      <alignment wrapText="1"/>
    </xf>
    <xf borderId="0" fillId="16" fontId="12" numFmtId="3" xfId="0" applyBorder="1" applyFont="1" applyNumberFormat="1"/>
    <xf borderId="0" fillId="5" fontId="13" numFmtId="0" xfId="0" applyAlignment="1" applyBorder="1" applyFont="1">
      <alignment horizontal="right" readingOrder="2" wrapText="1"/>
    </xf>
    <xf borderId="0" fillId="5" fontId="12" numFmtId="0" xfId="0" applyBorder="1" applyFont="1"/>
    <xf borderId="0" fillId="5" fontId="13" numFmtId="0" xfId="0" applyBorder="1" applyFont="1"/>
    <xf borderId="0" fillId="15" fontId="15" numFmtId="0" xfId="0" applyBorder="1" applyFont="1"/>
    <xf borderId="0" fillId="15" fontId="15" numFmtId="3" xfId="0" applyAlignment="1" applyBorder="1" applyFont="1" applyNumberFormat="1">
      <alignment wrapText="1"/>
    </xf>
    <xf borderId="0" fillId="15" fontId="14" numFmtId="3" xfId="0" applyBorder="1" applyFont="1" applyNumberFormat="1"/>
    <xf borderId="0" fillId="4" fontId="36" numFmtId="17" xfId="0" applyAlignment="1" applyBorder="1" applyFont="1" applyNumberFormat="1">
      <alignment horizontal="center" vertical="center"/>
    </xf>
    <xf borderId="0" fillId="4" fontId="11" numFmtId="3" xfId="0" applyAlignment="1" applyBorder="1" applyFont="1" applyNumberFormat="1">
      <alignment horizontal="center" vertical="center"/>
    </xf>
    <xf borderId="67" fillId="11" fontId="9" numFmtId="167" xfId="0" applyAlignment="1" applyBorder="1" applyFont="1" applyNumberFormat="1">
      <alignment horizontal="center" vertical="center"/>
    </xf>
    <xf borderId="8" fillId="0" fontId="31" numFmtId="9" xfId="0" applyAlignment="1" applyBorder="1" applyFont="1" applyNumberFormat="1">
      <alignment horizontal="center" vertical="center" wrapText="1"/>
    </xf>
    <xf borderId="60" fillId="0" fontId="31" numFmtId="3" xfId="0" applyAlignment="1" applyBorder="1" applyFont="1" applyNumberFormat="1">
      <alignment horizontal="center" vertical="center" wrapText="1"/>
    </xf>
    <xf borderId="68" fillId="0" fontId="31" numFmtId="0" xfId="0" applyAlignment="1" applyBorder="1" applyFont="1">
      <alignment horizontal="center" vertical="center" wrapText="1"/>
    </xf>
    <xf borderId="0" fillId="0" fontId="0" numFmtId="3" xfId="0" applyFont="1" applyNumberFormat="1"/>
    <xf borderId="54" fillId="14" fontId="9" numFmtId="9" xfId="0" applyAlignment="1" applyBorder="1" applyFont="1" applyNumberFormat="1">
      <alignment horizontal="center" vertical="center"/>
    </xf>
    <xf borderId="56" fillId="14" fontId="9" numFmtId="167" xfId="0" applyAlignment="1" applyBorder="1" applyFont="1" applyNumberFormat="1">
      <alignment horizontal="center" vertical="center"/>
    </xf>
    <xf borderId="62" fillId="14" fontId="9" numFmtId="167" xfId="0" applyAlignment="1" applyBorder="1" applyFont="1" applyNumberFormat="1">
      <alignment horizontal="center" vertical="center"/>
    </xf>
    <xf borderId="69" fillId="11" fontId="9" numFmtId="9" xfId="0" applyAlignment="1" applyBorder="1" applyFont="1" applyNumberFormat="1">
      <alignment horizontal="center" vertical="center"/>
    </xf>
    <xf borderId="70" fillId="5" fontId="37" numFmtId="0" xfId="0" applyAlignment="1" applyBorder="1" applyFont="1">
      <alignment horizontal="center" vertical="center"/>
    </xf>
    <xf borderId="71" fillId="0" fontId="2" numFmtId="0" xfId="0" applyBorder="1" applyFont="1"/>
    <xf borderId="72" fillId="0" fontId="38" numFmtId="167" xfId="0" applyAlignment="1" applyBorder="1" applyFont="1" applyNumberFormat="1">
      <alignment horizontal="center" vertical="center"/>
    </xf>
    <xf borderId="63" fillId="14" fontId="9" numFmtId="167" xfId="0" applyAlignment="1" applyBorder="1" applyFont="1" applyNumberFormat="1">
      <alignment horizontal="center" vertical="center"/>
    </xf>
    <xf borderId="37" fillId="0" fontId="31" numFmtId="0" xfId="0" applyAlignment="1" applyBorder="1" applyFont="1">
      <alignment horizontal="center" vertical="center" wrapText="1"/>
    </xf>
    <xf borderId="73" fillId="14" fontId="9" numFmtId="0" xfId="0" applyAlignment="1" applyBorder="1" applyFont="1">
      <alignment horizontal="center" vertical="center" wrapText="1"/>
    </xf>
    <xf borderId="74" fillId="0" fontId="31" numFmtId="0" xfId="0" applyAlignment="1" applyBorder="1" applyFont="1">
      <alignment horizontal="center" vertical="center" wrapText="1"/>
    </xf>
    <xf borderId="46" fillId="0" fontId="31" numFmtId="166" xfId="0" applyAlignment="1" applyBorder="1" applyFont="1" applyNumberFormat="1">
      <alignment horizontal="center" vertical="center" wrapText="1"/>
    </xf>
    <xf borderId="37" fillId="0" fontId="31" numFmtId="9" xfId="0" applyAlignment="1" applyBorder="1" applyFont="1" applyNumberFormat="1">
      <alignment horizontal="center" vertical="center" wrapText="1"/>
    </xf>
    <xf borderId="74" fillId="0" fontId="31" numFmtId="3" xfId="0" applyAlignment="1" applyBorder="1" applyFont="1" applyNumberFormat="1">
      <alignment horizontal="center" vertical="center" wrapText="1"/>
    </xf>
    <xf borderId="38" fillId="0" fontId="31" numFmtId="0" xfId="0" applyAlignment="1" applyBorder="1" applyFont="1">
      <alignment horizontal="center" vertical="center" wrapText="1"/>
    </xf>
    <xf borderId="20" fillId="4" fontId="17" numFmtId="0" xfId="0" applyAlignment="1" applyBorder="1" applyFont="1">
      <alignment horizontal="center" readingOrder="2" vertical="center" wrapText="1"/>
    </xf>
    <xf borderId="75" fillId="4" fontId="15" numFmtId="0" xfId="0" applyAlignment="1" applyBorder="1" applyFont="1">
      <alignment horizontal="left" vertical="center"/>
    </xf>
    <xf borderId="76" fillId="4" fontId="15" numFmtId="0" xfId="0" applyAlignment="1" applyBorder="1" applyFont="1">
      <alignment horizontal="center" vertical="center"/>
    </xf>
    <xf borderId="77" fillId="4" fontId="15" numFmtId="0" xfId="0" applyAlignment="1" applyBorder="1" applyFont="1">
      <alignment horizontal="center" vertical="center"/>
    </xf>
    <xf borderId="78" fillId="4" fontId="15" numFmtId="17" xfId="0" applyAlignment="1" applyBorder="1" applyFont="1" applyNumberFormat="1">
      <alignment horizontal="center" vertical="center"/>
    </xf>
    <xf borderId="78" fillId="4" fontId="15" numFmtId="3" xfId="0" applyAlignment="1" applyBorder="1" applyFont="1" applyNumberFormat="1">
      <alignment horizontal="center" vertical="center"/>
    </xf>
    <xf borderId="78" fillId="4" fontId="15" numFmtId="9" xfId="0" applyAlignment="1" applyBorder="1" applyFont="1" applyNumberFormat="1">
      <alignment horizontal="center" vertical="center"/>
    </xf>
    <xf borderId="79" fillId="4" fontId="15" numFmtId="3" xfId="0" applyAlignment="1" applyBorder="1" applyFont="1" applyNumberFormat="1">
      <alignment horizontal="center" vertical="center"/>
    </xf>
    <xf borderId="80" fillId="17" fontId="31" numFmtId="0" xfId="0" applyAlignment="1" applyBorder="1" applyFill="1" applyFont="1">
      <alignment horizontal="center" vertical="center" wrapText="1"/>
    </xf>
    <xf borderId="81" fillId="18" fontId="15" numFmtId="1" xfId="0" applyAlignment="1" applyBorder="1" applyFill="1" applyFont="1" applyNumberFormat="1">
      <alignment horizontal="left" vertical="center" wrapText="1"/>
    </xf>
    <xf borderId="81" fillId="18" fontId="15" numFmtId="1" xfId="0" applyAlignment="1" applyBorder="1" applyFont="1" applyNumberFormat="1">
      <alignment horizontal="center" vertical="center" wrapText="1"/>
    </xf>
    <xf borderId="61" fillId="0" fontId="31" numFmtId="0" xfId="0" applyAlignment="1" applyBorder="1" applyFont="1">
      <alignment horizontal="center" vertical="center" wrapText="1"/>
    </xf>
    <xf borderId="81" fillId="18" fontId="15" numFmtId="3" xfId="0" applyAlignment="1" applyBorder="1" applyFont="1" applyNumberFormat="1">
      <alignment horizontal="center" vertical="center" wrapText="1"/>
    </xf>
    <xf borderId="82" fillId="18" fontId="15" numFmtId="3" xfId="0" applyAlignment="1" applyBorder="1" applyFont="1" applyNumberFormat="1">
      <alignment horizontal="center" vertical="center" wrapText="1"/>
    </xf>
    <xf borderId="0" fillId="8" fontId="0" numFmtId="0" xfId="0" applyAlignment="1" applyBorder="1" applyFont="1">
      <alignment wrapText="1"/>
    </xf>
    <xf borderId="0" fillId="0" fontId="0" numFmtId="165" xfId="0" applyAlignment="1" applyFont="1" applyNumberFormat="1">
      <alignment wrapText="1"/>
    </xf>
    <xf borderId="83" fillId="0" fontId="2" numFmtId="0" xfId="0" applyBorder="1" applyFont="1"/>
    <xf borderId="84" fillId="0" fontId="39" numFmtId="168" xfId="0" applyAlignment="1" applyBorder="1" applyFont="1" applyNumberFormat="1">
      <alignment horizontal="center" vertical="center"/>
    </xf>
    <xf borderId="0" fillId="4" fontId="11" numFmtId="9" xfId="0" applyAlignment="1" applyBorder="1" applyFont="1" applyNumberFormat="1">
      <alignment horizontal="center" vertical="center"/>
    </xf>
    <xf borderId="0" fillId="0" fontId="40" numFmtId="165" xfId="0" applyAlignment="1" applyFont="1" applyNumberFormat="1">
      <alignment horizontal="center" vertical="center"/>
    </xf>
    <xf borderId="0" fillId="0" fontId="40" numFmtId="164" xfId="0" applyAlignment="1" applyFont="1" applyNumberFormat="1">
      <alignment horizontal="center" vertical="center" wrapText="1"/>
    </xf>
    <xf borderId="0" fillId="11" fontId="20" numFmtId="0" xfId="0" applyAlignment="1" applyBorder="1" applyFont="1">
      <alignment wrapText="1"/>
    </xf>
    <xf borderId="0" fillId="5" fontId="13" numFmtId="3" xfId="0" applyBorder="1" applyFont="1" applyNumberFormat="1"/>
    <xf borderId="18" fillId="4" fontId="15" numFmtId="17" xfId="0" applyAlignment="1" applyBorder="1" applyFont="1" applyNumberFormat="1">
      <alignment horizontal="center" shrinkToFit="1" vertical="center"/>
    </xf>
    <xf borderId="0" fillId="5" fontId="12" numFmtId="165" xfId="0" applyBorder="1" applyFont="1" applyNumberFormat="1"/>
    <xf borderId="18" fillId="0" fontId="15" numFmtId="3" xfId="0" applyAlignment="1" applyBorder="1" applyFont="1" applyNumberFormat="1">
      <alignment horizontal="center" vertical="center"/>
    </xf>
    <xf borderId="0" fillId="5" fontId="18" numFmtId="165" xfId="0" applyBorder="1" applyFont="1" applyNumberFormat="1"/>
    <xf borderId="0" fillId="5" fontId="12" numFmtId="3" xfId="0" applyBorder="1" applyFont="1" applyNumberFormat="1"/>
    <xf borderId="0" fillId="11" fontId="12" numFmtId="0" xfId="0" applyAlignment="1" applyBorder="1" applyFont="1">
      <alignment wrapText="1"/>
    </xf>
    <xf borderId="0" fillId="11" fontId="12" numFmtId="17" xfId="0" applyAlignment="1" applyBorder="1" applyFont="1" applyNumberFormat="1">
      <alignment shrinkToFit="1"/>
    </xf>
    <xf borderId="85" fillId="0" fontId="30" numFmtId="0" xfId="0" applyAlignment="1" applyBorder="1" applyFont="1">
      <alignment horizontal="center" vertical="center" wrapText="1"/>
    </xf>
    <xf borderId="0" fillId="11" fontId="12" numFmtId="0" xfId="0" applyAlignment="1" applyBorder="1" applyFont="1">
      <alignment shrinkToFit="1"/>
    </xf>
    <xf borderId="86" fillId="0" fontId="30" numFmtId="166" xfId="0" applyAlignment="1" applyBorder="1" applyFont="1" applyNumberFormat="1">
      <alignment horizontal="center" vertical="center" wrapText="1"/>
    </xf>
    <xf borderId="8" fillId="0" fontId="30" numFmtId="9" xfId="0" applyAlignment="1" applyBorder="1" applyFont="1" applyNumberFormat="1">
      <alignment horizontal="center" vertical="center" wrapText="1"/>
    </xf>
    <xf borderId="60" fillId="0" fontId="30" numFmtId="3" xfId="0" applyAlignment="1" applyBorder="1" applyFont="1" applyNumberFormat="1">
      <alignment horizontal="center" vertical="center" wrapText="1"/>
    </xf>
    <xf borderId="87" fillId="0" fontId="30" numFmtId="0" xfId="0" applyAlignment="1" applyBorder="1" applyFont="1">
      <alignment horizontal="center" vertical="center" wrapText="1"/>
    </xf>
    <xf borderId="18" fillId="4" fontId="15" numFmtId="9" xfId="0" applyAlignment="1" applyBorder="1" applyFont="1" applyNumberFormat="1">
      <alignment horizontal="center"/>
    </xf>
    <xf borderId="18" fillId="4" fontId="15" numFmtId="3" xfId="0" applyAlignment="1" applyBorder="1" applyFont="1" applyNumberFormat="1">
      <alignment horizontal="center" vertical="center"/>
    </xf>
    <xf borderId="0" fillId="11" fontId="17" numFmtId="3" xfId="0" applyAlignment="1" applyBorder="1" applyFont="1" applyNumberFormat="1">
      <alignment wrapText="1"/>
    </xf>
    <xf borderId="0" fillId="4" fontId="11" numFmtId="0" xfId="0" applyAlignment="1" applyBorder="1" applyFont="1">
      <alignment horizontal="center" vertical="center"/>
    </xf>
    <xf borderId="0" fillId="4" fontId="11" numFmtId="17" xfId="0" applyAlignment="1" applyBorder="1" applyFont="1" applyNumberFormat="1">
      <alignment horizontal="center" vertical="center"/>
    </xf>
    <xf borderId="0" fillId="4" fontId="36" numFmtId="17" xfId="0" applyAlignment="1" applyBorder="1" applyFont="1" applyNumberFormat="1">
      <alignment horizontal="center" shrinkToFit="1" vertical="center"/>
    </xf>
    <xf borderId="0" fillId="5" fontId="17" numFmtId="0" xfId="0" applyAlignment="1" applyBorder="1" applyFont="1">
      <alignment horizontal="right" readingOrder="2" wrapText="1"/>
    </xf>
    <xf borderId="0" fillId="5" fontId="14" numFmtId="0" xfId="0" applyAlignment="1" applyBorder="1" applyFont="1">
      <alignment wrapText="1"/>
    </xf>
    <xf borderId="0" fillId="5" fontId="20" numFmtId="0" xfId="0" applyAlignment="1" applyBorder="1" applyFont="1">
      <alignment wrapText="1"/>
    </xf>
    <xf borderId="0" fillId="5" fontId="17" numFmtId="3" xfId="0" applyAlignment="1" applyBorder="1" applyFont="1" applyNumberFormat="1">
      <alignment wrapText="1"/>
    </xf>
    <xf borderId="88" fillId="0" fontId="39" numFmtId="9" xfId="0" applyAlignment="1" applyBorder="1" applyFont="1" applyNumberFormat="1">
      <alignment horizontal="center" vertical="center"/>
    </xf>
    <xf borderId="89" fillId="0" fontId="2" numFmtId="0" xfId="0" applyBorder="1" applyFont="1"/>
    <xf borderId="90" fillId="18" fontId="15" numFmtId="0" xfId="0" applyAlignment="1" applyBorder="1" applyFont="1">
      <alignment horizontal="left" vertical="center" wrapText="1"/>
    </xf>
    <xf borderId="87" fillId="0" fontId="31" numFmtId="0" xfId="0" applyAlignment="1" applyBorder="1" applyFont="1">
      <alignment horizontal="center" vertical="center" wrapText="1"/>
    </xf>
    <xf borderId="60" fillId="4" fontId="20" numFmtId="0" xfId="0" applyAlignment="1" applyBorder="1" applyFont="1">
      <alignment horizontal="center" readingOrder="2" vertical="center" wrapText="1"/>
    </xf>
    <xf borderId="20" fillId="0" fontId="2" numFmtId="0" xfId="0" applyBorder="1" applyFont="1"/>
    <xf borderId="38" fillId="4" fontId="14" numFmtId="0" xfId="0" applyAlignment="1" applyBorder="1" applyFont="1">
      <alignment vertical="center"/>
    </xf>
    <xf borderId="38" fillId="4" fontId="14" numFmtId="0" xfId="0" applyAlignment="1" applyBorder="1" applyFont="1">
      <alignment horizontal="center" vertical="center"/>
    </xf>
    <xf borderId="38" fillId="4" fontId="14" numFmtId="17" xfId="0" applyAlignment="1" applyBorder="1" applyFont="1" applyNumberFormat="1">
      <alignment horizontal="center" vertical="center"/>
    </xf>
    <xf borderId="91" fillId="14" fontId="35" numFmtId="167" xfId="0" applyAlignment="1" applyBorder="1" applyFont="1" applyNumberFormat="1">
      <alignment horizontal="center" vertical="center" wrapText="1"/>
    </xf>
    <xf borderId="38" fillId="4" fontId="14" numFmtId="3" xfId="0" applyAlignment="1" applyBorder="1" applyFont="1" applyNumberFormat="1">
      <alignment horizontal="center" vertical="center"/>
    </xf>
    <xf borderId="92" fillId="14" fontId="9" numFmtId="168" xfId="0" applyAlignment="1" applyBorder="1" applyFont="1" applyNumberFormat="1">
      <alignment horizontal="center" vertical="center"/>
    </xf>
    <xf borderId="93" fillId="4" fontId="14" numFmtId="0" xfId="0" applyAlignment="1" applyBorder="1" applyFont="1">
      <alignment horizontal="center" vertical="center"/>
    </xf>
    <xf borderId="94" fillId="14" fontId="9" numFmtId="9" xfId="0" applyAlignment="1" applyBorder="1" applyFont="1" applyNumberFormat="1">
      <alignment horizontal="center" vertical="center"/>
    </xf>
    <xf borderId="95" fillId="4" fontId="20" numFmtId="0" xfId="0" applyAlignment="1" applyBorder="1" applyFont="1">
      <alignment horizontal="right" readingOrder="2" vertical="center" wrapText="1"/>
    </xf>
    <xf borderId="96" fillId="14" fontId="9" numFmtId="167" xfId="0" applyAlignment="1" applyBorder="1" applyFont="1" applyNumberFormat="1">
      <alignment horizontal="center" vertical="center"/>
    </xf>
    <xf borderId="97" fillId="4" fontId="14" numFmtId="0" xfId="0" applyAlignment="1" applyBorder="1" applyFont="1">
      <alignment vertical="center"/>
    </xf>
    <xf borderId="97" fillId="4" fontId="14" numFmtId="0" xfId="0" applyAlignment="1" applyBorder="1" applyFont="1">
      <alignment horizontal="center" vertical="center"/>
    </xf>
    <xf borderId="97" fillId="4" fontId="14" numFmtId="3" xfId="0" applyAlignment="1" applyBorder="1" applyFont="1" applyNumberFormat="1">
      <alignment horizontal="center" vertical="center"/>
    </xf>
    <xf borderId="50" fillId="4" fontId="14" numFmtId="0" xfId="0" applyAlignment="1" applyBorder="1" applyFont="1">
      <alignment horizontal="center" vertical="center"/>
    </xf>
    <xf borderId="98" fillId="4" fontId="20" numFmtId="0" xfId="0" applyAlignment="1" applyBorder="1" applyFont="1">
      <alignment horizontal="center" vertical="center" wrapText="1"/>
    </xf>
    <xf borderId="99" fillId="4" fontId="14" numFmtId="0" xfId="0" applyAlignment="1" applyBorder="1" applyFont="1">
      <alignment vertical="center"/>
    </xf>
    <xf borderId="99" fillId="4" fontId="14" numFmtId="0" xfId="0" applyAlignment="1" applyBorder="1" applyFont="1">
      <alignment horizontal="center" vertical="center"/>
    </xf>
    <xf borderId="100" fillId="0" fontId="2" numFmtId="0" xfId="0" applyBorder="1" applyFont="1"/>
    <xf borderId="99" fillId="4" fontId="14" numFmtId="3" xfId="0" applyAlignment="1" applyBorder="1" applyFont="1" applyNumberFormat="1">
      <alignment horizontal="center" vertical="center"/>
    </xf>
    <xf borderId="101" fillId="4" fontId="14" numFmtId="0" xfId="0" applyAlignment="1" applyBorder="1" applyFont="1">
      <alignment horizontal="center" vertical="center"/>
    </xf>
    <xf borderId="20" fillId="7" fontId="15" numFmtId="0" xfId="0" applyAlignment="1" applyBorder="1" applyFont="1">
      <alignment horizontal="center" vertical="center" wrapText="1"/>
    </xf>
    <xf borderId="102" fillId="0" fontId="39" numFmtId="167" xfId="0" applyAlignment="1" applyBorder="1" applyFont="1" applyNumberFormat="1">
      <alignment horizontal="center" vertical="center"/>
    </xf>
    <xf borderId="103" fillId="14" fontId="9" numFmtId="167" xfId="0" applyAlignment="1" applyBorder="1" applyFont="1" applyNumberFormat="1">
      <alignment horizontal="center" vertical="center"/>
    </xf>
    <xf borderId="104" fillId="14" fontId="9" numFmtId="167" xfId="0" applyAlignment="1" applyBorder="1" applyFont="1" applyNumberFormat="1">
      <alignment horizontal="center" vertical="center"/>
    </xf>
    <xf borderId="105" fillId="11" fontId="9" numFmtId="167" xfId="0" applyAlignment="1" applyBorder="1" applyFont="1" applyNumberFormat="1">
      <alignment horizontal="center" vertical="center"/>
    </xf>
    <xf borderId="106" fillId="11" fontId="9" numFmtId="9" xfId="0" applyAlignment="1" applyBorder="1" applyFont="1" applyNumberFormat="1">
      <alignment horizontal="center" vertical="center"/>
    </xf>
    <xf borderId="107" fillId="5" fontId="37" numFmtId="0" xfId="0" applyAlignment="1" applyBorder="1" applyFont="1">
      <alignment horizontal="center" vertical="center"/>
    </xf>
    <xf borderId="108" fillId="5" fontId="38" numFmtId="167" xfId="0" applyAlignment="1" applyBorder="1" applyFont="1" applyNumberFormat="1">
      <alignment horizontal="center" vertical="center"/>
    </xf>
    <xf borderId="109" fillId="5" fontId="39" numFmtId="168" xfId="0" applyAlignment="1" applyBorder="1" applyFont="1" applyNumberFormat="1">
      <alignment horizontal="center" vertical="center"/>
    </xf>
    <xf borderId="110" fillId="4" fontId="15" numFmtId="0" xfId="0" applyAlignment="1" applyBorder="1" applyFont="1">
      <alignment horizontal="left" vertical="center"/>
    </xf>
    <xf borderId="111" fillId="4" fontId="15" numFmtId="0" xfId="0" applyAlignment="1" applyBorder="1" applyFont="1">
      <alignment horizontal="center" vertical="center"/>
    </xf>
    <xf borderId="112" fillId="4" fontId="15" numFmtId="0" xfId="0" applyAlignment="1" applyBorder="1" applyFont="1">
      <alignment horizontal="center" vertical="center"/>
    </xf>
    <xf borderId="111" fillId="4" fontId="15" numFmtId="3" xfId="0" applyAlignment="1" applyBorder="1" applyFont="1" applyNumberFormat="1">
      <alignment horizontal="center" vertical="center"/>
    </xf>
    <xf borderId="113" fillId="4" fontId="15" numFmtId="3" xfId="0" applyAlignment="1" applyBorder="1" applyFont="1" applyNumberFormat="1">
      <alignment horizontal="center" vertical="center"/>
    </xf>
    <xf borderId="90" fillId="18" fontId="15" numFmtId="1" xfId="0" applyAlignment="1" applyBorder="1" applyFont="1" applyNumberFormat="1">
      <alignment horizontal="center" vertical="center" wrapText="1"/>
    </xf>
    <xf borderId="90" fillId="18" fontId="15" numFmtId="17" xfId="0" applyAlignment="1" applyBorder="1" applyFont="1" applyNumberFormat="1">
      <alignment horizontal="center" shrinkToFit="1" vertical="center"/>
    </xf>
    <xf borderId="90" fillId="18" fontId="15" numFmtId="3" xfId="0" applyAlignment="1" applyBorder="1" applyFont="1" applyNumberFormat="1">
      <alignment horizontal="center" vertical="center" wrapText="1"/>
    </xf>
    <xf borderId="114" fillId="0" fontId="39" numFmtId="167" xfId="0" applyAlignment="1" applyBorder="1" applyFont="1" applyNumberFormat="1">
      <alignment horizontal="center" vertical="center"/>
    </xf>
    <xf borderId="0" fillId="11" fontId="15" numFmtId="17" xfId="0" applyAlignment="1" applyBorder="1" applyFont="1" applyNumberFormat="1">
      <alignment shrinkToFit="1"/>
    </xf>
    <xf borderId="115" fillId="0" fontId="39" numFmtId="167" xfId="0" applyAlignment="1" applyBorder="1" applyFont="1" applyNumberFormat="1">
      <alignment horizontal="center" vertical="center"/>
    </xf>
    <xf borderId="0" fillId="11" fontId="15" numFmtId="0" xfId="0" applyAlignment="1" applyBorder="1" applyFont="1">
      <alignment shrinkToFit="1"/>
    </xf>
    <xf borderId="116" fillId="4" fontId="39" numFmtId="167" xfId="0" applyAlignment="1" applyBorder="1" applyFont="1" applyNumberFormat="1">
      <alignment horizontal="center" vertical="center"/>
    </xf>
    <xf borderId="117" fillId="4" fontId="39" numFmtId="167" xfId="0" applyAlignment="1" applyBorder="1" applyFont="1" applyNumberFormat="1">
      <alignment horizontal="center" vertical="center"/>
    </xf>
    <xf borderId="0" fillId="4" fontId="11" numFmtId="3" xfId="0" applyAlignment="1" applyBorder="1" applyFont="1" applyNumberFormat="1">
      <alignment horizontal="center" vertical="center" wrapText="1"/>
    </xf>
    <xf borderId="1" fillId="4" fontId="15" numFmtId="3" xfId="0" applyAlignment="1" applyBorder="1" applyFont="1" applyNumberFormat="1">
      <alignment horizontal="center" vertical="center"/>
    </xf>
    <xf borderId="0" fillId="0" fontId="15" numFmtId="0" xfId="0" applyFont="1"/>
    <xf borderId="118" fillId="16" fontId="17" numFmtId="0" xfId="0" applyAlignment="1" applyBorder="1" applyFont="1">
      <alignment horizontal="center" readingOrder="2" vertical="center" wrapText="1"/>
    </xf>
    <xf borderId="48" fillId="4" fontId="17" numFmtId="0" xfId="0" applyAlignment="1" applyBorder="1" applyFont="1">
      <alignment horizontal="center" readingOrder="2" vertical="center" wrapText="1"/>
    </xf>
    <xf borderId="18" fillId="4" fontId="15" numFmtId="0" xfId="0" applyAlignment="1" applyBorder="1" applyFont="1">
      <alignment horizontal="center" vertical="center"/>
    </xf>
    <xf borderId="0" fillId="4" fontId="14" numFmtId="0" xfId="0" applyBorder="1" applyFont="1"/>
    <xf borderId="0" fillId="5" fontId="12" numFmtId="0" xfId="0" applyAlignment="1" applyBorder="1" applyFont="1">
      <alignment shrinkToFit="1"/>
    </xf>
    <xf borderId="0" fillId="0" fontId="14" numFmtId="0" xfId="0" applyFont="1"/>
    <xf borderId="0" fillId="5" fontId="13" numFmtId="3" xfId="0" applyAlignment="1" applyBorder="1" applyFont="1" applyNumberFormat="1">
      <alignment wrapText="1"/>
    </xf>
    <xf borderId="76" fillId="16" fontId="15" numFmtId="0" xfId="0" applyAlignment="1" applyBorder="1" applyFont="1">
      <alignment horizontal="left" vertical="center" wrapText="1"/>
    </xf>
    <xf borderId="76" fillId="16" fontId="15" numFmtId="0" xfId="0" applyAlignment="1" applyBorder="1" applyFont="1">
      <alignment horizontal="center"/>
    </xf>
    <xf borderId="0" fillId="19" fontId="13" numFmtId="0" xfId="0" applyBorder="1" applyFill="1" applyFont="1"/>
    <xf borderId="0" fillId="19" fontId="12" numFmtId="0" xfId="0" applyAlignment="1" applyBorder="1" applyFont="1">
      <alignment wrapText="1"/>
    </xf>
    <xf borderId="0" fillId="19" fontId="12" numFmtId="0" xfId="0" applyBorder="1" applyFont="1"/>
    <xf borderId="0" fillId="19" fontId="12" numFmtId="3" xfId="0" applyAlignment="1" applyBorder="1" applyFont="1" applyNumberFormat="1">
      <alignment horizontal="left" readingOrder="1"/>
    </xf>
    <xf borderId="0" fillId="4" fontId="41" numFmtId="17" xfId="0" applyAlignment="1" applyBorder="1" applyFont="1" applyNumberFormat="1">
      <alignment horizontal="center" shrinkToFit="1" vertical="center"/>
    </xf>
    <xf borderId="0" fillId="19" fontId="12" numFmtId="3" xfId="0" applyBorder="1" applyFont="1" applyNumberFormat="1"/>
    <xf borderId="0" fillId="4" fontId="22" numFmtId="3" xfId="0" applyAlignment="1" applyBorder="1" applyFont="1" applyNumberFormat="1">
      <alignment horizontal="center" vertical="center" wrapText="1"/>
    </xf>
    <xf borderId="0" fillId="18" fontId="13" numFmtId="0" xfId="0" applyAlignment="1" applyBorder="1" applyFont="1">
      <alignment horizontal="right" readingOrder="2" wrapText="1"/>
    </xf>
    <xf borderId="0" fillId="18" fontId="12" numFmtId="0" xfId="0" applyBorder="1" applyFont="1"/>
    <xf borderId="0" fillId="5" fontId="36" numFmtId="0" xfId="0" applyAlignment="1" applyBorder="1" applyFont="1">
      <alignment horizontal="center" vertical="center"/>
    </xf>
    <xf borderId="0" fillId="5" fontId="36" numFmtId="17" xfId="0" applyAlignment="1" applyBorder="1" applyFont="1" applyNumberFormat="1">
      <alignment horizontal="center" vertical="center"/>
    </xf>
    <xf borderId="119" fillId="4" fontId="39" numFmtId="9" xfId="0" applyAlignment="1" applyBorder="1" applyFont="1" applyNumberFormat="1">
      <alignment horizontal="center" vertical="center"/>
    </xf>
    <xf borderId="120" fillId="5" fontId="37" numFmtId="0" xfId="0" applyAlignment="1" applyBorder="1" applyFont="1">
      <alignment horizontal="center" vertical="center"/>
    </xf>
    <xf borderId="0" fillId="11" fontId="17" numFmtId="0" xfId="0" applyAlignment="1" applyBorder="1" applyFont="1">
      <alignment wrapText="1"/>
    </xf>
    <xf borderId="83" fillId="17" fontId="17" numFmtId="0" xfId="0" applyAlignment="1" applyBorder="1" applyFont="1">
      <alignment horizontal="center" vertical="center" wrapText="1"/>
    </xf>
    <xf borderId="121" fillId="18" fontId="15" numFmtId="0" xfId="0" applyAlignment="1" applyBorder="1" applyFont="1">
      <alignment horizontal="left" vertical="center" wrapText="1"/>
    </xf>
    <xf borderId="121" fillId="18" fontId="15" numFmtId="0" xfId="0" applyAlignment="1" applyBorder="1" applyFont="1">
      <alignment horizontal="center" vertical="center" wrapText="1"/>
    </xf>
    <xf borderId="121" fillId="18" fontId="15" numFmtId="17" xfId="0" applyAlignment="1" applyBorder="1" applyFont="1" applyNumberFormat="1">
      <alignment horizontal="center" shrinkToFit="1" vertical="center"/>
    </xf>
    <xf borderId="111" fillId="4" fontId="15" numFmtId="9" xfId="0" applyAlignment="1" applyBorder="1" applyFont="1" applyNumberFormat="1">
      <alignment horizontal="center" vertical="center"/>
    </xf>
    <xf borderId="122" fillId="5" fontId="39" numFmtId="9" xfId="0" applyAlignment="1" applyBorder="1" applyFont="1" applyNumberFormat="1">
      <alignment horizontal="center" vertical="center"/>
    </xf>
    <xf borderId="123" fillId="5" fontId="39" numFmtId="167" xfId="0" applyAlignment="1" applyBorder="1" applyFont="1" applyNumberFormat="1">
      <alignment horizontal="center" vertical="center"/>
    </xf>
    <xf borderId="124" fillId="5" fontId="39" numFmtId="167" xfId="0" applyAlignment="1" applyBorder="1" applyFont="1" applyNumberFormat="1">
      <alignment horizontal="center" vertical="center"/>
    </xf>
    <xf borderId="0" fillId="7" fontId="15" numFmtId="0" xfId="0" applyAlignment="1" applyBorder="1" applyFont="1">
      <alignment horizontal="left"/>
    </xf>
    <xf borderId="0" fillId="7" fontId="15" numFmtId="0" xfId="0" applyAlignment="1" applyBorder="1" applyFont="1">
      <alignment horizontal="center"/>
    </xf>
    <xf borderId="0" fillId="20" fontId="15" numFmtId="0" xfId="0" applyAlignment="1" applyBorder="1" applyFill="1" applyFont="1">
      <alignment horizontal="center"/>
    </xf>
    <xf borderId="0" fillId="20" fontId="15" numFmtId="17" xfId="0" applyAlignment="1" applyBorder="1" applyFont="1" applyNumberFormat="1">
      <alignment horizontal="center" shrinkToFit="1"/>
    </xf>
    <xf borderId="125" fillId="0" fontId="4" numFmtId="3" xfId="0" applyAlignment="1" applyBorder="1" applyFont="1" applyNumberFormat="1">
      <alignment horizontal="center" vertical="center"/>
    </xf>
    <xf borderId="126" fillId="0" fontId="2" numFmtId="0" xfId="0" applyBorder="1" applyFont="1"/>
    <xf borderId="97" fillId="20" fontId="15" numFmtId="17" xfId="0" applyAlignment="1" applyBorder="1" applyFont="1" applyNumberFormat="1">
      <alignment horizontal="center" shrinkToFit="1" vertical="center"/>
    </xf>
    <xf borderId="127" fillId="0" fontId="4" numFmtId="164" xfId="0" applyAlignment="1" applyBorder="1" applyFont="1" applyNumberFormat="1">
      <alignment vertical="center"/>
    </xf>
    <xf borderId="99" fillId="0" fontId="2" numFmtId="0" xfId="0" applyBorder="1" applyFont="1"/>
    <xf borderId="128" fillId="5" fontId="39" numFmtId="167" xfId="0" applyAlignment="1" applyBorder="1" applyFont="1" applyNumberFormat="1">
      <alignment horizontal="center" vertical="center"/>
    </xf>
    <xf borderId="0" fillId="0" fontId="0" numFmtId="9" xfId="0" applyFont="1" applyNumberFormat="1"/>
    <xf borderId="129" fillId="4" fontId="39" numFmtId="167" xfId="0" applyAlignment="1" applyBorder="1" applyFont="1" applyNumberFormat="1">
      <alignment horizontal="center" vertical="center"/>
    </xf>
    <xf borderId="130" fillId="0" fontId="38" numFmtId="167" xfId="0" applyAlignment="1" applyBorder="1" applyFont="1" applyNumberFormat="1">
      <alignment horizontal="center" vertical="center"/>
    </xf>
    <xf borderId="131" fillId="4" fontId="15" numFmtId="0" xfId="0" applyAlignment="1" applyBorder="1" applyFont="1">
      <alignment horizontal="left" vertical="center"/>
    </xf>
    <xf borderId="132" fillId="4" fontId="15" numFmtId="0" xfId="0" applyAlignment="1" applyBorder="1" applyFont="1">
      <alignment horizontal="center" vertical="center"/>
    </xf>
    <xf borderId="121" fillId="18" fontId="14" numFmtId="3" xfId="0" applyAlignment="1" applyBorder="1" applyFont="1" applyNumberFormat="1">
      <alignment horizontal="center" vertical="center" wrapText="1"/>
    </xf>
    <xf borderId="121" fillId="18" fontId="15" numFmtId="3" xfId="0" applyAlignment="1" applyBorder="1" applyFont="1" applyNumberFormat="1">
      <alignment horizontal="center" vertical="center" wrapText="1"/>
    </xf>
    <xf borderId="0" fillId="5" fontId="15" numFmtId="0" xfId="0" applyAlignment="1" applyBorder="1" applyFont="1">
      <alignment shrinkToFit="1"/>
    </xf>
    <xf borderId="0" fillId="5" fontId="15" numFmtId="3" xfId="0" applyAlignment="1" applyBorder="1" applyFont="1" applyNumberFormat="1">
      <alignment wrapText="1"/>
    </xf>
    <xf borderId="0" fillId="5" fontId="33" numFmtId="165" xfId="0" applyAlignment="1" applyBorder="1" applyFont="1" applyNumberFormat="1">
      <alignment wrapText="1"/>
    </xf>
    <xf borderId="0" fillId="5" fontId="33" numFmtId="164" xfId="0" applyAlignment="1" applyBorder="1" applyFont="1" applyNumberFormat="1">
      <alignment wrapText="1"/>
    </xf>
    <xf borderId="0" fillId="5" fontId="11" numFmtId="3" xfId="0" applyAlignment="1" applyBorder="1" applyFont="1" applyNumberFormat="1">
      <alignment horizontal="center" vertical="center"/>
    </xf>
    <xf borderId="0" fillId="5" fontId="11" numFmtId="9" xfId="0" applyAlignment="1" applyBorder="1" applyFont="1" applyNumberFormat="1">
      <alignment horizontal="center" vertical="center"/>
    </xf>
    <xf borderId="0" fillId="18" fontId="12" numFmtId="3" xfId="0" applyBorder="1" applyFont="1" applyNumberFormat="1"/>
    <xf borderId="133" fillId="16" fontId="15" numFmtId="0" xfId="0" applyAlignment="1" applyBorder="1" applyFont="1">
      <alignment horizontal="left"/>
    </xf>
    <xf borderId="76" fillId="16" fontId="15" numFmtId="17" xfId="0" applyAlignment="1" applyBorder="1" applyFont="1" applyNumberFormat="1">
      <alignment horizontal="center" vertical="center" wrapText="1"/>
    </xf>
    <xf borderId="0" fillId="19" fontId="13" numFmtId="0" xfId="0" applyAlignment="1" applyBorder="1" applyFont="1">
      <alignment horizontal="right" readingOrder="2" wrapText="1"/>
    </xf>
    <xf borderId="18" fillId="17" fontId="15" numFmtId="0" xfId="0" applyAlignment="1" applyBorder="1" applyFont="1">
      <alignment horizontal="center" vertical="center"/>
    </xf>
    <xf borderId="18" fillId="17" fontId="15" numFmtId="17" xfId="0" applyAlignment="1" applyBorder="1" applyFont="1" applyNumberFormat="1">
      <alignment horizontal="left" shrinkToFit="1" vertical="center"/>
    </xf>
    <xf borderId="0" fillId="19" fontId="13" numFmtId="0" xfId="0" applyAlignment="1" applyBorder="1" applyFont="1">
      <alignment wrapText="1"/>
    </xf>
    <xf borderId="133" fillId="16" fontId="15" numFmtId="17" xfId="0" applyAlignment="1" applyBorder="1" applyFont="1" applyNumberFormat="1">
      <alignment horizontal="center" vertical="center" wrapText="1"/>
    </xf>
    <xf borderId="0" fillId="18" fontId="12" numFmtId="0" xfId="0" applyAlignment="1" applyBorder="1" applyFont="1">
      <alignment wrapText="1"/>
    </xf>
    <xf borderId="0" fillId="4" fontId="11" numFmtId="17" xfId="0" applyAlignment="1" applyBorder="1" applyFont="1" applyNumberFormat="1">
      <alignment horizontal="center" shrinkToFit="1" vertical="center"/>
    </xf>
    <xf borderId="134" fillId="0" fontId="39" numFmtId="168" xfId="0" applyAlignment="1" applyBorder="1" applyFont="1" applyNumberFormat="1">
      <alignment horizontal="center" vertical="center"/>
    </xf>
    <xf borderId="0" fillId="4" fontId="11" numFmtId="0" xfId="0" applyAlignment="1" applyBorder="1" applyFont="1">
      <alignment horizontal="center" shrinkToFit="1" vertical="center"/>
    </xf>
    <xf borderId="135" fillId="0" fontId="39" numFmtId="9" xfId="0" applyAlignment="1" applyBorder="1" applyFont="1" applyNumberFormat="1">
      <alignment horizontal="center" vertical="center"/>
    </xf>
    <xf borderId="0" fillId="4" fontId="22" numFmtId="17" xfId="0" applyAlignment="1" applyBorder="1" applyFont="1" applyNumberFormat="1">
      <alignment horizontal="center" shrinkToFit="1" vertical="center"/>
    </xf>
    <xf borderId="0" fillId="10" fontId="13" numFmtId="0" xfId="0" applyAlignment="1" applyBorder="1" applyFont="1">
      <alignment wrapText="1"/>
    </xf>
    <xf borderId="0" fillId="4" fontId="22" numFmtId="3" xfId="0" applyAlignment="1" applyBorder="1" applyFont="1" applyNumberFormat="1">
      <alignment horizontal="center" vertical="center"/>
    </xf>
    <xf borderId="0" fillId="10" fontId="12" numFmtId="0" xfId="0" applyAlignment="1" applyBorder="1" applyFont="1">
      <alignment wrapText="1"/>
    </xf>
    <xf borderId="0" fillId="10" fontId="12" numFmtId="3" xfId="0" applyAlignment="1" applyBorder="1" applyFont="1" applyNumberFormat="1">
      <alignment wrapText="1"/>
    </xf>
    <xf borderId="0" fillId="5" fontId="11" numFmtId="0" xfId="0" applyAlignment="1" applyBorder="1" applyFont="1">
      <alignment horizontal="center" shrinkToFit="1" vertical="center"/>
    </xf>
    <xf borderId="0" fillId="5" fontId="19" numFmtId="165" xfId="0" applyAlignment="1" applyBorder="1" applyFont="1" applyNumberFormat="1">
      <alignment wrapText="1"/>
    </xf>
    <xf borderId="136" fillId="21" fontId="15" numFmtId="3" xfId="0" applyAlignment="1" applyBorder="1" applyFill="1" applyFont="1" applyNumberFormat="1">
      <alignment horizontal="center" vertical="center" wrapText="1"/>
    </xf>
    <xf borderId="0" fillId="10" fontId="17" numFmtId="0" xfId="0" applyAlignment="1" applyBorder="1" applyFont="1">
      <alignment wrapText="1"/>
    </xf>
    <xf borderId="81" fillId="18" fontId="15" numFmtId="0" xfId="0" applyAlignment="1" applyBorder="1" applyFont="1">
      <alignment horizontal="left" vertical="center" wrapText="1"/>
    </xf>
    <xf borderId="81" fillId="18" fontId="15" numFmtId="0" xfId="0" applyAlignment="1" applyBorder="1" applyFont="1">
      <alignment horizontal="center" vertical="center" wrapText="1"/>
    </xf>
    <xf borderId="81" fillId="18" fontId="15" numFmtId="17" xfId="0" applyAlignment="1" applyBorder="1" applyFont="1" applyNumberFormat="1">
      <alignment horizontal="center" shrinkToFit="1" vertical="center"/>
    </xf>
    <xf borderId="81" fillId="18" fontId="14" numFmtId="3" xfId="0" applyAlignment="1" applyBorder="1" applyFont="1" applyNumberFormat="1">
      <alignment horizontal="center" vertical="center" wrapText="1"/>
    </xf>
    <xf borderId="137" fillId="4" fontId="15" numFmtId="17" xfId="0" applyAlignment="1" applyBorder="1" applyFont="1" applyNumberFormat="1">
      <alignment horizontal="center" vertical="center"/>
    </xf>
    <xf borderId="137" fillId="4" fontId="15" numFmtId="3" xfId="0" applyAlignment="1" applyBorder="1" applyFont="1" applyNumberFormat="1">
      <alignment horizontal="center" vertical="center"/>
    </xf>
    <xf borderId="137" fillId="4" fontId="15" numFmtId="9" xfId="0" applyAlignment="1" applyBorder="1" applyFont="1" applyNumberFormat="1">
      <alignment horizontal="center" vertical="center"/>
    </xf>
    <xf borderId="138" fillId="4" fontId="15" numFmtId="3" xfId="0" applyAlignment="1" applyBorder="1" applyFont="1" applyNumberFormat="1">
      <alignment horizontal="center" vertical="center"/>
    </xf>
    <xf borderId="139" fillId="4" fontId="39" numFmtId="9" xfId="0" applyAlignment="1" applyBorder="1" applyFont="1" applyNumberFormat="1">
      <alignment horizontal="center" vertical="center"/>
    </xf>
    <xf borderId="20" fillId="7" fontId="27" numFmtId="0" xfId="0" applyAlignment="1" applyBorder="1" applyFont="1">
      <alignment horizontal="center" vertical="center" wrapText="1"/>
    </xf>
    <xf borderId="130" fillId="5" fontId="38" numFmtId="167" xfId="0" applyAlignment="1" applyBorder="1" applyFont="1" applyNumberFormat="1">
      <alignment horizontal="center" vertical="center"/>
    </xf>
    <xf borderId="0" fillId="20" fontId="15" numFmtId="3" xfId="0" applyAlignment="1" applyBorder="1" applyFont="1" applyNumberFormat="1">
      <alignment horizontal="center"/>
    </xf>
    <xf borderId="0" fillId="7" fontId="15" numFmtId="3" xfId="0" applyAlignment="1" applyBorder="1" applyFont="1" applyNumberFormat="1">
      <alignment horizontal="center"/>
    </xf>
    <xf borderId="98" fillId="7" fontId="15" numFmtId="3" xfId="0" applyAlignment="1" applyBorder="1" applyFont="1" applyNumberFormat="1">
      <alignment horizontal="center"/>
    </xf>
    <xf borderId="50" fillId="7" fontId="15" numFmtId="3" xfId="0" applyAlignment="1" applyBorder="1" applyFont="1" applyNumberFormat="1">
      <alignment horizontal="center"/>
    </xf>
    <xf borderId="134" fillId="5" fontId="39" numFmtId="168" xfId="0" applyAlignment="1" applyBorder="1" applyFont="1" applyNumberFormat="1">
      <alignment horizontal="center" vertical="center"/>
    </xf>
    <xf borderId="140" fillId="4" fontId="31" numFmtId="0" xfId="0" applyAlignment="1" applyBorder="1" applyFont="1">
      <alignment horizontal="left" vertical="center" wrapText="1"/>
    </xf>
    <xf borderId="141" fillId="0" fontId="2" numFmtId="0" xfId="0" applyBorder="1" applyFont="1"/>
    <xf borderId="0" fillId="0" fontId="2" numFmtId="0" xfId="0" applyBorder="1" applyFont="1"/>
    <xf borderId="142" fillId="0" fontId="39" numFmtId="167" xfId="0" applyAlignment="1" applyBorder="1" applyFont="1" applyNumberFormat="1">
      <alignment horizontal="center" vertical="center"/>
    </xf>
    <xf borderId="0" fillId="0" fontId="2" numFmtId="0" xfId="0" applyBorder="1" applyFont="1"/>
    <xf borderId="143" fillId="0" fontId="39" numFmtId="167" xfId="0" applyAlignment="1" applyBorder="1" applyFont="1" applyNumberFormat="1">
      <alignment horizontal="center" vertical="center"/>
    </xf>
    <xf borderId="144" fillId="0" fontId="39" numFmtId="167" xfId="0" applyAlignment="1" applyBorder="1" applyFont="1" applyNumberFormat="1">
      <alignment horizontal="center" vertical="center"/>
    </xf>
    <xf borderId="145" fillId="4" fontId="39" numFmtId="167" xfId="0" applyAlignment="1" applyBorder="1" applyFont="1" applyNumberFormat="1">
      <alignment horizontal="center" vertical="center"/>
    </xf>
    <xf borderId="146" fillId="4" fontId="39" numFmtId="167" xfId="0" applyAlignment="1" applyBorder="1" applyFont="1" applyNumberFormat="1">
      <alignment horizontal="center" vertical="center"/>
    </xf>
    <xf borderId="147" fillId="4" fontId="14" numFmtId="0" xfId="0" applyAlignment="1" applyBorder="1" applyFont="1">
      <alignment horizontal="left" vertical="center" wrapText="1"/>
    </xf>
    <xf borderId="111" fillId="4" fontId="14" numFmtId="0" xfId="0" applyAlignment="1" applyBorder="1" applyFont="1">
      <alignment horizontal="center" vertical="center"/>
    </xf>
    <xf borderId="120" fillId="0" fontId="37" numFmtId="0" xfId="0" applyAlignment="1" applyBorder="1" applyFont="1">
      <alignment horizontal="center" vertical="center"/>
    </xf>
    <xf borderId="148" fillId="18" fontId="15" numFmtId="0" xfId="0" applyAlignment="1" applyBorder="1" applyFont="1">
      <alignment horizontal="left" vertical="center" wrapText="1"/>
    </xf>
    <xf borderId="148" fillId="18" fontId="15" numFmtId="0" xfId="0" applyAlignment="1" applyBorder="1" applyFont="1">
      <alignment horizontal="center" vertical="center" wrapText="1"/>
    </xf>
    <xf borderId="0" fillId="10" fontId="15" numFmtId="0" xfId="0" applyAlignment="1" applyBorder="1" applyFont="1">
      <alignment wrapText="1"/>
    </xf>
    <xf borderId="0" fillId="10" fontId="14" numFmtId="3" xfId="0" applyAlignment="1" applyBorder="1" applyFont="1" applyNumberFormat="1">
      <alignment wrapText="1"/>
    </xf>
    <xf borderId="0" fillId="5" fontId="11" numFmtId="0" xfId="0" applyAlignment="1" applyBorder="1" applyFont="1">
      <alignment horizontal="center" vertical="center"/>
    </xf>
    <xf borderId="0" fillId="5" fontId="11" numFmtId="17" xfId="0" applyAlignment="1" applyBorder="1" applyFont="1" applyNumberFormat="1">
      <alignment horizontal="center" shrinkToFit="1" vertical="center"/>
    </xf>
    <xf borderId="0" fillId="10" fontId="12" numFmtId="0" xfId="0" applyAlignment="1" applyBorder="1" applyFont="1">
      <alignment shrinkToFit="1"/>
    </xf>
    <xf borderId="0" fillId="14" fontId="10" numFmtId="0" xfId="0" applyAlignment="1" applyBorder="1" applyFont="1">
      <alignment horizontal="center" vertical="center"/>
    </xf>
    <xf borderId="0" fillId="14" fontId="11" numFmtId="0" xfId="0" applyAlignment="1" applyBorder="1" applyFont="1">
      <alignment horizontal="center" vertical="center" wrapText="1"/>
    </xf>
    <xf borderId="0" fillId="14" fontId="11" numFmtId="17" xfId="0" applyAlignment="1" applyBorder="1" applyFont="1" applyNumberFormat="1">
      <alignment horizontal="center" shrinkToFit="1" vertical="center"/>
    </xf>
    <xf borderId="76" fillId="16" fontId="15" numFmtId="3" xfId="0" applyAlignment="1" applyBorder="1" applyFont="1" applyNumberFormat="1">
      <alignment horizontal="center" wrapText="1"/>
    </xf>
    <xf borderId="133" fillId="16" fontId="15" numFmtId="164" xfId="0" applyAlignment="1" applyBorder="1" applyFont="1" applyNumberFormat="1">
      <alignment horizontal="center"/>
    </xf>
    <xf borderId="76" fillId="16" fontId="14" numFmtId="3" xfId="0" applyAlignment="1" applyBorder="1" applyFont="1" applyNumberFormat="1">
      <alignment horizontal="center" vertical="center"/>
    </xf>
    <xf borderId="149" fillId="16" fontId="14" numFmtId="3" xfId="0" applyAlignment="1" applyBorder="1" applyFont="1" applyNumberFormat="1">
      <alignment horizontal="center" vertical="center"/>
    </xf>
    <xf borderId="150" fillId="0" fontId="37" numFmtId="0" xfId="0" applyAlignment="1" applyBorder="1" applyFont="1">
      <alignment horizontal="center" vertical="center"/>
    </xf>
    <xf borderId="18" fillId="17" fontId="15" numFmtId="17" xfId="0" applyAlignment="1" applyBorder="1" applyFont="1" applyNumberFormat="1">
      <alignment horizontal="center" shrinkToFit="1" vertical="center"/>
    </xf>
    <xf borderId="18" fillId="17" fontId="15" numFmtId="9" xfId="0" applyAlignment="1" applyBorder="1" applyFont="1" applyNumberFormat="1">
      <alignment horizontal="center"/>
    </xf>
    <xf borderId="18" fillId="17" fontId="15" numFmtId="3" xfId="0" applyAlignment="1" applyBorder="1" applyFont="1" applyNumberFormat="1">
      <alignment horizontal="center" vertical="center"/>
    </xf>
    <xf borderId="151" fillId="0" fontId="38" numFmtId="167" xfId="0" applyAlignment="1" applyBorder="1" applyFont="1" applyNumberFormat="1">
      <alignment horizontal="center" vertical="center"/>
    </xf>
    <xf borderId="152" fillId="0" fontId="2" numFmtId="0" xfId="0" applyBorder="1" applyFont="1"/>
    <xf borderId="111" fillId="16" fontId="15" numFmtId="0" xfId="0" applyAlignment="1" applyBorder="1" applyFont="1">
      <alignment horizontal="left" vertical="center"/>
    </xf>
    <xf borderId="95" fillId="16" fontId="15" numFmtId="0" xfId="0" applyAlignment="1" applyBorder="1" applyFont="1">
      <alignment horizontal="center"/>
    </xf>
    <xf borderId="0" fillId="16" fontId="15" numFmtId="0" xfId="0" applyAlignment="1" applyBorder="1" applyFont="1">
      <alignment horizontal="center"/>
    </xf>
    <xf borderId="95" fillId="16" fontId="15" numFmtId="17" xfId="0" applyAlignment="1" applyBorder="1" applyFont="1" applyNumberFormat="1">
      <alignment horizontal="center" vertical="center" wrapText="1"/>
    </xf>
    <xf borderId="0" fillId="16" fontId="15" numFmtId="17" xfId="0" applyAlignment="1" applyBorder="1" applyFont="1" applyNumberFormat="1">
      <alignment horizontal="center" vertical="center" wrapText="1"/>
    </xf>
    <xf borderId="95" fillId="16" fontId="15" numFmtId="3" xfId="0" applyAlignment="1" applyBorder="1" applyFont="1" applyNumberFormat="1">
      <alignment horizontal="center" wrapText="1"/>
    </xf>
    <xf borderId="0" fillId="16" fontId="15" numFmtId="164" xfId="0" applyAlignment="1" applyBorder="1" applyFont="1" applyNumberFormat="1">
      <alignment horizontal="center"/>
    </xf>
    <xf borderId="95" fillId="16" fontId="14" numFmtId="3" xfId="0" applyAlignment="1" applyBorder="1" applyFont="1" applyNumberFormat="1">
      <alignment horizontal="center" vertical="center"/>
    </xf>
    <xf borderId="97" fillId="16" fontId="14" numFmtId="3" xfId="0" applyAlignment="1" applyBorder="1" applyFont="1" applyNumberFormat="1">
      <alignment horizontal="center" vertical="center"/>
    </xf>
    <xf borderId="153" fillId="0" fontId="2" numFmtId="0" xfId="0" applyBorder="1" applyFont="1"/>
    <xf borderId="154" fillId="16" fontId="15" numFmtId="0" xfId="0" applyAlignment="1" applyBorder="1" applyFont="1">
      <alignment horizontal="left" vertical="center"/>
    </xf>
    <xf borderId="155" fillId="16" fontId="15" numFmtId="0" xfId="0" applyAlignment="1" applyBorder="1" applyFont="1">
      <alignment horizontal="center" vertical="center"/>
    </xf>
    <xf borderId="156" fillId="16" fontId="15" numFmtId="0" xfId="0" applyAlignment="1" applyBorder="1" applyFont="1">
      <alignment horizontal="center" vertical="center"/>
    </xf>
    <xf borderId="155" fillId="16" fontId="15" numFmtId="17" xfId="0" applyAlignment="1" applyBorder="1" applyFont="1" applyNumberFormat="1">
      <alignment horizontal="center" shrinkToFit="1" vertical="center"/>
    </xf>
    <xf borderId="156" fillId="16" fontId="15" numFmtId="17" xfId="0" applyAlignment="1" applyBorder="1" applyFont="1" applyNumberFormat="1">
      <alignment horizontal="center" shrinkToFit="1" vertical="center"/>
    </xf>
    <xf borderId="155" fillId="16" fontId="14" numFmtId="3" xfId="0" applyAlignment="1" applyBorder="1" applyFont="1" applyNumberFormat="1">
      <alignment horizontal="center" vertical="center"/>
    </xf>
    <xf borderId="156" fillId="16" fontId="14" numFmtId="3" xfId="0" applyAlignment="1" applyBorder="1" applyFont="1" applyNumberFormat="1">
      <alignment horizontal="center" vertical="center"/>
    </xf>
    <xf borderId="155" fillId="16" fontId="15" numFmtId="3" xfId="0" applyAlignment="1" applyBorder="1" applyFont="1" applyNumberFormat="1">
      <alignment horizontal="center" vertical="center"/>
    </xf>
    <xf borderId="157" fillId="16" fontId="15" numFmtId="3" xfId="0" applyAlignment="1" applyBorder="1" applyFont="1" applyNumberFormat="1">
      <alignment horizontal="center" vertical="center"/>
    </xf>
    <xf borderId="0" fillId="14" fontId="36" numFmtId="3" xfId="0" applyAlignment="1" applyBorder="1" applyFont="1" applyNumberFormat="1">
      <alignment horizontal="center" vertical="center" wrapText="1"/>
    </xf>
    <xf borderId="48" fillId="16" fontId="20" numFmtId="0" xfId="0" applyAlignment="1" applyBorder="1" applyFont="1">
      <alignment horizontal="center" readingOrder="2" vertical="center" wrapText="1"/>
    </xf>
    <xf borderId="158" fillId="16" fontId="15" numFmtId="0" xfId="0" applyAlignment="1" applyBorder="1" applyFont="1">
      <alignment horizontal="left" vertical="center"/>
    </xf>
    <xf borderId="111" fillId="16" fontId="15" numFmtId="0" xfId="0" applyAlignment="1" applyBorder="1" applyFont="1">
      <alignment horizontal="center" vertical="center"/>
    </xf>
    <xf borderId="111" fillId="16" fontId="15" numFmtId="17" xfId="0" applyAlignment="1" applyBorder="1" applyFont="1" applyNumberFormat="1">
      <alignment horizontal="center" shrinkToFit="1" vertical="center"/>
    </xf>
    <xf borderId="112" fillId="16" fontId="15" numFmtId="17" xfId="0" applyAlignment="1" applyBorder="1" applyFont="1" applyNumberFormat="1">
      <alignment horizontal="center" shrinkToFit="1" vertical="center"/>
    </xf>
    <xf borderId="111" fillId="16" fontId="14" numFmtId="3" xfId="0" applyAlignment="1" applyBorder="1" applyFont="1" applyNumberFormat="1">
      <alignment horizontal="center" vertical="center"/>
    </xf>
    <xf borderId="111" fillId="16" fontId="14" numFmtId="9" xfId="0" applyAlignment="1" applyBorder="1" applyFont="1" applyNumberFormat="1">
      <alignment horizontal="center" vertical="center"/>
    </xf>
    <xf borderId="112" fillId="16" fontId="14" numFmtId="3" xfId="0" applyAlignment="1" applyBorder="1" applyFont="1" applyNumberFormat="1">
      <alignment horizontal="center" vertical="center"/>
    </xf>
    <xf borderId="48" fillId="0" fontId="2" numFmtId="0" xfId="0" applyBorder="1" applyFont="1"/>
    <xf borderId="159" fillId="16" fontId="15" numFmtId="0" xfId="0" applyAlignment="1" applyBorder="1" applyFont="1">
      <alignment horizontal="left" vertical="center"/>
    </xf>
    <xf borderId="78" fillId="16" fontId="15" numFmtId="0" xfId="0" applyAlignment="1" applyBorder="1" applyFont="1">
      <alignment horizontal="center" vertical="center"/>
    </xf>
    <xf borderId="78" fillId="16" fontId="15" numFmtId="17" xfId="0" applyAlignment="1" applyBorder="1" applyFont="1" applyNumberFormat="1">
      <alignment horizontal="center" shrinkToFit="1" vertical="center"/>
    </xf>
    <xf borderId="160" fillId="16" fontId="15" numFmtId="17" xfId="0" applyAlignment="1" applyBorder="1" applyFont="1" applyNumberFormat="1">
      <alignment horizontal="center" shrinkToFit="1" vertical="center"/>
    </xf>
    <xf borderId="112" fillId="16" fontId="15" numFmtId="3" xfId="0" applyAlignment="1" applyBorder="1" applyFont="1" applyNumberFormat="1">
      <alignment horizontal="center" vertical="center"/>
    </xf>
    <xf borderId="0" fillId="10" fontId="13" numFmtId="0" xfId="0" applyAlignment="1" applyBorder="1" applyFont="1">
      <alignment horizontal="right" readingOrder="2" wrapText="1"/>
    </xf>
    <xf borderId="0" fillId="10" fontId="15" numFmtId="3" xfId="0" applyAlignment="1" applyBorder="1" applyFont="1" applyNumberFormat="1">
      <alignment wrapText="1"/>
    </xf>
    <xf borderId="0" fillId="10" fontId="17" numFmtId="0" xfId="0" applyAlignment="1" applyBorder="1" applyFont="1">
      <alignment horizontal="right" readingOrder="2" wrapText="1"/>
    </xf>
    <xf borderId="0" fillId="10" fontId="14" numFmtId="0" xfId="0" applyAlignment="1" applyBorder="1" applyFont="1">
      <alignment wrapText="1"/>
    </xf>
    <xf borderId="148" fillId="18" fontId="15" numFmtId="17" xfId="0" applyAlignment="1" applyBorder="1" applyFont="1" applyNumberFormat="1">
      <alignment horizontal="center" shrinkToFit="1" vertical="center"/>
    </xf>
    <xf borderId="0" fillId="10" fontId="15" numFmtId="0" xfId="0" applyAlignment="1" applyBorder="1" applyFont="1">
      <alignment shrinkToFit="1"/>
    </xf>
    <xf borderId="148" fillId="18" fontId="15" numFmtId="3" xfId="0" applyAlignment="1" applyBorder="1" applyFont="1" applyNumberFormat="1">
      <alignment horizontal="center" vertical="center" wrapText="1"/>
    </xf>
    <xf borderId="161" fillId="18" fontId="15" numFmtId="3" xfId="0" applyAlignment="1" applyBorder="1" applyFont="1" applyNumberFormat="1">
      <alignment horizontal="center" vertical="center" wrapText="1"/>
    </xf>
    <xf borderId="90" fillId="18" fontId="15" numFmtId="0" xfId="0" applyAlignment="1" applyBorder="1" applyFont="1">
      <alignment horizontal="center" vertical="center" wrapText="1"/>
    </xf>
    <xf borderId="162" fillId="4" fontId="14" numFmtId="169" xfId="0" applyAlignment="1" applyBorder="1" applyFont="1" applyNumberFormat="1">
      <alignment horizontal="center" vertical="center" wrapText="1"/>
    </xf>
    <xf borderId="81" fillId="4" fontId="14" numFmtId="17" xfId="0" applyAlignment="1" applyBorder="1" applyFont="1" applyNumberFormat="1">
      <alignment horizontal="center" shrinkToFit="1" vertical="center"/>
    </xf>
    <xf borderId="81" fillId="4" fontId="14" numFmtId="3" xfId="0" applyAlignment="1" applyBorder="1" applyFont="1" applyNumberFormat="1">
      <alignment horizontal="center" readingOrder="1" vertical="center"/>
    </xf>
    <xf borderId="81" fillId="4" fontId="14" numFmtId="9" xfId="0" applyAlignment="1" applyBorder="1" applyFont="1" applyNumberFormat="1">
      <alignment horizontal="center" readingOrder="1" vertical="center"/>
    </xf>
    <xf borderId="81" fillId="4" fontId="14" numFmtId="3" xfId="0" applyAlignment="1" applyBorder="1" applyFont="1" applyNumberFormat="1">
      <alignment horizontal="center" vertical="center"/>
    </xf>
    <xf borderId="50" fillId="7" fontId="16" numFmtId="0" xfId="0" applyAlignment="1" applyBorder="1" applyFont="1">
      <alignment horizontal="center" vertical="center" wrapText="1"/>
    </xf>
    <xf borderId="163" fillId="0" fontId="2" numFmtId="0" xfId="0" applyBorder="1" applyFont="1"/>
    <xf borderId="135" fillId="5" fontId="39" numFmtId="9" xfId="0" applyAlignment="1" applyBorder="1" applyFont="1" applyNumberFormat="1">
      <alignment horizontal="center" vertical="center"/>
    </xf>
    <xf borderId="20" fillId="4" fontId="42" numFmtId="3" xfId="0" applyAlignment="1" applyBorder="1" applyFont="1" applyNumberFormat="1">
      <alignment horizontal="center" vertical="center"/>
    </xf>
    <xf borderId="65" fillId="4" fontId="42" numFmtId="3" xfId="0" applyAlignment="1" applyBorder="1" applyFont="1" applyNumberFormat="1">
      <alignment horizontal="center" vertical="center"/>
    </xf>
    <xf borderId="164" fillId="0" fontId="43" numFmtId="0" xfId="0" applyAlignment="1" applyBorder="1" applyFont="1">
      <alignment horizontal="center" vertical="center" wrapText="1"/>
    </xf>
    <xf borderId="165" fillId="0" fontId="2" numFmtId="0" xfId="0" applyBorder="1" applyFont="1"/>
    <xf borderId="66" fillId="0" fontId="43" numFmtId="0" xfId="0" applyAlignment="1" applyBorder="1" applyFont="1">
      <alignment horizontal="center" vertical="center" wrapText="1"/>
    </xf>
    <xf borderId="166" fillId="4" fontId="42" numFmtId="9" xfId="0" applyAlignment="1" applyBorder="1" applyFont="1" applyNumberFormat="1">
      <alignment horizontal="center" vertical="center"/>
    </xf>
    <xf borderId="167" fillId="0" fontId="43" numFmtId="166" xfId="0" applyAlignment="1" applyBorder="1" applyFont="1" applyNumberFormat="1">
      <alignment horizontal="center" vertical="center" wrapText="1"/>
    </xf>
    <xf borderId="37" fillId="0" fontId="43" numFmtId="3" xfId="0" applyAlignment="1" applyBorder="1" applyFont="1" applyNumberFormat="1">
      <alignment horizontal="center" vertical="center" wrapText="1"/>
    </xf>
    <xf borderId="168" fillId="4" fontId="14" numFmtId="3" xfId="0" applyAlignment="1" applyBorder="1" applyFont="1" applyNumberFormat="1">
      <alignment horizontal="center" vertical="center"/>
    </xf>
    <xf borderId="169" fillId="0" fontId="2" numFmtId="0" xfId="0" applyBorder="1" applyFont="1"/>
    <xf borderId="170" fillId="4" fontId="15" numFmtId="0" xfId="0" applyAlignment="1" applyBorder="1" applyFont="1">
      <alignment horizontal="left" vertical="center"/>
    </xf>
    <xf borderId="171" fillId="4" fontId="15" numFmtId="0" xfId="0" applyAlignment="1" applyBorder="1" applyFont="1">
      <alignment horizontal="center" vertical="center"/>
    </xf>
    <xf borderId="172" fillId="4" fontId="15" numFmtId="0" xfId="0" applyAlignment="1" applyBorder="1" applyFont="1">
      <alignment horizontal="center" vertical="center"/>
    </xf>
    <xf borderId="171" fillId="4" fontId="14" numFmtId="17" xfId="0" applyAlignment="1" applyBorder="1" applyFont="1" applyNumberFormat="1">
      <alignment horizontal="center" vertical="center"/>
    </xf>
    <xf borderId="173" fillId="18" fontId="15" numFmtId="3" xfId="0" applyAlignment="1" applyBorder="1" applyFont="1" applyNumberFormat="1">
      <alignment horizontal="center" vertical="center" wrapText="1"/>
    </xf>
    <xf borderId="174" fillId="0" fontId="39" numFmtId="168" xfId="0" applyAlignment="1" applyBorder="1" applyFont="1" applyNumberFormat="1">
      <alignment horizontal="center" vertical="center"/>
    </xf>
    <xf borderId="175" fillId="0" fontId="39" numFmtId="9" xfId="0" applyAlignment="1" applyBorder="1" applyFont="1" applyNumberFormat="1">
      <alignment horizontal="center" vertical="center"/>
    </xf>
    <xf borderId="0" fillId="10" fontId="31" numFmtId="0" xfId="0" applyAlignment="1" applyBorder="1" applyFont="1">
      <alignment wrapText="1"/>
    </xf>
    <xf borderId="0" fillId="10" fontId="15" numFmtId="1" xfId="0" applyAlignment="1" applyBorder="1" applyFont="1" applyNumberFormat="1">
      <alignment wrapText="1"/>
    </xf>
    <xf borderId="0" fillId="5" fontId="12" numFmtId="3" xfId="0" applyAlignment="1" applyBorder="1" applyFont="1" applyNumberFormat="1">
      <alignment wrapText="1"/>
    </xf>
    <xf borderId="0" fillId="19" fontId="12" numFmtId="0" xfId="0" applyBorder="1" applyFont="1"/>
    <xf borderId="158" fillId="16" fontId="14" numFmtId="0" xfId="0" applyAlignment="1" applyBorder="1" applyFont="1">
      <alignment vertical="center"/>
    </xf>
    <xf borderId="111" fillId="16" fontId="14" numFmtId="0" xfId="0" applyAlignment="1" applyBorder="1" applyFont="1">
      <alignment horizontal="center" vertical="center"/>
    </xf>
    <xf borderId="112" fillId="16" fontId="14" numFmtId="0" xfId="0" applyAlignment="1" applyBorder="1" applyFont="1">
      <alignment horizontal="center" vertical="center"/>
    </xf>
    <xf borderId="111" fillId="16" fontId="14" numFmtId="17" xfId="0" applyAlignment="1" applyBorder="1" applyFont="1" applyNumberFormat="1">
      <alignment horizontal="center" vertical="center"/>
    </xf>
    <xf borderId="160" fillId="16" fontId="14" numFmtId="17" xfId="0" applyAlignment="1" applyBorder="1" applyFont="1" applyNumberFormat="1">
      <alignment horizontal="center" vertical="center"/>
    </xf>
    <xf borderId="0" fillId="14" fontId="11" numFmtId="3" xfId="0" applyAlignment="1" applyBorder="1" applyFont="1" applyNumberFormat="1">
      <alignment horizontal="center" vertical="center" wrapText="1"/>
    </xf>
    <xf borderId="0" fillId="14" fontId="11" numFmtId="0" xfId="0" applyAlignment="1" applyBorder="1" applyFont="1">
      <alignment horizontal="center" shrinkToFit="1" vertical="center"/>
    </xf>
    <xf borderId="0" fillId="14" fontId="36" numFmtId="17" xfId="0" applyAlignment="1" applyBorder="1" applyFont="1" applyNumberFormat="1">
      <alignment horizontal="center" shrinkToFit="1" vertical="center"/>
    </xf>
    <xf borderId="176" fillId="0" fontId="39" numFmtId="167" xfId="0" applyAlignment="1" applyBorder="1" applyFont="1" applyNumberFormat="1">
      <alignment horizontal="center" vertical="center"/>
    </xf>
    <xf borderId="0" fillId="14" fontId="36" numFmtId="0" xfId="0" applyAlignment="1" applyBorder="1" applyFont="1">
      <alignment horizontal="center" vertical="center" wrapText="1"/>
    </xf>
    <xf borderId="1" fillId="17" fontId="15" numFmtId="3" xfId="0" applyAlignment="1" applyBorder="1" applyFont="1" applyNumberFormat="1">
      <alignment horizontal="center" vertical="center"/>
    </xf>
    <xf borderId="0" fillId="14" fontId="36" numFmtId="17" xfId="0" applyAlignment="1" applyBorder="1" applyFont="1" applyNumberFormat="1">
      <alignment horizontal="center" shrinkToFit="1" vertical="center"/>
    </xf>
    <xf borderId="18" fillId="0" fontId="15" numFmtId="17" xfId="0" applyAlignment="1" applyBorder="1" applyFont="1" applyNumberFormat="1">
      <alignment horizontal="center" shrinkToFit="1" vertical="center"/>
    </xf>
    <xf borderId="18" fillId="0" fontId="15" numFmtId="9" xfId="0" applyAlignment="1" applyBorder="1" applyFont="1" applyNumberFormat="1">
      <alignment horizontal="center"/>
    </xf>
    <xf borderId="1" fillId="0" fontId="15" numFmtId="3" xfId="0" applyAlignment="1" applyBorder="1" applyFont="1" applyNumberFormat="1">
      <alignment horizontal="center" vertical="center"/>
    </xf>
    <xf borderId="0" fillId="14" fontId="41" numFmtId="17" xfId="0" applyAlignment="1" applyBorder="1" applyFont="1" applyNumberFormat="1">
      <alignment horizontal="center" shrinkToFit="1" vertical="center"/>
    </xf>
    <xf borderId="177" fillId="0" fontId="39" numFmtId="167" xfId="0" applyAlignment="1" applyBorder="1" applyFont="1" applyNumberFormat="1">
      <alignment horizontal="center" vertical="center"/>
    </xf>
    <xf borderId="160" fillId="16" fontId="14" numFmtId="3" xfId="0" applyAlignment="1" applyBorder="1" applyFont="1" applyNumberFormat="1">
      <alignment horizontal="center" vertical="center"/>
    </xf>
    <xf borderId="48" fillId="0" fontId="2" numFmtId="0" xfId="0" applyBorder="1" applyFont="1"/>
    <xf borderId="178" fillId="16" fontId="15" numFmtId="0" xfId="0" applyAlignment="1" applyBorder="1" applyFont="1">
      <alignment horizontal="left" vertical="center"/>
    </xf>
    <xf borderId="0" fillId="0" fontId="2" numFmtId="0" xfId="0" applyBorder="1" applyFont="1"/>
    <xf borderId="60" fillId="16" fontId="17" numFmtId="0" xfId="0" applyAlignment="1" applyBorder="1" applyFont="1">
      <alignment horizontal="center" readingOrder="2" vertical="center" wrapText="1"/>
    </xf>
    <xf borderId="0" fillId="19" fontId="12" numFmtId="0" xfId="0" applyAlignment="1" applyBorder="1" applyFont="1">
      <alignment wrapText="1"/>
    </xf>
    <xf borderId="0" fillId="10" fontId="17" numFmtId="1" xfId="0" applyAlignment="1" applyBorder="1" applyFont="1" applyNumberFormat="1">
      <alignment wrapText="1"/>
    </xf>
    <xf borderId="0" fillId="10" fontId="17" numFmtId="3" xfId="0" applyAlignment="1" applyBorder="1" applyFont="1" applyNumberFormat="1">
      <alignment wrapText="1"/>
    </xf>
    <xf borderId="179" fillId="17" fontId="17" numFmtId="0" xfId="0" applyAlignment="1" applyBorder="1" applyFont="1">
      <alignment horizontal="center" readingOrder="2" vertical="center" wrapText="1"/>
    </xf>
    <xf borderId="128" fillId="0" fontId="39" numFmtId="167" xfId="0" applyAlignment="1" applyBorder="1" applyFont="1" applyNumberFormat="1">
      <alignment horizontal="center" vertical="center"/>
    </xf>
    <xf borderId="0" fillId="5" fontId="31" numFmtId="0" xfId="0" applyAlignment="1" applyBorder="1" applyFont="1">
      <alignment wrapText="1"/>
    </xf>
    <xf borderId="0" fillId="5" fontId="15" numFmtId="1" xfId="0" applyAlignment="1" applyBorder="1" applyFont="1" applyNumberFormat="1">
      <alignment wrapText="1"/>
    </xf>
    <xf borderId="171" fillId="4" fontId="15" numFmtId="3" xfId="0" applyAlignment="1" applyBorder="1" applyFont="1" applyNumberFormat="1">
      <alignment horizontal="center" vertical="center"/>
    </xf>
    <xf borderId="147" fillId="18" fontId="15" numFmtId="17" xfId="0" applyAlignment="1" applyBorder="1" applyFont="1" applyNumberFormat="1">
      <alignment horizontal="center" shrinkToFit="1" vertical="center"/>
    </xf>
    <xf borderId="162" fillId="0" fontId="2" numFmtId="0" xfId="0" applyBorder="1" applyFont="1"/>
    <xf borderId="74" fillId="0" fontId="43" numFmtId="3" xfId="0" applyAlignment="1" applyBorder="1" applyFont="1" applyNumberFormat="1">
      <alignment horizontal="center" vertical="center" wrapText="1"/>
    </xf>
    <xf borderId="38" fillId="0" fontId="43" numFmtId="0" xfId="0" applyAlignment="1" applyBorder="1" applyFont="1">
      <alignment horizontal="center" vertical="center" wrapText="1"/>
    </xf>
    <xf borderId="180" fillId="18" fontId="15" numFmtId="0" xfId="0" applyAlignment="1" applyBorder="1" applyFont="1">
      <alignment horizontal="left" vertical="center" wrapText="1"/>
    </xf>
    <xf borderId="180" fillId="18" fontId="15" numFmtId="0" xfId="0" applyAlignment="1" applyBorder="1" applyFont="1">
      <alignment horizontal="center" vertical="center" wrapText="1"/>
    </xf>
    <xf borderId="180" fillId="18" fontId="15" numFmtId="17" xfId="0" applyAlignment="1" applyBorder="1" applyFont="1" applyNumberFormat="1">
      <alignment horizontal="center" shrinkToFit="1" vertical="center"/>
    </xf>
    <xf borderId="181" fillId="4" fontId="42" numFmtId="9" xfId="0" applyAlignment="1" applyBorder="1" applyFont="1" applyNumberFormat="1">
      <alignment horizontal="center" vertical="center"/>
    </xf>
    <xf borderId="0" fillId="6" fontId="16" numFmtId="0" xfId="0" applyAlignment="1" applyBorder="1" applyFont="1">
      <alignment horizontal="left"/>
    </xf>
    <xf borderId="49" fillId="6" fontId="15" numFmtId="0" xfId="0" applyAlignment="1" applyBorder="1" applyFont="1">
      <alignment horizontal="left"/>
    </xf>
    <xf borderId="142" fillId="5" fontId="39" numFmtId="167" xfId="0" applyAlignment="1" applyBorder="1" applyFont="1" applyNumberFormat="1">
      <alignment horizontal="center" vertical="center"/>
    </xf>
    <xf borderId="24" fillId="22" fontId="44" numFmtId="0" xfId="0" applyAlignment="1" applyBorder="1" applyFill="1" applyFont="1">
      <alignment horizontal="left"/>
    </xf>
    <xf borderId="143" fillId="5" fontId="39" numFmtId="167" xfId="0" applyAlignment="1" applyBorder="1" applyFont="1" applyNumberFormat="1">
      <alignment horizontal="center" vertical="center"/>
    </xf>
    <xf borderId="180" fillId="18" fontId="15" numFmtId="3" xfId="0" applyAlignment="1" applyBorder="1" applyFont="1" applyNumberFormat="1">
      <alignment horizontal="center" vertical="center" wrapText="1"/>
    </xf>
    <xf borderId="144" fillId="5" fontId="39" numFmtId="167" xfId="0" applyAlignment="1" applyBorder="1" applyFont="1" applyNumberFormat="1">
      <alignment horizontal="center" vertical="center"/>
    </xf>
    <xf borderId="182" fillId="0" fontId="43" numFmtId="0" xfId="0" applyAlignment="1" applyBorder="1" applyFont="1">
      <alignment horizontal="center" vertical="center" wrapText="1"/>
    </xf>
    <xf borderId="171" fillId="4" fontId="15" numFmtId="9" xfId="0" applyAlignment="1" applyBorder="1" applyFont="1" applyNumberFormat="1">
      <alignment horizontal="center" vertical="center"/>
    </xf>
    <xf borderId="183" fillId="4" fontId="15" numFmtId="3" xfId="0" applyAlignment="1" applyBorder="1" applyFont="1" applyNumberFormat="1">
      <alignment horizontal="center" vertical="center"/>
    </xf>
    <xf borderId="0" fillId="19" fontId="17" numFmtId="0" xfId="0" applyBorder="1" applyFont="1"/>
    <xf borderId="59" fillId="4" fontId="17" numFmtId="0" xfId="0" applyAlignment="1" applyBorder="1" applyFont="1">
      <alignment horizontal="center" readingOrder="2" vertical="center" wrapText="1"/>
    </xf>
    <xf borderId="111" fillId="4" fontId="14" numFmtId="0" xfId="0" applyAlignment="1" applyBorder="1" applyFont="1">
      <alignment vertical="center"/>
    </xf>
    <xf borderId="78" fillId="4" fontId="15" numFmtId="0" xfId="0" applyAlignment="1" applyBorder="1" applyFont="1">
      <alignment horizontal="center" vertical="center"/>
    </xf>
    <xf borderId="184" fillId="4" fontId="39" numFmtId="167" xfId="0" applyAlignment="1" applyBorder="1" applyFont="1" applyNumberFormat="1">
      <alignment horizontal="center" vertical="center"/>
    </xf>
    <xf borderId="185" fillId="4" fontId="39" numFmtId="167" xfId="0" applyAlignment="1" applyBorder="1" applyFont="1" applyNumberFormat="1">
      <alignment horizontal="center" vertical="center"/>
    </xf>
    <xf borderId="0" fillId="16" fontId="12" numFmtId="0" xfId="0" applyAlignment="1" applyBorder="1" applyFont="1">
      <alignment shrinkToFit="1"/>
    </xf>
    <xf borderId="77" fillId="16" fontId="15" numFmtId="0" xfId="0" applyAlignment="1" applyBorder="1" applyFont="1">
      <alignment horizontal="left"/>
    </xf>
    <xf borderId="77" fillId="16" fontId="15" numFmtId="17" xfId="0" applyAlignment="1" applyBorder="1" applyFont="1" applyNumberFormat="1">
      <alignment horizontal="center" shrinkToFit="1" vertical="center"/>
    </xf>
    <xf borderId="78" fillId="16" fontId="14" numFmtId="3" xfId="0" applyAlignment="1" applyBorder="1" applyFont="1" applyNumberFormat="1">
      <alignment horizontal="center" vertical="center"/>
    </xf>
    <xf borderId="78" fillId="16" fontId="14" numFmtId="9" xfId="0" applyAlignment="1" applyBorder="1" applyFont="1" applyNumberFormat="1">
      <alignment horizontal="center" vertical="center"/>
    </xf>
    <xf borderId="78" fillId="16" fontId="15" numFmtId="3" xfId="0" applyAlignment="1" applyBorder="1" applyFont="1" applyNumberFormat="1">
      <alignment horizontal="center"/>
    </xf>
    <xf borderId="95" fillId="0" fontId="2" numFmtId="0" xfId="0" applyBorder="1" applyFont="1"/>
    <xf borderId="186" fillId="4" fontId="39" numFmtId="9" xfId="0" applyAlignment="1" applyBorder="1" applyFont="1" applyNumberFormat="1">
      <alignment horizontal="center" vertical="center"/>
    </xf>
    <xf borderId="112" fillId="16" fontId="15" numFmtId="0" xfId="0" applyAlignment="1" applyBorder="1" applyFont="1">
      <alignment horizontal="left" vertical="center"/>
    </xf>
    <xf borderId="137" fillId="16" fontId="15" numFmtId="0" xfId="0" applyAlignment="1" applyBorder="1" applyFont="1">
      <alignment horizontal="center" vertical="center"/>
    </xf>
    <xf borderId="137" fillId="16" fontId="15" numFmtId="0" xfId="0" applyAlignment="1" applyBorder="1" applyFont="1">
      <alignment horizontal="center" vertical="center" wrapText="1"/>
    </xf>
    <xf borderId="137" fillId="16" fontId="15" numFmtId="17" xfId="0" applyAlignment="1" applyBorder="1" applyFont="1" applyNumberFormat="1">
      <alignment horizontal="center" shrinkToFit="1" vertical="center"/>
    </xf>
    <xf borderId="187" fillId="16" fontId="15" numFmtId="17" xfId="0" applyAlignment="1" applyBorder="1" applyFont="1" applyNumberFormat="1">
      <alignment horizontal="center" shrinkToFit="1" vertical="center"/>
    </xf>
    <xf borderId="137" fillId="16" fontId="14" numFmtId="3" xfId="0" applyAlignment="1" applyBorder="1" applyFont="1" applyNumberFormat="1">
      <alignment horizontal="center" vertical="center"/>
    </xf>
    <xf borderId="187" fillId="16" fontId="14" numFmtId="9" xfId="0" applyAlignment="1" applyBorder="1" applyFont="1" applyNumberFormat="1">
      <alignment horizontal="center" vertical="center"/>
    </xf>
    <xf borderId="137" fillId="16" fontId="15" numFmtId="3" xfId="0" applyAlignment="1" applyBorder="1" applyFont="1" applyNumberFormat="1">
      <alignment horizontal="center" vertical="center"/>
    </xf>
    <xf borderId="0" fillId="14" fontId="41" numFmtId="3" xfId="0" applyAlignment="1" applyBorder="1" applyFont="1" applyNumberFormat="1">
      <alignment horizontal="center" vertical="center" wrapText="1"/>
    </xf>
    <xf borderId="18" fillId="4" fontId="14" numFmtId="0" xfId="0" applyAlignment="1" applyBorder="1" applyFont="1">
      <alignment vertical="center"/>
    </xf>
    <xf borderId="18" fillId="4" fontId="15" numFmtId="9" xfId="0" applyAlignment="1" applyBorder="1" applyFont="1" applyNumberFormat="1">
      <alignment horizontal="center" vertical="center"/>
    </xf>
    <xf borderId="112" fillId="16" fontId="15" numFmtId="0" xfId="0" applyAlignment="1" applyBorder="1" applyFont="1">
      <alignment horizontal="center" vertical="center"/>
    </xf>
    <xf borderId="112" fillId="16" fontId="15" numFmtId="0" xfId="0" applyAlignment="1" applyBorder="1" applyFont="1">
      <alignment horizontal="center" vertical="center" wrapText="1"/>
    </xf>
    <xf borderId="160" fillId="16" fontId="14" numFmtId="9" xfId="0" applyAlignment="1" applyBorder="1" applyFont="1" applyNumberFormat="1">
      <alignment horizontal="center" vertical="center"/>
    </xf>
    <xf borderId="111" fillId="16" fontId="15" numFmtId="3" xfId="0" applyAlignment="1" applyBorder="1" applyFont="1" applyNumberFormat="1">
      <alignment horizontal="center" vertical="center"/>
    </xf>
    <xf borderId="111" fillId="16" fontId="15" numFmtId="3" xfId="0" applyAlignment="1" applyBorder="1" applyFont="1" applyNumberFormat="1">
      <alignment horizontal="center"/>
    </xf>
    <xf borderId="188" fillId="5" fontId="37" numFmtId="0" xfId="0" applyAlignment="1" applyBorder="1" applyFont="1">
      <alignment horizontal="center" vertical="center"/>
    </xf>
    <xf borderId="0" fillId="18" fontId="13" numFmtId="0" xfId="0" applyAlignment="1" applyBorder="1" applyFont="1">
      <alignment wrapText="1"/>
    </xf>
    <xf borderId="0" fillId="0" fontId="13" numFmtId="0" xfId="0" applyFont="1"/>
    <xf borderId="189" fillId="0" fontId="38" numFmtId="167" xfId="0" applyAlignment="1" applyBorder="1" applyFont="1" applyNumberFormat="1">
      <alignment horizontal="center" vertical="center"/>
    </xf>
    <xf borderId="0" fillId="0" fontId="13" numFmtId="3" xfId="0" applyFont="1" applyNumberFormat="1"/>
    <xf borderId="190" fillId="0" fontId="39" numFmtId="168" xfId="0" applyAlignment="1" applyBorder="1" applyFont="1" applyNumberFormat="1">
      <alignment horizontal="center" vertical="center"/>
    </xf>
    <xf borderId="191" fillId="0" fontId="39" numFmtId="9" xfId="0" applyAlignment="1" applyBorder="1" applyFont="1" applyNumberFormat="1">
      <alignment horizontal="center" vertical="center"/>
    </xf>
    <xf borderId="0" fillId="10" fontId="12" numFmtId="1" xfId="0" applyAlignment="1" applyBorder="1" applyFont="1" applyNumberFormat="1">
      <alignment wrapText="1"/>
    </xf>
    <xf borderId="192" fillId="0" fontId="39" numFmtId="167" xfId="0" applyAlignment="1" applyBorder="1" applyFont="1" applyNumberFormat="1">
      <alignment horizontal="center" vertical="center"/>
    </xf>
    <xf borderId="113" fillId="4" fontId="14" numFmtId="0" xfId="0" applyAlignment="1" applyBorder="1" applyFont="1">
      <alignment horizontal="center" vertical="center"/>
    </xf>
    <xf borderId="20" fillId="0" fontId="2" numFmtId="0" xfId="0" applyBorder="1" applyFont="1"/>
    <xf borderId="111" fillId="4" fontId="15" numFmtId="17" xfId="0" applyAlignment="1" applyBorder="1" applyFont="1" applyNumberFormat="1">
      <alignment horizontal="center" vertical="center"/>
    </xf>
    <xf borderId="113" fillId="4" fontId="14" numFmtId="3" xfId="0" applyAlignment="1" applyBorder="1" applyFont="1" applyNumberFormat="1">
      <alignment horizontal="center" vertical="center"/>
    </xf>
    <xf borderId="60" fillId="4" fontId="17" numFmtId="0" xfId="0" applyAlignment="1" applyBorder="1" applyFont="1">
      <alignment horizontal="center" readingOrder="2" vertical="center" wrapText="1"/>
    </xf>
    <xf borderId="74" fillId="4" fontId="14" numFmtId="0" xfId="0" applyAlignment="1" applyBorder="1" applyFont="1">
      <alignment horizontal="center" vertical="center"/>
    </xf>
    <xf borderId="0" fillId="19" fontId="15" numFmtId="0" xfId="0" applyAlignment="1" applyBorder="1" applyFont="1">
      <alignment wrapText="1"/>
    </xf>
    <xf borderId="0" fillId="19" fontId="15" numFmtId="0" xfId="0" applyBorder="1" applyFont="1"/>
    <xf borderId="81" fillId="17" fontId="17" numFmtId="0" xfId="0" applyAlignment="1" applyBorder="1" applyFont="1">
      <alignment horizontal="center" readingOrder="2" vertical="center" wrapText="1"/>
    </xf>
    <xf borderId="81" fillId="0" fontId="15" numFmtId="0" xfId="0" applyAlignment="1" applyBorder="1" applyFont="1">
      <alignment horizontal="left" vertical="center"/>
    </xf>
    <xf borderId="81" fillId="0" fontId="15" numFmtId="0" xfId="0" applyAlignment="1" applyBorder="1" applyFont="1">
      <alignment horizontal="center" vertical="center"/>
    </xf>
    <xf borderId="81" fillId="0" fontId="15" numFmtId="17" xfId="0" applyAlignment="1" applyBorder="1" applyFont="1" applyNumberFormat="1">
      <alignment horizontal="center" shrinkToFit="1" vertical="center"/>
    </xf>
    <xf borderId="81" fillId="0" fontId="14" numFmtId="3" xfId="0" applyAlignment="1" applyBorder="1" applyFont="1" applyNumberFormat="1">
      <alignment horizontal="center" vertical="center"/>
    </xf>
    <xf borderId="81" fillId="0" fontId="14" numFmtId="9" xfId="0" applyAlignment="1" applyBorder="1" applyFont="1" applyNumberFormat="1">
      <alignment horizontal="center" vertical="center"/>
    </xf>
    <xf borderId="81" fillId="0" fontId="15" numFmtId="3" xfId="0" applyAlignment="1" applyBorder="1" applyFont="1" applyNumberFormat="1">
      <alignment horizontal="center" vertical="center"/>
    </xf>
    <xf borderId="81" fillId="17" fontId="17" numFmtId="0" xfId="0" applyAlignment="1" applyBorder="1" applyFont="1">
      <alignment horizontal="center" vertical="center"/>
    </xf>
    <xf borderId="148" fillId="0" fontId="15" numFmtId="0" xfId="0" applyAlignment="1" applyBorder="1" applyFont="1">
      <alignment horizontal="center" vertical="center" wrapText="1"/>
    </xf>
    <xf borderId="193" fillId="4" fontId="39" numFmtId="9" xfId="0" applyAlignment="1" applyBorder="1" applyFont="1" applyNumberFormat="1">
      <alignment horizontal="center" vertical="center"/>
    </xf>
    <xf borderId="194" fillId="18" fontId="15" numFmtId="3" xfId="0" applyAlignment="1" applyBorder="1" applyFont="1" applyNumberFormat="1">
      <alignment horizontal="center" vertical="center" wrapText="1"/>
    </xf>
    <xf borderId="0" fillId="6" fontId="15" numFmtId="0" xfId="0" applyAlignment="1" applyBorder="1" applyFont="1">
      <alignment horizontal="left" wrapText="1"/>
    </xf>
    <xf borderId="121" fillId="18" fontId="15" numFmtId="0" xfId="0" applyAlignment="1" applyBorder="1" applyFont="1">
      <alignment horizontal="left" shrinkToFit="1" vertical="center"/>
    </xf>
    <xf borderId="0" fillId="6" fontId="15" numFmtId="164" xfId="0" applyAlignment="1" applyBorder="1" applyFont="1" applyNumberFormat="1">
      <alignment horizontal="left"/>
    </xf>
    <xf borderId="189" fillId="5" fontId="38" numFmtId="167" xfId="0" applyAlignment="1" applyBorder="1" applyFont="1" applyNumberFormat="1">
      <alignment horizontal="center" vertical="center"/>
    </xf>
    <xf borderId="81" fillId="18" fontId="15" numFmtId="0" xfId="0" applyAlignment="1" applyBorder="1" applyFont="1">
      <alignment horizontal="left" shrinkToFit="1" vertical="center"/>
    </xf>
    <xf borderId="190" fillId="5" fontId="39" numFmtId="168" xfId="0" applyAlignment="1" applyBorder="1" applyFont="1" applyNumberFormat="1">
      <alignment horizontal="center" vertical="center"/>
    </xf>
    <xf borderId="90" fillId="18" fontId="14" numFmtId="3" xfId="0" applyAlignment="1" applyBorder="1" applyFont="1" applyNumberFormat="1">
      <alignment horizontal="center" vertical="center" wrapText="1"/>
    </xf>
    <xf borderId="0" fillId="6" fontId="15" numFmtId="164" xfId="0" applyAlignment="1" applyBorder="1" applyFont="1" applyNumberFormat="1">
      <alignment horizontal="center"/>
    </xf>
    <xf borderId="50" fillId="6" fontId="15" numFmtId="164" xfId="0" applyAlignment="1" applyBorder="1" applyFont="1" applyNumberFormat="1">
      <alignment horizontal="left"/>
    </xf>
    <xf borderId="81" fillId="17" fontId="15" numFmtId="3" xfId="0" applyAlignment="1" applyBorder="1" applyFont="1" applyNumberFormat="1">
      <alignment horizontal="center" vertical="center"/>
    </xf>
    <xf borderId="0" fillId="19" fontId="15" numFmtId="3" xfId="0" applyAlignment="1" applyBorder="1" applyFont="1" applyNumberFormat="1">
      <alignment horizontal="left" readingOrder="1"/>
    </xf>
    <xf borderId="0" fillId="19" fontId="15" numFmtId="3" xfId="0" applyBorder="1" applyFont="1" applyNumberFormat="1"/>
    <xf borderId="74" fillId="4" fontId="14" numFmtId="17" xfId="0" applyAlignment="1" applyBorder="1" applyFont="1" applyNumberFormat="1">
      <alignment horizontal="center" vertical="center"/>
    </xf>
    <xf borderId="74" fillId="4" fontId="14" numFmtId="3" xfId="0" applyAlignment="1" applyBorder="1" applyFont="1" applyNumberFormat="1">
      <alignment horizontal="center" vertical="center"/>
    </xf>
    <xf borderId="0" fillId="5" fontId="12" numFmtId="1" xfId="0" applyAlignment="1" applyBorder="1" applyFont="1" applyNumberFormat="1">
      <alignment wrapText="1"/>
    </xf>
    <xf borderId="0" fillId="5" fontId="13" numFmtId="1" xfId="0" applyAlignment="1" applyBorder="1" applyFont="1" applyNumberFormat="1">
      <alignment wrapText="1"/>
    </xf>
    <xf borderId="195" fillId="0" fontId="39" numFmtId="167" xfId="0" applyAlignment="1" applyBorder="1" applyFont="1" applyNumberFormat="1">
      <alignment horizontal="center" vertical="center"/>
    </xf>
    <xf borderId="196" fillId="0" fontId="2" numFmtId="0" xfId="0" applyBorder="1" applyFont="1"/>
    <xf borderId="197" fillId="0" fontId="2" numFmtId="0" xfId="0" applyBorder="1" applyFont="1"/>
    <xf borderId="0" fillId="10" fontId="12" numFmtId="9" xfId="0" applyAlignment="1" applyBorder="1" applyFont="1" applyNumberFormat="1">
      <alignment horizontal="left" readingOrder="1" wrapText="1"/>
    </xf>
    <xf borderId="0" fillId="10" fontId="12" numFmtId="3" xfId="0" applyAlignment="1" applyBorder="1" applyFont="1" applyNumberFormat="1">
      <alignment horizontal="left" readingOrder="1" wrapText="1"/>
    </xf>
    <xf borderId="132" fillId="16" fontId="15" numFmtId="0" xfId="0" applyAlignment="1" applyBorder="1" applyFont="1">
      <alignment horizontal="left" vertical="center"/>
    </xf>
    <xf borderId="132" fillId="16" fontId="15" numFmtId="0" xfId="0" applyAlignment="1" applyBorder="1" applyFont="1">
      <alignment horizontal="center" vertical="center"/>
    </xf>
    <xf borderId="132" fillId="16" fontId="15" numFmtId="0" xfId="0" applyAlignment="1" applyBorder="1" applyFont="1">
      <alignment horizontal="center" vertical="center" wrapText="1"/>
    </xf>
    <xf borderId="112" fillId="16" fontId="14" numFmtId="9" xfId="0" applyAlignment="1" applyBorder="1" applyFont="1" applyNumberFormat="1">
      <alignment horizontal="center" vertical="center"/>
    </xf>
    <xf borderId="137" fillId="16" fontId="15" numFmtId="3" xfId="0" applyAlignment="1" applyBorder="1" applyFont="1" applyNumberFormat="1">
      <alignment horizontal="center"/>
    </xf>
    <xf borderId="0" fillId="0" fontId="14" numFmtId="0" xfId="0" applyAlignment="1" applyFont="1">
      <alignment vertical="center"/>
    </xf>
    <xf borderId="0" fillId="11" fontId="12" numFmtId="0" xfId="0" applyAlignment="1" applyBorder="1" applyFont="1">
      <alignment horizontal="right" readingOrder="2" wrapText="1"/>
    </xf>
    <xf borderId="65" fillId="4" fontId="17" numFmtId="0" xfId="0" applyAlignment="1" applyBorder="1" applyFont="1">
      <alignment horizontal="center" readingOrder="2" vertical="center" wrapText="1"/>
    </xf>
    <xf borderId="18" fillId="4" fontId="15" numFmtId="0" xfId="0" applyAlignment="1" applyBorder="1" applyFont="1">
      <alignment vertical="center"/>
    </xf>
    <xf borderId="18" fillId="4" fontId="15" numFmtId="17" xfId="0" applyAlignment="1" applyBorder="1" applyFont="1" applyNumberFormat="1">
      <alignment horizontal="center" vertical="center"/>
    </xf>
    <xf borderId="18" fillId="4" fontId="14" numFmtId="17" xfId="0" applyAlignment="1" applyBorder="1" applyFont="1" applyNumberFormat="1">
      <alignment horizontal="center" shrinkToFit="1" vertical="center"/>
    </xf>
    <xf borderId="0" fillId="16" fontId="10" numFmtId="0" xfId="0" applyAlignment="1" applyBorder="1" applyFont="1">
      <alignment horizontal="center" vertical="center"/>
    </xf>
    <xf borderId="0" fillId="16" fontId="11" numFmtId="0" xfId="0" applyAlignment="1" applyBorder="1" applyFont="1">
      <alignment horizontal="center" vertical="center"/>
    </xf>
    <xf borderId="18" fillId="4" fontId="15" numFmtId="3" xfId="0" applyAlignment="1" applyBorder="1" applyFont="1" applyNumberFormat="1">
      <alignment horizontal="center" vertical="center" wrapText="1"/>
    </xf>
    <xf borderId="198" fillId="16" fontId="15" numFmtId="17" xfId="0" applyAlignment="1" applyBorder="1" applyFont="1" applyNumberFormat="1">
      <alignment horizontal="center" shrinkToFit="1" vertical="center"/>
    </xf>
    <xf borderId="18" fillId="17" fontId="15" numFmtId="0" xfId="0" applyAlignment="1" applyBorder="1" applyFont="1">
      <alignment vertical="center"/>
    </xf>
    <xf borderId="95" fillId="16" fontId="15" numFmtId="17" xfId="0" applyAlignment="1" applyBorder="1" applyFont="1" applyNumberFormat="1">
      <alignment horizontal="center" shrinkToFit="1" vertical="center"/>
    </xf>
    <xf borderId="0" fillId="16" fontId="15" numFmtId="17" xfId="0" applyAlignment="1" applyBorder="1" applyFont="1" applyNumberFormat="1">
      <alignment horizontal="center" shrinkToFit="1" vertical="center"/>
    </xf>
    <xf borderId="199" fillId="0" fontId="2" numFmtId="0" xfId="0" applyBorder="1" applyFont="1"/>
    <xf borderId="0" fillId="0" fontId="0" numFmtId="167" xfId="0" applyFont="1" applyNumberFormat="1"/>
    <xf borderId="98" fillId="4" fontId="17" numFmtId="0" xfId="0" applyAlignment="1" applyBorder="1" applyFont="1">
      <alignment horizontal="center" readingOrder="2" vertical="center" wrapText="1"/>
    </xf>
    <xf borderId="61" fillId="4" fontId="14" numFmtId="0" xfId="0" applyAlignment="1" applyBorder="1" applyFont="1">
      <alignment vertical="center"/>
    </xf>
    <xf borderId="0" fillId="15" fontId="20" numFmtId="0" xfId="0" applyAlignment="1" applyBorder="1" applyFont="1">
      <alignment horizontal="right" readingOrder="2" wrapText="1"/>
    </xf>
    <xf borderId="0" fillId="15" fontId="15" numFmtId="3" xfId="0" applyBorder="1" applyFont="1" applyNumberFormat="1"/>
    <xf borderId="81" fillId="0" fontId="15" numFmtId="0" xfId="0" applyAlignment="1" applyBorder="1" applyFont="1">
      <alignment horizontal="left" vertical="center" wrapText="1"/>
    </xf>
    <xf borderId="38" fillId="0" fontId="30" numFmtId="0" xfId="0" applyAlignment="1" applyBorder="1" applyFont="1">
      <alignment horizontal="center" vertical="center" wrapText="1"/>
    </xf>
    <xf borderId="74" fillId="0" fontId="30" numFmtId="0" xfId="0" applyAlignment="1" applyBorder="1" applyFont="1">
      <alignment horizontal="center" vertical="center" wrapText="1"/>
    </xf>
    <xf borderId="37" fillId="0" fontId="30" numFmtId="0" xfId="0" applyAlignment="1" applyBorder="1" applyFont="1">
      <alignment horizontal="center" vertical="center" wrapText="1"/>
    </xf>
    <xf borderId="200" fillId="0" fontId="30" numFmtId="166" xfId="0" applyAlignment="1" applyBorder="1" applyFont="1" applyNumberFormat="1">
      <alignment horizontal="center" vertical="center" wrapText="1"/>
    </xf>
    <xf borderId="201" fillId="0" fontId="45" numFmtId="0" xfId="0" applyAlignment="1" applyBorder="1" applyFont="1">
      <alignment horizontal="center" vertical="center" wrapText="1"/>
    </xf>
    <xf borderId="90" fillId="18" fontId="14" numFmtId="0" xfId="0" applyAlignment="1" applyBorder="1" applyFont="1">
      <alignment horizontal="left" vertical="center" wrapText="1"/>
    </xf>
    <xf borderId="90" fillId="18" fontId="14" numFmtId="9" xfId="0" applyAlignment="1" applyBorder="1" applyFont="1" applyNumberFormat="1">
      <alignment horizontal="center" readingOrder="1" vertical="center" wrapText="1"/>
    </xf>
    <xf borderId="191" fillId="5" fontId="39" numFmtId="9" xfId="0" applyAlignment="1" applyBorder="1" applyFont="1" applyNumberFormat="1">
      <alignment horizontal="center" vertical="center"/>
    </xf>
    <xf borderId="90" fillId="18" fontId="14" numFmtId="0" xfId="0" applyAlignment="1" applyBorder="1" applyFont="1">
      <alignment horizontal="center" vertical="center" wrapText="1"/>
    </xf>
    <xf borderId="46" fillId="0" fontId="30" numFmtId="9" xfId="0" applyAlignment="1" applyBorder="1" applyFont="1" applyNumberFormat="1">
      <alignment horizontal="center" vertical="center" wrapText="1"/>
    </xf>
    <xf borderId="202" fillId="18" fontId="14" numFmtId="17" xfId="0" applyAlignment="1" applyBorder="1" applyFont="1" applyNumberFormat="1">
      <alignment horizontal="center" shrinkToFit="1" vertical="center"/>
    </xf>
    <xf borderId="74" fillId="0" fontId="30" numFmtId="3" xfId="0" applyAlignment="1" applyBorder="1" applyFont="1" applyNumberFormat="1">
      <alignment horizontal="center" vertical="center" wrapText="1"/>
    </xf>
    <xf borderId="203" fillId="0" fontId="2" numFmtId="0" xfId="0" applyBorder="1" applyFont="1"/>
    <xf borderId="121" fillId="0" fontId="15" numFmtId="0" xfId="0" applyAlignment="1" applyBorder="1" applyFont="1">
      <alignment horizontal="center" vertical="center"/>
    </xf>
    <xf borderId="0" fillId="23" fontId="17" numFmtId="0" xfId="0" applyAlignment="1" applyBorder="1" applyFill="1" applyFont="1">
      <alignment horizontal="right" readingOrder="2" wrapText="1"/>
    </xf>
    <xf borderId="0" fillId="23" fontId="15" numFmtId="0" xfId="0" applyBorder="1" applyFont="1"/>
    <xf borderId="0" fillId="23" fontId="15" numFmtId="3" xfId="0" applyBorder="1" applyFont="1" applyNumberFormat="1"/>
    <xf borderId="60" fillId="4" fontId="14" numFmtId="0" xfId="0" applyAlignment="1" applyBorder="1" applyFont="1">
      <alignment horizontal="center" vertical="center"/>
    </xf>
    <xf borderId="0" fillId="15" fontId="17" numFmtId="0" xfId="0" applyBorder="1" applyFont="1"/>
    <xf borderId="60" fillId="4" fontId="14" numFmtId="17" xfId="0" applyAlignment="1" applyBorder="1" applyFont="1" applyNumberFormat="1">
      <alignment horizontal="center" vertical="center"/>
    </xf>
    <xf borderId="0" fillId="15" fontId="20" numFmtId="3" xfId="0" applyBorder="1" applyFont="1" applyNumberFormat="1"/>
    <xf borderId="0" fillId="0" fontId="46" numFmtId="0" xfId="0" applyFont="1"/>
    <xf borderId="0" fillId="16" fontId="14" numFmtId="9" xfId="0" applyAlignment="1" applyBorder="1" applyFont="1" applyNumberFormat="1">
      <alignment horizontal="center" vertical="center"/>
    </xf>
    <xf borderId="98" fillId="0" fontId="2" numFmtId="0" xfId="0" applyBorder="1" applyFont="1"/>
    <xf borderId="155" fillId="16" fontId="14" numFmtId="0" xfId="0" applyAlignment="1" applyBorder="1" applyFont="1">
      <alignment vertical="center" wrapText="1"/>
    </xf>
    <xf borderId="157" fillId="16" fontId="14" numFmtId="0" xfId="0" applyAlignment="1" applyBorder="1" applyFont="1">
      <alignment horizontal="center" vertical="center"/>
    </xf>
    <xf borderId="155" fillId="16" fontId="14" numFmtId="17" xfId="0" applyAlignment="1" applyBorder="1" applyFont="1" applyNumberFormat="1">
      <alignment horizontal="center" vertical="center"/>
    </xf>
    <xf borderId="156" fillId="16" fontId="14" numFmtId="17" xfId="0" applyAlignment="1" applyBorder="1" applyFont="1" applyNumberFormat="1">
      <alignment horizontal="center" vertical="center"/>
    </xf>
    <xf borderId="156" fillId="16" fontId="14" numFmtId="9" xfId="0" applyAlignment="1" applyBorder="1" applyFont="1" applyNumberFormat="1">
      <alignment horizontal="center" vertical="center"/>
    </xf>
    <xf borderId="18" fillId="17" fontId="15" numFmtId="17" xfId="0" applyAlignment="1" applyBorder="1" applyFont="1" applyNumberFormat="1">
      <alignment horizontal="center" vertical="center"/>
    </xf>
    <xf borderId="18" fillId="17" fontId="15" numFmtId="3" xfId="0" applyAlignment="1" applyBorder="1" applyFont="1" applyNumberFormat="1">
      <alignment horizontal="center" vertical="center" wrapText="1"/>
    </xf>
    <xf borderId="0" fillId="16" fontId="13" numFmtId="0" xfId="0" applyAlignment="1" applyBorder="1" applyFont="1">
      <alignment horizontal="right" readingOrder="2" wrapText="1"/>
    </xf>
    <xf borderId="0" fillId="16" fontId="11" numFmtId="17" xfId="0" applyAlignment="1" applyBorder="1" applyFont="1" applyNumberFormat="1">
      <alignment horizontal="center" shrinkToFit="1" vertical="center"/>
    </xf>
    <xf borderId="0" fillId="16" fontId="36" numFmtId="3" xfId="0" applyAlignment="1" applyBorder="1" applyFont="1" applyNumberFormat="1">
      <alignment horizontal="center" vertical="center"/>
    </xf>
    <xf borderId="0" fillId="11" fontId="13" numFmtId="0" xfId="0" applyAlignment="1" applyBorder="1" applyFont="1">
      <alignment horizontal="right" readingOrder="2" wrapText="1"/>
    </xf>
    <xf borderId="0" fillId="16" fontId="11" numFmtId="3" xfId="0" applyAlignment="1" applyBorder="1" applyFont="1" applyNumberFormat="1">
      <alignment horizontal="center" vertical="center"/>
    </xf>
    <xf borderId="18" fillId="17" fontId="14" numFmtId="17" xfId="0" applyAlignment="1" applyBorder="1" applyFont="1" applyNumberFormat="1">
      <alignment horizontal="center" shrinkToFit="1" vertical="center"/>
    </xf>
    <xf borderId="18" fillId="0" fontId="15" numFmtId="3" xfId="0" applyAlignment="1" applyBorder="1" applyFont="1" applyNumberFormat="1">
      <alignment horizontal="center" vertical="center" wrapText="1"/>
    </xf>
    <xf borderId="204" fillId="0" fontId="2" numFmtId="0" xfId="0" applyBorder="1" applyFont="1"/>
    <xf borderId="205" fillId="16" fontId="17" numFmtId="0" xfId="0" applyAlignment="1" applyBorder="1" applyFont="1">
      <alignment horizontal="center" readingOrder="2" vertical="center" wrapText="1"/>
    </xf>
    <xf borderId="206" fillId="16" fontId="15" numFmtId="0" xfId="0" applyAlignment="1" applyBorder="1" applyFont="1">
      <alignment horizontal="left" vertical="center" wrapText="1"/>
    </xf>
    <xf borderId="18" fillId="0" fontId="15" numFmtId="0" xfId="0" applyAlignment="1" applyBorder="1" applyFont="1">
      <alignment vertical="center"/>
    </xf>
    <xf borderId="0" fillId="5" fontId="20" numFmtId="0" xfId="0" applyAlignment="1" applyBorder="1" applyFont="1">
      <alignment horizontal="right" readingOrder="2" wrapText="1"/>
    </xf>
    <xf borderId="0" fillId="5" fontId="15" numFmtId="0" xfId="0" applyBorder="1" applyFont="1"/>
    <xf borderId="60" fillId="4" fontId="14" numFmtId="3" xfId="0" applyAlignment="1" applyBorder="1" applyFont="1" applyNumberFormat="1">
      <alignment horizontal="center" vertical="center"/>
    </xf>
    <xf borderId="207" fillId="4" fontId="14" numFmtId="0" xfId="0" applyAlignment="1" applyBorder="1" applyFont="1">
      <alignment horizontal="center" vertical="center"/>
    </xf>
    <xf borderId="20" fillId="4" fontId="20" numFmtId="0" xfId="0" applyAlignment="1" applyBorder="1" applyFont="1">
      <alignment horizontal="center" vertical="center" wrapText="1"/>
    </xf>
    <xf borderId="76" fillId="4" fontId="14" numFmtId="0" xfId="0" applyAlignment="1" applyBorder="1" applyFont="1">
      <alignment vertical="center"/>
    </xf>
    <xf borderId="81" fillId="0" fontId="15" numFmtId="0" xfId="0" applyAlignment="1" applyBorder="1" applyFont="1">
      <alignment horizontal="left"/>
    </xf>
    <xf borderId="81" fillId="0" fontId="15" numFmtId="0" xfId="0" applyAlignment="1" applyBorder="1" applyFont="1">
      <alignment horizontal="center"/>
    </xf>
    <xf borderId="81" fillId="0" fontId="15" numFmtId="17" xfId="0" applyAlignment="1" applyBorder="1" applyFont="1" applyNumberFormat="1">
      <alignment horizontal="center" shrinkToFit="1"/>
    </xf>
    <xf borderId="81" fillId="0" fontId="15" numFmtId="3" xfId="0" applyAlignment="1" applyBorder="1" applyFont="1" applyNumberFormat="1">
      <alignment horizontal="center"/>
    </xf>
    <xf borderId="81" fillId="0" fontId="15" numFmtId="9" xfId="0" applyAlignment="1" applyBorder="1" applyFont="1" applyNumberFormat="1">
      <alignment horizontal="center"/>
    </xf>
    <xf borderId="81" fillId="0" fontId="17" numFmtId="0" xfId="0" applyAlignment="1" applyBorder="1" applyFont="1">
      <alignment horizontal="center" vertical="center"/>
    </xf>
    <xf borderId="81" fillId="0" fontId="15" numFmtId="17" xfId="0" applyAlignment="1" applyBorder="1" applyFont="1" applyNumberFormat="1">
      <alignment horizontal="center" vertical="center"/>
    </xf>
    <xf borderId="81" fillId="0" fontId="14" numFmtId="0" xfId="0" applyAlignment="1" applyBorder="1" applyFont="1">
      <alignment horizontal="center" vertical="center" wrapText="1"/>
    </xf>
    <xf borderId="81" fillId="5" fontId="14" numFmtId="0" xfId="0" applyAlignment="1" applyBorder="1" applyFont="1">
      <alignment vertical="center" wrapText="1"/>
    </xf>
    <xf borderId="81" fillId="0" fontId="14" numFmtId="0" xfId="0" applyAlignment="1" applyBorder="1" applyFont="1">
      <alignment horizontal="center" vertical="center"/>
    </xf>
    <xf borderId="81" fillId="0" fontId="14" numFmtId="17" xfId="0" applyAlignment="1" applyBorder="1" applyFont="1" applyNumberFormat="1">
      <alignment horizontal="center" vertical="center"/>
    </xf>
    <xf borderId="90" fillId="18" fontId="15" numFmtId="3" xfId="0" applyAlignment="1" applyBorder="1" applyFont="1" applyNumberFormat="1">
      <alignment horizontal="center" readingOrder="1" vertical="center" wrapText="1"/>
    </xf>
    <xf borderId="90" fillId="18" fontId="14" numFmtId="9" xfId="0" applyAlignment="1" applyBorder="1" applyFont="1" applyNumberFormat="1">
      <alignment horizontal="center" vertical="center" wrapText="1"/>
    </xf>
    <xf borderId="192" fillId="5" fontId="39" numFmtId="167" xfId="0" applyAlignment="1" applyBorder="1" applyFont="1" applyNumberFormat="1">
      <alignment horizontal="center" vertical="center"/>
    </xf>
    <xf borderId="195" fillId="5" fontId="39" numFmtId="167" xfId="0" applyAlignment="1" applyBorder="1" applyFont="1" applyNumberFormat="1">
      <alignment horizontal="center" vertical="center"/>
    </xf>
    <xf borderId="208" fillId="5" fontId="39" numFmtId="167" xfId="0" applyAlignment="1" applyBorder="1" applyFont="1" applyNumberFormat="1">
      <alignment horizontal="center" vertical="center"/>
    </xf>
    <xf borderId="173" fillId="18" fontId="14" numFmtId="3" xfId="0" applyAlignment="1" applyBorder="1" applyFont="1" applyNumberFormat="1">
      <alignment horizontal="center" vertical="center" wrapText="1"/>
    </xf>
    <xf borderId="209" fillId="4" fontId="39" numFmtId="167" xfId="0" applyAlignment="1" applyBorder="1" applyFont="1" applyNumberFormat="1">
      <alignment horizontal="center" vertical="center"/>
    </xf>
    <xf borderId="81" fillId="0" fontId="20" numFmtId="0" xfId="0" applyAlignment="1" applyBorder="1" applyFont="1">
      <alignment horizontal="center" vertical="center" wrapText="1"/>
    </xf>
    <xf borderId="210" fillId="4" fontId="39" numFmtId="9" xfId="0" applyAlignment="1" applyBorder="1" applyFont="1" applyNumberFormat="1">
      <alignment horizontal="center" vertical="center"/>
    </xf>
    <xf borderId="81" fillId="0" fontId="20" numFmtId="0" xfId="0" applyAlignment="1" applyBorder="1" applyFont="1">
      <alignment vertical="center" wrapText="1"/>
    </xf>
    <xf borderId="81" fillId="0" fontId="20" numFmtId="0" xfId="0" applyAlignment="1" applyBorder="1" applyFont="1">
      <alignment horizontal="center" vertical="center"/>
    </xf>
    <xf borderId="81" fillId="0" fontId="20" numFmtId="17" xfId="0" applyAlignment="1" applyBorder="1" applyFont="1" applyNumberFormat="1">
      <alignment horizontal="center" vertical="center"/>
    </xf>
    <xf borderId="81" fillId="0" fontId="15" numFmtId="3" xfId="0" applyAlignment="1" applyBorder="1" applyFont="1" applyNumberFormat="1">
      <alignment horizontal="center" readingOrder="1" vertical="center"/>
    </xf>
    <xf borderId="81" fillId="0" fontId="15" numFmtId="9" xfId="0" applyAlignment="1" applyBorder="1" applyFont="1" applyNumberFormat="1">
      <alignment horizontal="center" readingOrder="1" vertical="center"/>
    </xf>
    <xf borderId="76" fillId="4" fontId="14" numFmtId="0" xfId="0" applyAlignment="1" applyBorder="1" applyFont="1">
      <alignment horizontal="center" vertical="center"/>
    </xf>
    <xf borderId="76" fillId="4" fontId="14" numFmtId="17" xfId="0" applyAlignment="1" applyBorder="1" applyFont="1" applyNumberFormat="1">
      <alignment horizontal="center" vertical="center"/>
    </xf>
    <xf borderId="76" fillId="4" fontId="14" numFmtId="3" xfId="0" applyAlignment="1" applyBorder="1" applyFont="1" applyNumberFormat="1">
      <alignment horizontal="center" vertical="center"/>
    </xf>
    <xf borderId="18" fillId="17" fontId="15" numFmtId="9" xfId="0" applyAlignment="1" applyBorder="1" applyFont="1" applyNumberFormat="1">
      <alignment horizontal="center" readingOrder="1" vertical="center"/>
    </xf>
    <xf borderId="0" fillId="5" fontId="14" numFmtId="3" xfId="0" applyBorder="1" applyFont="1" applyNumberFormat="1"/>
    <xf borderId="0" fillId="5" fontId="15" numFmtId="3" xfId="0" applyBorder="1" applyFont="1" applyNumberFormat="1"/>
    <xf borderId="211" fillId="16" fontId="14" numFmtId="0" xfId="0" applyAlignment="1" applyBorder="1" applyFont="1">
      <alignment horizontal="center"/>
    </xf>
    <xf borderId="0" fillId="19" fontId="17" numFmtId="0" xfId="0" applyAlignment="1" applyBorder="1" applyFont="1">
      <alignment horizontal="right" readingOrder="2" wrapText="1"/>
    </xf>
    <xf borderId="0" fillId="19" fontId="27" numFmtId="3" xfId="0" applyBorder="1" applyFont="1" applyNumberFormat="1"/>
    <xf borderId="0" fillId="19" fontId="14" numFmtId="3" xfId="0" applyBorder="1" applyFont="1" applyNumberFormat="1"/>
    <xf borderId="0" fillId="18" fontId="13" numFmtId="0" xfId="0" applyAlignment="1" applyBorder="1" applyFont="1">
      <alignment horizontal="right" readingOrder="2" wrapText="1"/>
    </xf>
    <xf borderId="0" fillId="18" fontId="12" numFmtId="17" xfId="0" applyBorder="1" applyFont="1" applyNumberFormat="1"/>
    <xf borderId="0" fillId="19" fontId="17" numFmtId="0" xfId="0" applyAlignment="1" applyBorder="1" applyFont="1">
      <alignment wrapText="1"/>
    </xf>
    <xf borderId="0" fillId="24" fontId="10" numFmtId="0" xfId="0" applyAlignment="1" applyBorder="1" applyFill="1" applyFont="1">
      <alignment horizontal="center" vertical="center"/>
    </xf>
    <xf borderId="0" fillId="24" fontId="11" numFmtId="0" xfId="0" applyAlignment="1" applyBorder="1" applyFont="1">
      <alignment horizontal="center" vertical="center"/>
    </xf>
    <xf borderId="0" fillId="24" fontId="11" numFmtId="17" xfId="0" applyAlignment="1" applyBorder="1" applyFont="1" applyNumberFormat="1">
      <alignment horizontal="center" vertical="center"/>
    </xf>
    <xf borderId="0" fillId="24" fontId="11" numFmtId="3" xfId="0" applyAlignment="1" applyBorder="1" applyFont="1" applyNumberFormat="1">
      <alignment horizontal="center" vertical="center"/>
    </xf>
    <xf borderId="0" fillId="24" fontId="11" numFmtId="9" xfId="0" applyAlignment="1" applyBorder="1" applyFont="1" applyNumberFormat="1">
      <alignment horizontal="center" vertical="center"/>
    </xf>
    <xf borderId="0" fillId="15" fontId="14" numFmtId="0" xfId="0" applyAlignment="1" applyBorder="1" applyFont="1">
      <alignment wrapText="1"/>
    </xf>
    <xf borderId="0" fillId="15" fontId="14" numFmtId="0" xfId="0" applyBorder="1" applyFont="1"/>
    <xf borderId="0" fillId="18" fontId="12" numFmtId="3" xfId="0" applyAlignment="1" applyBorder="1" applyFont="1" applyNumberFormat="1">
      <alignment horizontal="left" readingOrder="1"/>
    </xf>
    <xf borderId="212" fillId="16" fontId="14" numFmtId="0" xfId="0" applyAlignment="1" applyBorder="1" applyFont="1">
      <alignment horizontal="center"/>
    </xf>
    <xf borderId="211" fillId="16" fontId="15" numFmtId="17" xfId="0" applyAlignment="1" applyBorder="1" applyFont="1" applyNumberFormat="1">
      <alignment horizontal="center" shrinkToFit="1" vertical="center"/>
    </xf>
    <xf borderId="213" fillId="16" fontId="14" numFmtId="3" xfId="0" applyAlignment="1" applyBorder="1" applyFont="1" applyNumberFormat="1">
      <alignment horizontal="center"/>
    </xf>
    <xf borderId="212" fillId="16" fontId="14" numFmtId="9" xfId="0" applyAlignment="1" applyBorder="1" applyFont="1" applyNumberFormat="1">
      <alignment horizontal="center"/>
    </xf>
    <xf borderId="211" fillId="16" fontId="14" numFmtId="3" xfId="0" applyAlignment="1" applyBorder="1" applyFont="1" applyNumberFormat="1">
      <alignment horizontal="center"/>
    </xf>
    <xf borderId="18" fillId="0" fontId="15" numFmtId="0" xfId="0" applyAlignment="1" applyBorder="1" applyFont="1">
      <alignment horizontal="center" vertical="center"/>
    </xf>
    <xf borderId="18" fillId="0" fontId="15" numFmtId="9" xfId="0" applyAlignment="1" applyBorder="1" applyFont="1" applyNumberFormat="1">
      <alignment horizontal="center" readingOrder="1" vertical="center"/>
    </xf>
    <xf borderId="214" fillId="4" fontId="14" numFmtId="0" xfId="0" applyAlignment="1" applyBorder="1" applyFont="1">
      <alignment horizontal="center" vertical="center"/>
    </xf>
    <xf borderId="18" fillId="4" fontId="17" numFmtId="0" xfId="0" applyAlignment="1" applyBorder="1" applyFont="1">
      <alignment horizontal="center" readingOrder="2" vertical="center" wrapText="1"/>
    </xf>
    <xf borderId="81" fillId="17" fontId="17" numFmtId="0" xfId="0" applyAlignment="1" applyBorder="1" applyFont="1">
      <alignment horizontal="center" vertical="center" wrapText="1"/>
    </xf>
    <xf borderId="18" fillId="17" fontId="15" numFmtId="0" xfId="0" applyAlignment="1" applyBorder="1" applyFont="1">
      <alignment vertical="center"/>
    </xf>
    <xf borderId="215" fillId="7" fontId="5" numFmtId="0" xfId="0" applyAlignment="1" applyBorder="1" applyFont="1">
      <alignment horizontal="center" vertical="center" wrapText="1"/>
    </xf>
    <xf borderId="20" fillId="17" fontId="15" numFmtId="3" xfId="0" applyAlignment="1" applyBorder="1" applyFont="1" applyNumberFormat="1">
      <alignment horizontal="center" vertical="center"/>
    </xf>
    <xf borderId="81" fillId="0" fontId="20" numFmtId="3" xfId="0" applyAlignment="1" applyBorder="1" applyFont="1" applyNumberFormat="1">
      <alignment horizontal="center" vertical="center"/>
    </xf>
    <xf borderId="81" fillId="0" fontId="20" numFmtId="9" xfId="0" applyAlignment="1" applyBorder="1" applyFont="1" applyNumberFormat="1">
      <alignment horizontal="center" vertical="center"/>
    </xf>
    <xf borderId="216" fillId="18" fontId="15" numFmtId="0" xfId="0" applyAlignment="1" applyBorder="1" applyFont="1">
      <alignment horizontal="left" shrinkToFit="1" vertical="center"/>
    </xf>
    <xf borderId="216" fillId="18" fontId="15" numFmtId="0" xfId="0" applyAlignment="1" applyBorder="1" applyFont="1">
      <alignment horizontal="center" vertical="center" wrapText="1"/>
    </xf>
    <xf borderId="81" fillId="0" fontId="14" numFmtId="0" xfId="0" applyAlignment="1" applyBorder="1" applyFont="1">
      <alignment vertical="center"/>
    </xf>
    <xf borderId="81" fillId="5" fontId="14" numFmtId="3" xfId="0" applyAlignment="1" applyBorder="1" applyFont="1" applyNumberFormat="1">
      <alignment horizontal="center" vertical="center"/>
    </xf>
    <xf borderId="217" fillId="0" fontId="2" numFmtId="0" xfId="0" applyBorder="1" applyFont="1"/>
    <xf borderId="81" fillId="17" fontId="15" numFmtId="0" xfId="0" applyAlignment="1" applyBorder="1" applyFont="1">
      <alignment horizontal="left"/>
    </xf>
    <xf borderId="81" fillId="17" fontId="15" numFmtId="0" xfId="0" applyAlignment="1" applyBorder="1" applyFont="1">
      <alignment horizontal="center"/>
    </xf>
    <xf borderId="81" fillId="17" fontId="15" numFmtId="17" xfId="0" applyAlignment="1" applyBorder="1" applyFont="1" applyNumberFormat="1">
      <alignment horizontal="center" shrinkToFit="1"/>
    </xf>
    <xf borderId="81" fillId="17" fontId="15" numFmtId="3" xfId="0" applyAlignment="1" applyBorder="1" applyFont="1" applyNumberFormat="1">
      <alignment horizontal="center"/>
    </xf>
    <xf borderId="81" fillId="17" fontId="15" numFmtId="9" xfId="0" applyAlignment="1" applyBorder="1" applyFont="1" applyNumberFormat="1">
      <alignment horizontal="center"/>
    </xf>
    <xf borderId="213" fillId="16" fontId="14" numFmtId="0" xfId="0" applyAlignment="1" applyBorder="1" applyFont="1">
      <alignment horizontal="center"/>
    </xf>
    <xf borderId="111" fillId="16" fontId="14" numFmtId="0" xfId="0" applyAlignment="1" applyBorder="1" applyFont="1">
      <alignment horizontal="center"/>
    </xf>
    <xf borderId="160" fillId="16" fontId="14" numFmtId="0" xfId="0" applyAlignment="1" applyBorder="1" applyFont="1">
      <alignment horizontal="center"/>
    </xf>
    <xf borderId="112" fillId="16" fontId="14" numFmtId="3" xfId="0" applyAlignment="1" applyBorder="1" applyFont="1" applyNumberFormat="1">
      <alignment horizontal="center"/>
    </xf>
    <xf borderId="111" fillId="16" fontId="14" numFmtId="3" xfId="0" applyAlignment="1" applyBorder="1" applyFont="1" applyNumberFormat="1">
      <alignment horizontal="center"/>
    </xf>
    <xf borderId="112" fillId="16" fontId="14" numFmtId="0" xfId="0" applyAlignment="1" applyBorder="1" applyFont="1">
      <alignment horizontal="center"/>
    </xf>
    <xf borderId="0" fillId="0" fontId="12" numFmtId="170" xfId="0" applyFont="1" applyNumberFormat="1"/>
    <xf borderId="75" fillId="16" fontId="15" numFmtId="0" xfId="0" applyAlignment="1" applyBorder="1" applyFont="1">
      <alignment horizontal="center" vertical="center"/>
    </xf>
    <xf borderId="160" fillId="16" fontId="14" numFmtId="9" xfId="0" applyAlignment="1" applyBorder="1" applyFont="1" applyNumberFormat="1">
      <alignment horizontal="center"/>
    </xf>
    <xf borderId="0" fillId="23" fontId="14" numFmtId="0" xfId="0" applyAlignment="1" applyBorder="1" applyFont="1">
      <alignment wrapText="1"/>
    </xf>
    <xf borderId="0" fillId="23" fontId="14" numFmtId="3" xfId="0" applyBorder="1" applyFont="1" applyNumberFormat="1"/>
    <xf borderId="0" fillId="24" fontId="22" numFmtId="17" xfId="0" applyAlignment="1" applyBorder="1" applyFont="1" applyNumberFormat="1">
      <alignment horizontal="center" vertical="center"/>
    </xf>
    <xf borderId="78" fillId="16" fontId="15" numFmtId="3" xfId="0" applyAlignment="1" applyBorder="1" applyFont="1" applyNumberFormat="1">
      <alignment horizontal="center" vertical="center"/>
    </xf>
    <xf borderId="8" fillId="17" fontId="31" numFmtId="0" xfId="0" applyAlignment="1" applyBorder="1" applyFont="1">
      <alignment horizontal="left" vertical="center" wrapText="1"/>
    </xf>
    <xf borderId="217" fillId="0" fontId="2" numFmtId="0" xfId="0" applyBorder="1" applyFont="1"/>
    <xf borderId="218" fillId="0" fontId="17" numFmtId="0" xfId="0" applyAlignment="1" applyBorder="1" applyFont="1">
      <alignment horizontal="center" vertical="center" wrapText="1"/>
    </xf>
    <xf borderId="81" fillId="0" fontId="20" numFmtId="0" xfId="0" applyAlignment="1" applyBorder="1" applyFont="1">
      <alignment horizontal="left" vertical="center" wrapText="1"/>
    </xf>
    <xf borderId="81" fillId="0" fontId="20" numFmtId="169" xfId="0" applyAlignment="1" applyBorder="1" applyFont="1" applyNumberFormat="1">
      <alignment horizontal="center" vertical="center" wrapText="1"/>
    </xf>
    <xf borderId="81" fillId="0" fontId="20" numFmtId="17" xfId="0" applyAlignment="1" applyBorder="1" applyFont="1" applyNumberFormat="1">
      <alignment horizontal="center" shrinkToFit="1" vertical="center"/>
    </xf>
    <xf borderId="81" fillId="0" fontId="20" numFmtId="1" xfId="0" applyAlignment="1" applyBorder="1" applyFont="1" applyNumberFormat="1">
      <alignment horizontal="center" shrinkToFit="1" vertical="center"/>
    </xf>
    <xf borderId="81" fillId="0" fontId="20" numFmtId="3" xfId="0" applyAlignment="1" applyBorder="1" applyFont="1" applyNumberFormat="1">
      <alignment horizontal="center" readingOrder="1" vertical="center"/>
    </xf>
    <xf borderId="81" fillId="0" fontId="20" numFmtId="9" xfId="0" applyAlignment="1" applyBorder="1" applyFont="1" applyNumberFormat="1">
      <alignment horizontal="center" readingOrder="1" vertical="center"/>
    </xf>
    <xf borderId="168" fillId="0" fontId="20" numFmtId="3" xfId="0" applyAlignment="1" applyBorder="1" applyFont="1" applyNumberFormat="1">
      <alignment horizontal="center" vertical="center"/>
    </xf>
    <xf borderId="81" fillId="5" fontId="14" numFmtId="9" xfId="0" applyAlignment="1" applyBorder="1" applyFont="1" applyNumberFormat="1">
      <alignment horizontal="center" vertical="center"/>
    </xf>
    <xf borderId="81" fillId="0" fontId="14" numFmtId="0" xfId="0" applyAlignment="1" applyBorder="1" applyFont="1">
      <alignment vertical="center" wrapText="1"/>
    </xf>
    <xf borderId="18" fillId="7" fontId="15" numFmtId="0" xfId="0" applyAlignment="1" applyBorder="1" applyFont="1">
      <alignment horizontal="center" vertical="center" wrapText="1"/>
    </xf>
    <xf borderId="18" fillId="7" fontId="15" numFmtId="0" xfId="0" applyAlignment="1" applyBorder="1" applyFont="1">
      <alignment horizontal="left"/>
    </xf>
    <xf borderId="216" fillId="18" fontId="15" numFmtId="17" xfId="0" applyAlignment="1" applyBorder="1" applyFont="1" applyNumberFormat="1">
      <alignment horizontal="center" shrinkToFit="1" vertical="center"/>
    </xf>
    <xf borderId="216" fillId="18" fontId="15" numFmtId="3" xfId="0" applyAlignment="1" applyBorder="1" applyFont="1" applyNumberFormat="1">
      <alignment horizontal="center" vertical="center" wrapText="1"/>
    </xf>
    <xf borderId="216" fillId="18" fontId="14" numFmtId="3" xfId="0" applyAlignment="1" applyBorder="1" applyFont="1" applyNumberFormat="1">
      <alignment horizontal="center" vertical="center" wrapText="1"/>
    </xf>
    <xf borderId="219" fillId="21" fontId="15" numFmtId="3" xfId="0" applyAlignment="1" applyBorder="1" applyFont="1" applyNumberFormat="1">
      <alignment horizontal="center" vertical="center" wrapText="1"/>
    </xf>
    <xf borderId="18" fillId="7" fontId="15" numFmtId="0" xfId="0" applyAlignment="1" applyBorder="1" applyFont="1">
      <alignment horizontal="center"/>
    </xf>
    <xf borderId="18" fillId="7" fontId="15" numFmtId="0" xfId="0" applyBorder="1" applyFont="1"/>
    <xf borderId="18" fillId="7" fontId="15" numFmtId="17" xfId="0" applyAlignment="1" applyBorder="1" applyFont="1" applyNumberFormat="1">
      <alignment horizontal="center" shrinkToFit="1"/>
    </xf>
    <xf borderId="18" fillId="7" fontId="15" numFmtId="3" xfId="0" applyAlignment="1" applyBorder="1" applyFont="1" applyNumberFormat="1">
      <alignment horizontal="center"/>
    </xf>
    <xf borderId="18" fillId="7" fontId="33" numFmtId="3" xfId="0" applyAlignment="1" applyBorder="1" applyFont="1" applyNumberFormat="1">
      <alignment horizontal="center"/>
    </xf>
    <xf borderId="81" fillId="5" fontId="14" numFmtId="0" xfId="0" applyAlignment="1" applyBorder="1" applyFont="1">
      <alignment horizontal="center" vertical="center"/>
    </xf>
    <xf borderId="218" fillId="0" fontId="15" numFmtId="0" xfId="0" applyAlignment="1" applyBorder="1" applyFont="1">
      <alignment horizontal="center" vertical="center" wrapText="1"/>
    </xf>
    <xf borderId="81" fillId="0" fontId="14" numFmtId="0" xfId="0" applyAlignment="1" applyBorder="1" applyFont="1">
      <alignment horizontal="left" vertical="center" wrapText="1"/>
    </xf>
    <xf borderId="207" fillId="0" fontId="2" numFmtId="0" xfId="0" applyBorder="1" applyFont="1"/>
    <xf borderId="77" fillId="16" fontId="15" numFmtId="0" xfId="0" applyAlignment="1" applyBorder="1" applyFont="1">
      <alignment horizontal="center" vertical="center"/>
    </xf>
    <xf borderId="198" fillId="16" fontId="15" numFmtId="0" xfId="0" applyAlignment="1" applyBorder="1" applyFont="1">
      <alignment horizontal="center" vertical="center"/>
    </xf>
    <xf borderId="0" fillId="24" fontId="22" numFmtId="3" xfId="0" applyAlignment="1" applyBorder="1" applyFont="1" applyNumberFormat="1">
      <alignment horizontal="center" vertical="center"/>
    </xf>
    <xf borderId="0" fillId="23" fontId="17" numFmtId="0" xfId="0" applyBorder="1" applyFont="1"/>
    <xf borderId="77" fillId="16" fontId="15" numFmtId="3" xfId="0" applyAlignment="1" applyBorder="1" applyFont="1" applyNumberFormat="1">
      <alignment horizontal="center" vertical="center"/>
    </xf>
    <xf borderId="152" fillId="16" fontId="15" numFmtId="0" xfId="0" applyAlignment="1" applyBorder="1" applyFont="1">
      <alignment horizontal="left" vertical="center" wrapText="1"/>
    </xf>
    <xf borderId="0" fillId="4" fontId="11" numFmtId="0" xfId="0" applyAlignment="1" applyBorder="1" applyFont="1">
      <alignment horizontal="center" vertical="center" wrapText="1"/>
    </xf>
    <xf borderId="52" fillId="17" fontId="47" numFmtId="3" xfId="0" applyAlignment="1" applyBorder="1" applyFont="1" applyNumberFormat="1">
      <alignment horizontal="center" vertical="center"/>
    </xf>
    <xf borderId="0" fillId="4" fontId="11" numFmtId="9" xfId="0" applyAlignment="1" applyBorder="1" applyFont="1" applyNumberFormat="1">
      <alignment horizontal="center" readingOrder="1" vertical="center"/>
    </xf>
    <xf borderId="0" fillId="14" fontId="11" numFmtId="1" xfId="0" applyAlignment="1" applyBorder="1" applyFont="1" applyNumberFormat="1">
      <alignment horizontal="center" vertical="center" wrapText="1"/>
    </xf>
    <xf borderId="81" fillId="0" fontId="14" numFmtId="169" xfId="0" applyAlignment="1" applyBorder="1" applyFont="1" applyNumberFormat="1">
      <alignment horizontal="center" vertical="center" wrapText="1"/>
    </xf>
    <xf borderId="81" fillId="0" fontId="14" numFmtId="17" xfId="0" applyAlignment="1" applyBorder="1" applyFont="1" applyNumberFormat="1">
      <alignment horizontal="center" shrinkToFit="1" vertical="center"/>
    </xf>
    <xf borderId="204" fillId="6" fontId="9" numFmtId="0" xfId="0" applyAlignment="1" applyBorder="1" applyFont="1">
      <alignment horizontal="center" wrapText="1"/>
    </xf>
    <xf borderId="24" fillId="6" fontId="48" numFmtId="0" xfId="0" applyAlignment="1" applyBorder="1" applyFont="1">
      <alignment horizontal="left" vertical="center" wrapText="1"/>
    </xf>
    <xf borderId="24" fillId="6" fontId="48" numFmtId="0" xfId="0" applyAlignment="1" applyBorder="1" applyFont="1">
      <alignment horizontal="left"/>
    </xf>
    <xf borderId="220" fillId="6" fontId="48" numFmtId="0" xfId="0" applyAlignment="1" applyBorder="1" applyFont="1">
      <alignment horizontal="left"/>
    </xf>
    <xf borderId="220" fillId="6" fontId="48" numFmtId="0" xfId="0" applyAlignment="1" applyBorder="1" applyFont="1">
      <alignment horizontal="left" wrapText="1"/>
    </xf>
    <xf borderId="2" fillId="4" fontId="31" numFmtId="0" xfId="0" applyAlignment="1" applyBorder="1" applyFont="1">
      <alignment horizontal="center" vertical="center" wrapText="1"/>
    </xf>
    <xf borderId="180" fillId="18" fontId="15" numFmtId="0" xfId="0" applyAlignment="1" applyBorder="1" applyFont="1">
      <alignment horizontal="left" shrinkToFit="1" vertical="center"/>
    </xf>
    <xf borderId="180" fillId="18" fontId="14" numFmtId="3" xfId="0" applyAlignment="1" applyBorder="1" applyFont="1" applyNumberFormat="1">
      <alignment horizontal="center" vertical="center" wrapText="1"/>
    </xf>
    <xf borderId="18" fillId="4" fontId="42" numFmtId="3" xfId="0" applyAlignment="1" applyBorder="1" applyFont="1" applyNumberFormat="1">
      <alignment horizontal="center" vertical="center"/>
    </xf>
    <xf borderId="221" fillId="6" fontId="48" numFmtId="164" xfId="0" applyAlignment="1" applyBorder="1" applyFont="1" applyNumberFormat="1">
      <alignment horizontal="left"/>
    </xf>
    <xf borderId="221" fillId="6" fontId="48" numFmtId="164" xfId="0" applyAlignment="1" applyBorder="1" applyFont="1" applyNumberFormat="1">
      <alignment horizontal="center"/>
    </xf>
    <xf borderId="222" fillId="6" fontId="48" numFmtId="164" xfId="0" applyAlignment="1" applyBorder="1" applyFont="1" applyNumberFormat="1">
      <alignment horizontal="left"/>
    </xf>
    <xf borderId="81" fillId="0" fontId="14" numFmtId="1" xfId="0" applyAlignment="1" applyBorder="1" applyFont="1" applyNumberFormat="1">
      <alignment horizontal="center" shrinkToFit="1" vertical="center"/>
    </xf>
    <xf borderId="223" fillId="0" fontId="31" numFmtId="0" xfId="0" applyAlignment="1" applyBorder="1" applyFont="1">
      <alignment horizontal="left" vertical="center" wrapText="1"/>
    </xf>
    <xf borderId="81" fillId="0" fontId="14" numFmtId="3" xfId="0" applyAlignment="1" applyBorder="1" applyFont="1" applyNumberFormat="1">
      <alignment horizontal="center" readingOrder="1" vertical="center"/>
    </xf>
    <xf borderId="224" fillId="0" fontId="2" numFmtId="0" xfId="0" applyBorder="1" applyFont="1"/>
    <xf borderId="225" fillId="0" fontId="2" numFmtId="0" xfId="0" applyBorder="1" applyFont="1"/>
    <xf borderId="0" fillId="16" fontId="36" numFmtId="0" xfId="0" applyAlignment="1" applyBorder="1" applyFont="1">
      <alignment horizontal="center" vertical="center" wrapText="1"/>
    </xf>
    <xf borderId="0" fillId="16" fontId="36" numFmtId="0" xfId="0" applyAlignment="1" applyBorder="1" applyFont="1">
      <alignment horizontal="center" vertical="center"/>
    </xf>
    <xf borderId="0" fillId="16" fontId="36" numFmtId="17" xfId="0" applyAlignment="1" applyBorder="1" applyFont="1" applyNumberFormat="1">
      <alignment horizontal="center" shrinkToFit="1" vertical="center"/>
    </xf>
    <xf borderId="0" fillId="16" fontId="36" numFmtId="9" xfId="0" applyAlignment="1" applyBorder="1" applyFont="1" applyNumberFormat="1">
      <alignment horizontal="center" vertical="center"/>
    </xf>
    <xf borderId="68" fillId="17" fontId="47" numFmtId="3" xfId="0" applyAlignment="1" applyBorder="1" applyFont="1" applyNumberFormat="1">
      <alignment horizontal="center" vertical="center"/>
    </xf>
    <xf borderId="0" fillId="16" fontId="11" numFmtId="0" xfId="0" applyAlignment="1" applyBorder="1" applyFont="1">
      <alignment horizontal="center" vertical="center" wrapText="1"/>
    </xf>
    <xf borderId="101" fillId="0" fontId="2" numFmtId="0" xfId="0" applyBorder="1" applyFont="1"/>
    <xf borderId="0" fillId="24" fontId="36" numFmtId="0" xfId="0" applyAlignment="1" applyBorder="1" applyFont="1">
      <alignment horizontal="center" vertical="center" wrapText="1"/>
    </xf>
    <xf borderId="226" fillId="17" fontId="49" numFmtId="9" xfId="0" applyAlignment="1" applyBorder="1" applyFont="1" applyNumberFormat="1">
      <alignment horizontal="center" vertical="center"/>
    </xf>
    <xf borderId="0" fillId="24" fontId="11" numFmtId="17" xfId="0" applyAlignment="1" applyBorder="1" applyFont="1" applyNumberFormat="1">
      <alignment horizontal="center" shrinkToFit="1" vertical="center"/>
    </xf>
    <xf borderId="97" fillId="16" fontId="15" numFmtId="0" xfId="0" applyAlignment="1" applyBorder="1" applyFont="1">
      <alignment horizontal="center" vertical="center"/>
    </xf>
    <xf borderId="0" fillId="16" fontId="50" numFmtId="0" xfId="0" applyAlignment="1" applyBorder="1" applyFont="1">
      <alignment horizontal="center" vertical="center"/>
    </xf>
    <xf borderId="132" fillId="16" fontId="14" numFmtId="3" xfId="0" applyAlignment="1" applyBorder="1" applyFont="1" applyNumberFormat="1">
      <alignment horizontal="center"/>
    </xf>
    <xf borderId="187" fillId="16" fontId="14" numFmtId="9" xfId="0" applyAlignment="1" applyBorder="1" applyFont="1" applyNumberFormat="1">
      <alignment horizontal="center"/>
    </xf>
    <xf borderId="137" fillId="16" fontId="14" numFmtId="3" xfId="0" applyAlignment="1" applyBorder="1" applyFont="1" applyNumberFormat="1">
      <alignment horizontal="center"/>
    </xf>
    <xf borderId="97" fillId="16" fontId="15" numFmtId="3" xfId="0" applyAlignment="1" applyBorder="1" applyFont="1" applyNumberFormat="1">
      <alignment horizontal="center" vertical="center"/>
    </xf>
    <xf borderId="227" fillId="0" fontId="2" numFmtId="0" xfId="0" applyBorder="1" applyFont="1"/>
    <xf borderId="228" fillId="16" fontId="14" numFmtId="0" xfId="0" applyAlignment="1" applyBorder="1" applyFont="1">
      <alignment horizontal="left" vertical="top" wrapText="1"/>
    </xf>
    <xf borderId="157" fillId="16" fontId="14" numFmtId="0" xfId="0" applyAlignment="1" applyBorder="1" applyFont="1">
      <alignment horizontal="center"/>
    </xf>
    <xf borderId="0" fillId="23" fontId="17" numFmtId="3" xfId="0" applyBorder="1" applyFont="1" applyNumberFormat="1"/>
    <xf borderId="156" fillId="16" fontId="14" numFmtId="0" xfId="0" applyAlignment="1" applyBorder="1" applyFont="1">
      <alignment horizontal="center"/>
    </xf>
    <xf borderId="157" fillId="16" fontId="14" numFmtId="3" xfId="0" applyAlignment="1" applyBorder="1" applyFont="1" applyNumberFormat="1">
      <alignment horizontal="center"/>
    </xf>
    <xf borderId="155" fillId="16" fontId="14" numFmtId="3" xfId="0" applyAlignment="1" applyBorder="1" applyFont="1" applyNumberFormat="1">
      <alignment horizontal="center"/>
    </xf>
    <xf borderId="0" fillId="24" fontId="36" numFmtId="3" xfId="0" applyAlignment="1" applyBorder="1" applyFont="1" applyNumberFormat="1">
      <alignment horizontal="center" vertical="center"/>
    </xf>
    <xf borderId="229" fillId="17" fontId="49" numFmtId="9" xfId="0" applyAlignment="1" applyBorder="1" applyFont="1" applyNumberFormat="1">
      <alignment horizontal="center" vertical="center"/>
    </xf>
    <xf borderId="169" fillId="7" fontId="5" numFmtId="0" xfId="0" applyAlignment="1" applyBorder="1" applyFont="1">
      <alignment horizontal="center" vertical="center" wrapText="1"/>
    </xf>
    <xf borderId="71" fillId="0" fontId="2" numFmtId="0" xfId="0" applyBorder="1" applyFont="1"/>
    <xf borderId="230" fillId="0" fontId="15" numFmtId="3" xfId="0" applyAlignment="1" applyBorder="1" applyFont="1" applyNumberFormat="1">
      <alignment horizontal="center" vertical="center"/>
    </xf>
    <xf borderId="231" fillId="0" fontId="15" numFmtId="3" xfId="0" applyAlignment="1" applyBorder="1" applyFont="1" applyNumberFormat="1">
      <alignment horizontal="center" vertical="center"/>
    </xf>
    <xf borderId="81" fillId="0" fontId="14" numFmtId="9" xfId="0" applyAlignment="1" applyBorder="1" applyFont="1" applyNumberFormat="1">
      <alignment horizontal="center" readingOrder="1" vertical="center"/>
    </xf>
    <xf borderId="232" fillId="0" fontId="31" numFmtId="0" xfId="0" applyAlignment="1" applyBorder="1" applyFont="1">
      <alignment horizontal="left" vertical="center" wrapText="1"/>
    </xf>
    <xf borderId="168" fillId="0" fontId="14" numFmtId="3" xfId="0" applyAlignment="1" applyBorder="1" applyFont="1" applyNumberFormat="1">
      <alignment horizontal="center" vertical="center"/>
    </xf>
    <xf borderId="233" fillId="0" fontId="2" numFmtId="0" xfId="0" applyBorder="1" applyFont="1"/>
    <xf borderId="81" fillId="0" fontId="14" numFmtId="0" xfId="0" applyBorder="1" applyFont="1"/>
    <xf borderId="234" fillId="0" fontId="2" numFmtId="0" xfId="0" applyBorder="1" applyFont="1"/>
    <xf borderId="81" fillId="0" fontId="20" numFmtId="0" xfId="0" applyBorder="1" applyFont="1"/>
    <xf borderId="235" fillId="0" fontId="17" numFmtId="3" xfId="0" applyAlignment="1" applyBorder="1" applyFont="1" applyNumberFormat="1">
      <alignment horizontal="center" vertical="center"/>
    </xf>
    <xf borderId="81" fillId="0" fontId="17" numFmtId="0" xfId="0" applyAlignment="1" applyBorder="1" applyFont="1">
      <alignment horizontal="left" vertical="center"/>
    </xf>
    <xf borderId="236" fillId="0" fontId="17" numFmtId="3" xfId="0" applyAlignment="1" applyBorder="1" applyFont="1" applyNumberFormat="1">
      <alignment horizontal="center" vertical="center"/>
    </xf>
    <xf borderId="81" fillId="0" fontId="17" numFmtId="0" xfId="0" applyAlignment="1" applyBorder="1" applyFont="1">
      <alignment horizontal="left"/>
    </xf>
    <xf borderId="237" fillId="4" fontId="31" numFmtId="0" xfId="0" applyAlignment="1" applyBorder="1" applyFont="1">
      <alignment horizontal="left" vertical="center" wrapText="1"/>
    </xf>
    <xf borderId="81" fillId="0" fontId="17" numFmtId="0" xfId="0" applyAlignment="1" applyBorder="1" applyFont="1">
      <alignment horizontal="center"/>
    </xf>
    <xf borderId="238" fillId="0" fontId="2" numFmtId="0" xfId="0" applyBorder="1" applyFont="1"/>
    <xf borderId="81" fillId="0" fontId="17" numFmtId="17" xfId="0" applyAlignment="1" applyBorder="1" applyFont="1" applyNumberFormat="1">
      <alignment horizontal="center" vertical="center"/>
    </xf>
    <xf borderId="239" fillId="0" fontId="2" numFmtId="0" xfId="0" applyBorder="1" applyFont="1"/>
    <xf borderId="81" fillId="0" fontId="17" numFmtId="1" xfId="0" applyAlignment="1" applyBorder="1" applyFont="1" applyNumberFormat="1">
      <alignment horizontal="center" vertical="center"/>
    </xf>
    <xf borderId="235" fillId="0" fontId="15" numFmtId="3" xfId="0" applyAlignment="1" applyBorder="1" applyFont="1" applyNumberFormat="1">
      <alignment horizontal="center" vertical="center"/>
    </xf>
    <xf borderId="236" fillId="0" fontId="15" numFmtId="3" xfId="0" applyAlignment="1" applyBorder="1" applyFont="1" applyNumberFormat="1">
      <alignment horizontal="center" vertical="center"/>
    </xf>
    <xf borderId="18" fillId="4" fontId="42" numFmtId="9" xfId="0" applyAlignment="1" applyBorder="1" applyFont="1" applyNumberFormat="1">
      <alignment horizontal="center" vertical="center"/>
    </xf>
    <xf borderId="121" fillId="18" fontId="15" numFmtId="0" xfId="0" applyAlignment="1" applyBorder="1" applyFont="1">
      <alignment horizontal="left" wrapText="1"/>
    </xf>
    <xf borderId="18" fillId="6" fontId="17" numFmtId="0" xfId="0" applyAlignment="1" applyBorder="1" applyFont="1">
      <alignment horizontal="center" wrapText="1"/>
    </xf>
    <xf borderId="18" fillId="6" fontId="15" numFmtId="0" xfId="0" applyAlignment="1" applyBorder="1" applyFont="1">
      <alignment horizontal="left" vertical="center" wrapText="1"/>
    </xf>
    <xf borderId="18" fillId="6" fontId="16" numFmtId="0" xfId="0" applyAlignment="1" applyBorder="1" applyFont="1">
      <alignment horizontal="left"/>
    </xf>
    <xf borderId="18" fillId="6" fontId="15" numFmtId="0" xfId="0" applyBorder="1" applyFont="1"/>
    <xf borderId="240" fillId="0" fontId="2" numFmtId="0" xfId="0" applyBorder="1" applyFont="1"/>
    <xf borderId="81" fillId="0" fontId="17" numFmtId="3" xfId="0" applyAlignment="1" applyBorder="1" applyFont="1" applyNumberFormat="1">
      <alignment horizontal="center" readingOrder="1"/>
    </xf>
    <xf borderId="81" fillId="0" fontId="17" numFmtId="9" xfId="0" applyAlignment="1" applyBorder="1" applyFont="1" applyNumberFormat="1">
      <alignment horizontal="center" readingOrder="1"/>
    </xf>
    <xf borderId="81" fillId="0" fontId="17" numFmtId="3" xfId="0" applyAlignment="1" applyBorder="1" applyFont="1" applyNumberFormat="1">
      <alignment horizontal="center"/>
    </xf>
    <xf borderId="168" fillId="0" fontId="17" numFmtId="3" xfId="0" applyAlignment="1" applyBorder="1" applyFont="1" applyNumberFormat="1">
      <alignment horizontal="center"/>
    </xf>
    <xf borderId="0" fillId="19" fontId="15" numFmtId="0" xfId="0" applyAlignment="1" applyBorder="1" applyFont="1">
      <alignment wrapText="1"/>
    </xf>
    <xf borderId="71" fillId="0" fontId="2" numFmtId="0" xfId="0" applyBorder="1" applyFont="1"/>
    <xf borderId="50" fillId="7" fontId="15" numFmtId="164" xfId="0" applyAlignment="1" applyBorder="1" applyFont="1" applyNumberFormat="1">
      <alignment horizontal="left"/>
    </xf>
    <xf borderId="0" fillId="25" fontId="10" numFmtId="0" xfId="0" applyAlignment="1" applyBorder="1" applyFill="1" applyFont="1">
      <alignment horizontal="center" vertical="center"/>
    </xf>
    <xf borderId="0" fillId="25" fontId="11" numFmtId="0" xfId="0" applyAlignment="1" applyBorder="1" applyFont="1">
      <alignment horizontal="center" vertical="center"/>
    </xf>
    <xf borderId="241" fillId="16" fontId="17" numFmtId="0" xfId="0" applyAlignment="1" applyBorder="1" applyFont="1">
      <alignment horizontal="center" readingOrder="2" vertical="center" wrapText="1"/>
    </xf>
    <xf borderId="0" fillId="25" fontId="11" numFmtId="17" xfId="0" applyAlignment="1" applyBorder="1" applyFont="1" applyNumberFormat="1">
      <alignment horizontal="center" shrinkToFit="1" vertical="center"/>
    </xf>
    <xf borderId="242" fillId="16" fontId="15" numFmtId="0" xfId="0" applyAlignment="1" applyBorder="1" applyFont="1">
      <alignment horizontal="left" vertical="center" wrapText="1"/>
    </xf>
    <xf borderId="0" fillId="25" fontId="36" numFmtId="3" xfId="0" applyAlignment="1" applyBorder="1" applyFont="1" applyNumberFormat="1">
      <alignment horizontal="center" vertical="center"/>
    </xf>
    <xf borderId="0" fillId="25" fontId="36" numFmtId="9" xfId="0" applyAlignment="1" applyBorder="1" applyFont="1" applyNumberFormat="1">
      <alignment horizontal="center" vertical="center"/>
    </xf>
    <xf borderId="211" fillId="16" fontId="15" numFmtId="0" xfId="0" applyAlignment="1" applyBorder="1" applyFont="1">
      <alignment horizontal="center" vertical="center"/>
    </xf>
    <xf borderId="243" fillId="16" fontId="15" numFmtId="0" xfId="0" applyAlignment="1" applyBorder="1" applyFont="1">
      <alignment horizontal="center" vertical="center"/>
    </xf>
    <xf borderId="211" fillId="16" fontId="14" numFmtId="17" xfId="0" applyAlignment="1" applyBorder="1" applyFont="1" applyNumberFormat="1">
      <alignment horizontal="center" vertical="center"/>
    </xf>
    <xf borderId="213" fillId="16" fontId="14" numFmtId="3" xfId="0" applyAlignment="1" applyBorder="1" applyFont="1" applyNumberFormat="1">
      <alignment horizontal="center" vertical="center"/>
    </xf>
    <xf borderId="212" fillId="16" fontId="14" numFmtId="0" xfId="0" applyAlignment="1" applyBorder="1" applyFont="1">
      <alignment horizontal="center" vertical="center"/>
    </xf>
    <xf borderId="211" fillId="16" fontId="14" numFmtId="3" xfId="0" applyAlignment="1" applyBorder="1" applyFont="1" applyNumberFormat="1">
      <alignment horizontal="center" vertical="center"/>
    </xf>
    <xf borderId="235" fillId="4" fontId="15" numFmtId="3" xfId="0" applyAlignment="1" applyBorder="1" applyFont="1" applyNumberFormat="1">
      <alignment horizontal="center" vertical="center"/>
    </xf>
    <xf borderId="236" fillId="4" fontId="15" numFmtId="3" xfId="0" applyAlignment="1" applyBorder="1" applyFont="1" applyNumberFormat="1">
      <alignment horizontal="center" vertical="center"/>
    </xf>
    <xf borderId="0" fillId="19" fontId="15" numFmtId="0" xfId="0" applyBorder="1" applyFont="1"/>
    <xf borderId="244" fillId="4" fontId="15" numFmtId="9" xfId="0" applyAlignment="1" applyBorder="1" applyFont="1" applyNumberFormat="1">
      <alignment horizontal="center" vertical="center"/>
    </xf>
    <xf borderId="200" fillId="5" fontId="30" numFmtId="166" xfId="0" applyAlignment="1" applyBorder="1" applyFont="1" applyNumberFormat="1">
      <alignment horizontal="center" vertical="center" wrapText="1"/>
    </xf>
    <xf borderId="37" fillId="5" fontId="30" numFmtId="166" xfId="0" applyAlignment="1" applyBorder="1" applyFont="1" applyNumberFormat="1">
      <alignment horizontal="center" vertical="center" wrapText="1"/>
    </xf>
    <xf borderId="164" fillId="0" fontId="30" numFmtId="0" xfId="0" applyAlignment="1" applyBorder="1" applyFont="1">
      <alignment horizontal="center" vertical="center" wrapText="1"/>
    </xf>
    <xf borderId="244" fillId="0" fontId="15" numFmtId="9" xfId="0" applyAlignment="1" applyBorder="1" applyFont="1" applyNumberFormat="1">
      <alignment horizontal="center" vertical="center"/>
    </xf>
    <xf borderId="18" fillId="6" fontId="15" numFmtId="0" xfId="0" applyAlignment="1" applyBorder="1" applyFont="1">
      <alignment horizontal="left" wrapText="1"/>
    </xf>
    <xf borderId="18" fillId="6" fontId="15" numFmtId="164" xfId="0" applyAlignment="1" applyBorder="1" applyFont="1" applyNumberFormat="1">
      <alignment horizontal="left"/>
    </xf>
    <xf borderId="18" fillId="6" fontId="15" numFmtId="164" xfId="0" applyAlignment="1" applyBorder="1" applyFont="1" applyNumberFormat="1">
      <alignment horizontal="center"/>
    </xf>
    <xf borderId="65" fillId="0" fontId="30" numFmtId="0" xfId="0" applyAlignment="1" applyBorder="1" applyFont="1">
      <alignment horizontal="center" vertical="center" wrapText="1"/>
    </xf>
    <xf borderId="121" fillId="18" fontId="15" numFmtId="0" xfId="0" applyAlignment="1" applyBorder="1" applyFont="1">
      <alignment horizontal="center" wrapText="1"/>
    </xf>
    <xf borderId="121" fillId="18" fontId="15" numFmtId="17" xfId="0" applyAlignment="1" applyBorder="1" applyFont="1" applyNumberFormat="1">
      <alignment horizontal="center" shrinkToFit="1"/>
    </xf>
    <xf borderId="121" fillId="18" fontId="15" numFmtId="3" xfId="0" applyAlignment="1" applyBorder="1" applyFont="1" applyNumberFormat="1">
      <alignment horizontal="center" wrapText="1"/>
    </xf>
    <xf borderId="65" fillId="0" fontId="30" numFmtId="166" xfId="0" applyAlignment="1" applyBorder="1" applyFont="1" applyNumberFormat="1">
      <alignment horizontal="center" vertical="center" wrapText="1"/>
    </xf>
    <xf borderId="81" fillId="18" fontId="15" numFmtId="0" xfId="0" applyAlignment="1" applyBorder="1" applyFont="1">
      <alignment horizontal="left" wrapText="1"/>
    </xf>
    <xf borderId="65" fillId="0" fontId="30" numFmtId="3" xfId="0" applyAlignment="1" applyBorder="1" applyFont="1" applyNumberFormat="1">
      <alignment horizontal="center" vertical="center" wrapText="1"/>
    </xf>
    <xf borderId="81" fillId="18" fontId="15" numFmtId="0" xfId="0" applyAlignment="1" applyBorder="1" applyFont="1">
      <alignment horizontal="center" wrapText="1"/>
    </xf>
    <xf borderId="81" fillId="18" fontId="15" numFmtId="17" xfId="0" applyAlignment="1" applyBorder="1" applyFont="1" applyNumberFormat="1">
      <alignment horizontal="center" shrinkToFit="1"/>
    </xf>
    <xf borderId="81" fillId="18" fontId="15" numFmtId="3" xfId="0" applyAlignment="1" applyBorder="1" applyFont="1" applyNumberFormat="1">
      <alignment horizontal="center" wrapText="1"/>
    </xf>
    <xf borderId="245" fillId="0" fontId="15" numFmtId="9" xfId="0" applyAlignment="1" applyBorder="1" applyFont="1" applyNumberFormat="1">
      <alignment horizontal="center" vertical="center"/>
    </xf>
    <xf borderId="81" fillId="0" fontId="17" numFmtId="3" xfId="0" applyAlignment="1" applyBorder="1" applyFont="1" applyNumberFormat="1">
      <alignment horizontal="center" vertical="center"/>
    </xf>
    <xf borderId="246" fillId="0" fontId="31" numFmtId="0" xfId="0" applyAlignment="1" applyBorder="1" applyFont="1">
      <alignment horizontal="left" vertical="center" wrapText="1"/>
    </xf>
    <xf borderId="235" fillId="0" fontId="51" numFmtId="0" xfId="0" applyAlignment="1" applyBorder="1" applyFont="1">
      <alignment horizontal="left" vertical="center"/>
    </xf>
    <xf borderId="245" fillId="4" fontId="15" numFmtId="9" xfId="0" applyAlignment="1" applyBorder="1" applyFont="1" applyNumberFormat="1">
      <alignment horizontal="center" vertical="center"/>
    </xf>
    <xf borderId="18" fillId="0" fontId="52" numFmtId="0" xfId="0" applyAlignment="1" applyBorder="1" applyFont="1">
      <alignment horizontal="center" vertical="center" wrapText="1"/>
    </xf>
    <xf borderId="0" fillId="15" fontId="15" numFmtId="0" xfId="0" applyAlignment="1" applyBorder="1" applyFont="1">
      <alignment shrinkToFit="1"/>
    </xf>
    <xf borderId="0" fillId="23" fontId="14" numFmtId="0" xfId="0" applyBorder="1" applyFont="1"/>
    <xf borderId="78" fillId="16" fontId="14" numFmtId="17" xfId="0" applyAlignment="1" applyBorder="1" applyFont="1" applyNumberFormat="1">
      <alignment horizontal="center" vertical="center"/>
    </xf>
    <xf borderId="77" fillId="16" fontId="14" numFmtId="3" xfId="0" applyAlignment="1" applyBorder="1" applyFont="1" applyNumberFormat="1">
      <alignment horizontal="center" vertical="center"/>
    </xf>
    <xf borderId="198" fillId="16" fontId="14" numFmtId="0" xfId="0" applyAlignment="1" applyBorder="1" applyFont="1">
      <alignment horizontal="center" vertical="center"/>
    </xf>
    <xf borderId="0" fillId="25" fontId="11" numFmtId="3" xfId="0" applyAlignment="1" applyBorder="1" applyFont="1" applyNumberFormat="1">
      <alignment horizontal="center" vertical="center"/>
    </xf>
    <xf borderId="153" fillId="16" fontId="15" numFmtId="0" xfId="0" applyAlignment="1" applyBorder="1" applyFont="1">
      <alignment horizontal="left" vertical="center" wrapText="1"/>
    </xf>
    <xf borderId="154" fillId="16" fontId="15" numFmtId="0" xfId="0" applyAlignment="1" applyBorder="1" applyFont="1">
      <alignment horizontal="center" vertical="center"/>
    </xf>
    <xf borderId="0" fillId="25" fontId="11" numFmtId="0" xfId="0" applyAlignment="1" applyBorder="1" applyFont="1">
      <alignment horizontal="center" vertical="center" wrapText="1"/>
    </xf>
    <xf borderId="0" fillId="25" fontId="11" numFmtId="17" xfId="0" applyAlignment="1" applyBorder="1" applyFont="1" applyNumberFormat="1">
      <alignment horizontal="center" vertical="center"/>
    </xf>
    <xf borderId="0" fillId="25" fontId="11" numFmtId="3" xfId="0" applyAlignment="1" applyBorder="1" applyFont="1" applyNumberFormat="1">
      <alignment horizontal="center" readingOrder="1" vertical="center"/>
    </xf>
    <xf borderId="247" fillId="4" fontId="15" numFmtId="9" xfId="0" applyAlignment="1" applyBorder="1" applyFont="1" applyNumberFormat="1">
      <alignment horizontal="center" vertical="center"/>
    </xf>
    <xf borderId="248" fillId="4" fontId="15" numFmtId="9" xfId="0" applyAlignment="1" applyBorder="1" applyFont="1" applyNumberFormat="1">
      <alignment horizontal="center" vertical="center"/>
    </xf>
    <xf borderId="0" fillId="23" fontId="20" numFmtId="0" xfId="0" applyAlignment="1" applyBorder="1" applyFont="1">
      <alignment wrapText="1"/>
    </xf>
    <xf borderId="1" fillId="0" fontId="52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center"/>
    </xf>
    <xf borderId="0" fillId="23" fontId="20" numFmtId="0" xfId="0" applyBorder="1" applyFont="1"/>
    <xf borderId="0" fillId="23" fontId="20" numFmtId="3" xfId="0" applyBorder="1" applyFont="1" applyNumberFormat="1"/>
    <xf borderId="148" fillId="18" fontId="15" numFmtId="0" xfId="0" applyAlignment="1" applyBorder="1" applyFont="1">
      <alignment horizontal="left" wrapText="1"/>
    </xf>
    <xf borderId="148" fillId="18" fontId="15" numFmtId="0" xfId="0" applyAlignment="1" applyBorder="1" applyFont="1">
      <alignment horizontal="center" wrapText="1"/>
    </xf>
    <xf borderId="148" fillId="18" fontId="15" numFmtId="17" xfId="0" applyAlignment="1" applyBorder="1" applyFont="1" applyNumberFormat="1">
      <alignment horizontal="center" shrinkToFit="1"/>
    </xf>
    <xf borderId="148" fillId="18" fontId="15" numFmtId="3" xfId="0" applyAlignment="1" applyBorder="1" applyFont="1" applyNumberFormat="1">
      <alignment horizontal="center" wrapText="1"/>
    </xf>
    <xf borderId="249" fillId="18" fontId="15" numFmtId="3" xfId="0" applyAlignment="1" applyBorder="1" applyFont="1" applyNumberFormat="1">
      <alignment horizontal="center" vertical="center" wrapText="1"/>
    </xf>
    <xf borderId="65" fillId="0" fontId="30" numFmtId="9" xfId="0" applyAlignment="1" applyBorder="1" applyFont="1" applyNumberFormat="1">
      <alignment horizontal="center" vertical="center" wrapText="1"/>
    </xf>
    <xf borderId="90" fillId="18" fontId="15" numFmtId="0" xfId="0" applyAlignment="1" applyBorder="1" applyFont="1">
      <alignment horizontal="left" wrapText="1"/>
    </xf>
    <xf borderId="65" fillId="0" fontId="17" numFmtId="0" xfId="0" applyAlignment="1" applyBorder="1" applyFont="1">
      <alignment horizontal="center" vertical="center"/>
    </xf>
    <xf borderId="18" fillId="0" fontId="15" numFmtId="0" xfId="0" applyAlignment="1" applyBorder="1" applyFont="1">
      <alignment horizontal="left" vertical="center" wrapText="1"/>
    </xf>
    <xf borderId="18" fillId="0" fontId="15" numFmtId="0" xfId="0" applyAlignment="1" applyBorder="1" applyFont="1">
      <alignment horizontal="left"/>
    </xf>
    <xf borderId="18" fillId="0" fontId="15" numFmtId="0" xfId="0" applyBorder="1" applyFont="1"/>
    <xf borderId="18" fillId="0" fontId="15" numFmtId="0" xfId="0" applyAlignment="1" applyBorder="1" applyFont="1">
      <alignment horizontal="center"/>
    </xf>
    <xf borderId="18" fillId="0" fontId="15" numFmtId="3" xfId="0" applyAlignment="1" applyBorder="1" applyFont="1" applyNumberFormat="1">
      <alignment horizontal="center"/>
    </xf>
    <xf borderId="0" fillId="5" fontId="14" numFmtId="0" xfId="0" applyBorder="1" applyFont="1"/>
    <xf borderId="0" fillId="0" fontId="17" numFmtId="0" xfId="0" applyFont="1"/>
    <xf borderId="204" fillId="0" fontId="15" numFmtId="0" xfId="0" applyAlignment="1" applyBorder="1" applyFont="1">
      <alignment horizontal="left" vertical="center" wrapText="1"/>
    </xf>
    <xf borderId="204" fillId="0" fontId="15" numFmtId="0" xfId="0" applyAlignment="1" applyBorder="1" applyFont="1">
      <alignment horizontal="left" vertical="center"/>
    </xf>
    <xf borderId="204" fillId="0" fontId="15" numFmtId="169" xfId="0" applyAlignment="1" applyBorder="1" applyFont="1" applyNumberFormat="1">
      <alignment vertical="center"/>
    </xf>
    <xf borderId="204" fillId="0" fontId="15" numFmtId="17" xfId="0" applyAlignment="1" applyBorder="1" applyFont="1" applyNumberFormat="1">
      <alignment horizontal="center" shrinkToFit="1" vertical="center"/>
    </xf>
    <xf borderId="204" fillId="0" fontId="15" numFmtId="1" xfId="0" applyAlignment="1" applyBorder="1" applyFont="1" applyNumberFormat="1">
      <alignment horizontal="center" shrinkToFit="1" vertical="center"/>
    </xf>
    <xf borderId="204" fillId="0" fontId="15" numFmtId="3" xfId="0" applyAlignment="1" applyBorder="1" applyFont="1" applyNumberFormat="1">
      <alignment horizontal="center" readingOrder="1" vertical="center"/>
    </xf>
    <xf borderId="204" fillId="0" fontId="15" numFmtId="9" xfId="0" applyAlignment="1" applyBorder="1" applyFont="1" applyNumberFormat="1">
      <alignment horizontal="center" readingOrder="1" vertical="center"/>
    </xf>
    <xf borderId="204" fillId="0" fontId="15" numFmtId="3" xfId="0" applyAlignment="1" applyBorder="1" applyFont="1" applyNumberFormat="1">
      <alignment horizontal="center" vertical="center"/>
    </xf>
    <xf borderId="0" fillId="0" fontId="0" numFmtId="0" xfId="0" applyAlignment="1" applyFont="1">
      <alignment horizontal="left"/>
    </xf>
    <xf borderId="0" fillId="0" fontId="53" numFmtId="0" xfId="0" applyFont="1"/>
    <xf borderId="0" fillId="0" fontId="0" numFmtId="0" xfId="0" applyAlignment="1" applyFont="1">
      <alignment/>
    </xf>
    <xf borderId="65" fillId="0" fontId="53" numFmtId="0" xfId="0" applyAlignment="1" applyBorder="1" applyFont="1">
      <alignment horizontal="center" vertical="center"/>
    </xf>
    <xf borderId="204" fillId="0" fontId="17" numFmtId="0" xfId="0" applyAlignment="1" applyBorder="1" applyFont="1">
      <alignment horizontal="left" vertical="center" wrapText="1"/>
    </xf>
    <xf borderId="204" fillId="0" fontId="17" numFmtId="0" xfId="0" applyAlignment="1" applyBorder="1" applyFont="1">
      <alignment horizontal="left" vertical="center"/>
    </xf>
    <xf borderId="204" fillId="0" fontId="17" numFmtId="169" xfId="0" applyAlignment="1" applyBorder="1" applyFont="1" applyNumberFormat="1">
      <alignment vertical="center"/>
    </xf>
    <xf borderId="18" fillId="0" fontId="17" numFmtId="17" xfId="0" applyAlignment="1" applyBorder="1" applyFont="1" applyNumberFormat="1">
      <alignment horizontal="center"/>
    </xf>
    <xf borderId="204" fillId="0" fontId="17" numFmtId="1" xfId="0" applyAlignment="1" applyBorder="1" applyFont="1" applyNumberFormat="1">
      <alignment horizontal="center" shrinkToFit="1" vertical="center"/>
    </xf>
    <xf borderId="204" fillId="0" fontId="17" numFmtId="3" xfId="0" applyAlignment="1" applyBorder="1" applyFont="1" applyNumberFormat="1">
      <alignment horizontal="center" readingOrder="1" vertical="center"/>
    </xf>
    <xf borderId="204" fillId="0" fontId="17" numFmtId="9" xfId="0" applyAlignment="1" applyBorder="1" applyFont="1" applyNumberFormat="1">
      <alignment horizontal="center" readingOrder="1" vertical="center"/>
    </xf>
    <xf borderId="0" fillId="25" fontId="11" numFmtId="9" xfId="0" applyAlignment="1" applyBorder="1" applyFont="1" applyNumberFormat="1">
      <alignment horizontal="center" readingOrder="1" vertical="center"/>
    </xf>
    <xf borderId="250" fillId="16" fontId="15" numFmtId="0" xfId="0" applyAlignment="1" applyBorder="1" applyFont="1">
      <alignment horizontal="center" vertical="center"/>
    </xf>
    <xf borderId="154" fillId="16" fontId="14" numFmtId="17" xfId="0" applyAlignment="1" applyBorder="1" applyFont="1" applyNumberFormat="1">
      <alignment horizontal="center" vertical="center"/>
    </xf>
    <xf borderId="251" fillId="16" fontId="14" numFmtId="3" xfId="0" applyAlignment="1" applyBorder="1" applyFont="1" applyNumberFormat="1">
      <alignment horizontal="center" vertical="center"/>
    </xf>
    <xf borderId="252" fillId="16" fontId="14" numFmtId="0" xfId="0" applyAlignment="1" applyBorder="1" applyFont="1">
      <alignment horizontal="center" vertical="center"/>
    </xf>
    <xf borderId="154" fillId="16" fontId="14" numFmtId="3" xfId="0" applyAlignment="1" applyBorder="1" applyFont="1" applyNumberFormat="1">
      <alignment horizontal="center" vertical="center"/>
    </xf>
    <xf borderId="227" fillId="16" fontId="17" numFmtId="0" xfId="0" applyAlignment="1" applyBorder="1" applyFont="1">
      <alignment horizontal="center" readingOrder="2" vertical="center" wrapText="1"/>
    </xf>
    <xf borderId="153" fillId="16" fontId="15" numFmtId="0" xfId="0" applyAlignment="1" applyBorder="1" applyFont="1">
      <alignment horizontal="left" shrinkToFit="1" vertical="center"/>
    </xf>
    <xf borderId="154" fillId="16" fontId="15" numFmtId="17" xfId="0" applyAlignment="1" applyBorder="1" applyFont="1" applyNumberFormat="1">
      <alignment horizontal="center" shrinkToFit="1" vertical="center"/>
    </xf>
    <xf borderId="252" fillId="16" fontId="14" numFmtId="3" xfId="0" applyAlignment="1" applyBorder="1" applyFont="1" applyNumberFormat="1">
      <alignment horizontal="center" vertical="center"/>
    </xf>
    <xf borderId="154" fillId="16" fontId="15" numFmtId="3" xfId="0" applyAlignment="1" applyBorder="1" applyFont="1" applyNumberFormat="1">
      <alignment horizontal="center" vertical="center"/>
    </xf>
    <xf borderId="0" fillId="25" fontId="11" numFmtId="9" xfId="0" applyAlignment="1" applyBorder="1" applyFont="1" applyNumberFormat="1">
      <alignment horizontal="center" vertical="center"/>
    </xf>
    <xf borderId="48" fillId="16" fontId="17" numFmtId="0" xfId="0" applyAlignment="1" applyBorder="1" applyFont="1">
      <alignment horizontal="center" readingOrder="2" vertical="center" wrapText="1"/>
    </xf>
    <xf borderId="0" fillId="25" fontId="22" numFmtId="17" xfId="0" applyAlignment="1" applyBorder="1" applyFont="1" applyNumberFormat="1">
      <alignment horizontal="center" vertical="center"/>
    </xf>
    <xf borderId="206" fillId="16" fontId="15" numFmtId="0" xfId="0" applyAlignment="1" applyBorder="1" applyFont="1">
      <alignment horizontal="left" vertical="center"/>
    </xf>
    <xf borderId="0" fillId="25" fontId="22" numFmtId="3" xfId="0" applyAlignment="1" applyBorder="1" applyFont="1" applyNumberFormat="1">
      <alignment horizontal="center" vertical="center"/>
    </xf>
    <xf borderId="204" fillId="0" fontId="17" numFmtId="3" xfId="0" applyAlignment="1" applyBorder="1" applyFont="1" applyNumberFormat="1">
      <alignment horizontal="center" vertical="center"/>
    </xf>
    <xf borderId="0" fillId="0" fontId="54" numFmtId="0" xfId="0" applyFont="1"/>
    <xf borderId="0" fillId="5" fontId="11" numFmtId="17" xfId="0" applyAlignment="1" applyBorder="1" applyFont="1" applyNumberFormat="1">
      <alignment horizontal="center" vertical="center"/>
    </xf>
    <xf borderId="0" fillId="5" fontId="22" numFmtId="3" xfId="0" applyAlignment="1" applyBorder="1" applyFont="1" applyNumberFormat="1">
      <alignment horizontal="center" vertical="center"/>
    </xf>
    <xf borderId="65" fillId="0" fontId="54" numFmtId="0" xfId="0" applyAlignment="1" applyBorder="1" applyFont="1">
      <alignment horizontal="center" vertical="center"/>
    </xf>
    <xf borderId="204" fillId="0" fontId="17" numFmtId="17" xfId="0" applyAlignment="1" applyBorder="1" applyFont="1" applyNumberFormat="1">
      <alignment horizontal="center" shrinkToFit="1" vertical="center"/>
    </xf>
    <xf borderId="0" fillId="5" fontId="20" numFmtId="0" xfId="0" applyBorder="1" applyFont="1"/>
    <xf borderId="0" fillId="5" fontId="20" numFmtId="3" xfId="0" applyBorder="1" applyFont="1" applyNumberFormat="1"/>
    <xf borderId="0" fillId="10" fontId="14" numFmtId="9" xfId="0" applyAlignment="1" applyBorder="1" applyFont="1" applyNumberFormat="1">
      <alignment horizontal="left" readingOrder="1" wrapText="1"/>
    </xf>
    <xf borderId="0" fillId="10" fontId="14" numFmtId="3" xfId="0" applyAlignment="1" applyBorder="1" applyFont="1" applyNumberFormat="1">
      <alignment horizontal="left" readingOrder="1" wrapText="1"/>
    </xf>
    <xf borderId="90" fillId="18" fontId="15" numFmtId="0" xfId="0" applyAlignment="1" applyBorder="1" applyFont="1">
      <alignment horizontal="center" wrapText="1"/>
    </xf>
    <xf borderId="90" fillId="18" fontId="15" numFmtId="17" xfId="0" applyAlignment="1" applyBorder="1" applyFont="1" applyNumberFormat="1">
      <alignment horizontal="center" shrinkToFit="1"/>
    </xf>
    <xf borderId="90" fillId="18" fontId="15" numFmtId="3" xfId="0" applyAlignment="1" applyBorder="1" applyFont="1" applyNumberFormat="1">
      <alignment horizontal="center" wrapText="1"/>
    </xf>
    <xf borderId="0" fillId="15" fontId="20" numFmtId="0" xfId="0" applyAlignment="1" applyBorder="1" applyFont="1">
      <alignment wrapText="1"/>
    </xf>
    <xf borderId="0" fillId="15" fontId="20" numFmtId="0" xfId="0" applyBorder="1" applyFont="1"/>
    <xf borderId="18" fillId="0" fontId="17" numFmtId="0" xfId="0" applyBorder="1" applyFont="1"/>
    <xf borderId="18" fillId="0" fontId="17" numFmtId="0" xfId="0" applyAlignment="1" applyBorder="1" applyFont="1">
      <alignment horizontal="left"/>
    </xf>
    <xf borderId="18" fillId="0" fontId="17" numFmtId="0" xfId="0" applyAlignment="1" applyBorder="1" applyFont="1">
      <alignment horizontal="center"/>
    </xf>
    <xf borderId="18" fillId="0" fontId="17" numFmtId="3" xfId="0" applyAlignment="1" applyBorder="1" applyFont="1" applyNumberFormat="1">
      <alignment horizontal="center"/>
    </xf>
    <xf borderId="18" fillId="0" fontId="17" numFmtId="9" xfId="0" applyAlignment="1" applyBorder="1" applyFont="1" applyNumberFormat="1">
      <alignment horizontal="center"/>
    </xf>
    <xf borderId="18" fillId="0" fontId="17" numFmtId="3" xfId="0" applyAlignment="1" applyBorder="1" applyFont="1" applyNumberFormat="1">
      <alignment horizontal="center" vertical="center"/>
    </xf>
    <xf borderId="0" fillId="5" fontId="22" numFmtId="9" xfId="0" applyAlignment="1" applyBorder="1" applyFont="1" applyNumberFormat="1">
      <alignment horizontal="center" vertical="center"/>
    </xf>
    <xf borderId="95" fillId="0" fontId="0" numFmtId="0" xfId="0" applyAlignment="1" applyBorder="1" applyFont="1">
      <alignment horizontal="center" vertical="center"/>
    </xf>
    <xf borderId="165" fillId="0" fontId="15" numFmtId="0" xfId="0" applyBorder="1" applyFont="1"/>
    <xf borderId="0" fillId="11" fontId="14" numFmtId="0" xfId="0" applyAlignment="1" applyBorder="1" applyFont="1">
      <alignment horizontal="right" readingOrder="2" wrapText="1"/>
    </xf>
    <xf borderId="165" fillId="0" fontId="17" numFmtId="0" xfId="0" applyBorder="1" applyFont="1"/>
    <xf borderId="0" fillId="14" fontId="22" numFmtId="17" xfId="0" applyAlignment="1" applyBorder="1" applyFont="1" applyNumberFormat="1">
      <alignment horizontal="center" shrinkToFit="1" vertical="center"/>
    </xf>
    <xf borderId="98" fillId="0" fontId="0" numFmtId="0" xfId="0" applyAlignment="1" applyBorder="1" applyFont="1">
      <alignment horizontal="center" vertical="center"/>
    </xf>
    <xf borderId="0" fillId="0" fontId="20" numFmtId="3" xfId="0" applyAlignment="1" applyFont="1" applyNumberFormat="1">
      <alignment wrapText="1"/>
    </xf>
    <xf borderId="75" fillId="16" fontId="14" numFmtId="3" xfId="0" applyAlignment="1" applyBorder="1" applyFont="1" applyNumberFormat="1">
      <alignment horizontal="center" vertical="center"/>
    </xf>
    <xf borderId="1" fillId="5" fontId="31" numFmtId="0" xfId="0" applyAlignment="1" applyBorder="1" applyFont="1">
      <alignment horizontal="left" vertical="center" wrapText="1"/>
    </xf>
    <xf borderId="0" fillId="14" fontId="22" numFmtId="3" xfId="0" applyAlignment="1" applyBorder="1" applyFont="1" applyNumberFormat="1">
      <alignment horizontal="center" vertical="center" wrapText="1"/>
    </xf>
    <xf borderId="204" fillId="0" fontId="14" numFmtId="3" xfId="0" applyAlignment="1" applyBorder="1" applyFont="1" applyNumberFormat="1">
      <alignment horizontal="center" vertical="center"/>
    </xf>
    <xf borderId="0" fillId="5" fontId="11" numFmtId="0" xfId="0" applyAlignment="1" applyBorder="1" applyFont="1">
      <alignment horizontal="center" vertical="center" wrapText="1"/>
    </xf>
    <xf borderId="173" fillId="18" fontId="15" numFmtId="3" xfId="0" applyAlignment="1" applyBorder="1" applyFont="1" applyNumberFormat="1">
      <alignment horizontal="center" wrapText="1"/>
    </xf>
    <xf borderId="18" fillId="0" fontId="20" numFmtId="3" xfId="0" applyAlignment="1" applyBorder="1" applyFont="1" applyNumberFormat="1">
      <alignment horizontal="center"/>
    </xf>
    <xf borderId="0" fillId="5" fontId="11" numFmtId="3" xfId="0" applyAlignment="1" applyBorder="1" applyFont="1" applyNumberFormat="1">
      <alignment horizontal="center" vertical="center" wrapText="1"/>
    </xf>
    <xf borderId="2" fillId="4" fontId="31" numFmtId="0" xfId="0" applyAlignment="1" applyBorder="1" applyFont="1">
      <alignment horizontal="left" vertical="center" wrapText="1"/>
    </xf>
    <xf borderId="253" fillId="16" fontId="15" numFmtId="0" xfId="0" applyAlignment="1" applyBorder="1" applyFont="1">
      <alignment horizontal="left" shrinkToFit="1" vertical="center"/>
    </xf>
    <xf borderId="0" fillId="5" fontId="10" numFmtId="0" xfId="0" applyAlignment="1" applyBorder="1" applyFont="1">
      <alignment horizontal="center" vertical="center"/>
    </xf>
    <xf borderId="0" fillId="5" fontId="36" numFmtId="17" xfId="0" applyAlignment="1" applyBorder="1" applyFont="1" applyNumberFormat="1">
      <alignment horizontal="center" shrinkToFit="1" vertical="center"/>
    </xf>
    <xf borderId="0" fillId="5" fontId="55" numFmtId="0" xfId="0" applyBorder="1" applyFont="1"/>
    <xf borderId="0" fillId="5" fontId="40" numFmtId="165" xfId="0" applyAlignment="1" applyBorder="1" applyFont="1" applyNumberFormat="1">
      <alignment horizontal="center" vertical="center"/>
    </xf>
    <xf borderId="83" fillId="17" fontId="17" numFmtId="0" xfId="0" applyAlignment="1" applyBorder="1" applyFont="1">
      <alignment horizontal="center" readingOrder="2" vertical="center" wrapText="1"/>
    </xf>
    <xf borderId="0" fillId="5" fontId="40" numFmtId="164" xfId="0" applyAlignment="1" applyBorder="1" applyFont="1" applyNumberFormat="1">
      <alignment horizontal="center" vertical="center" wrapText="1"/>
    </xf>
    <xf borderId="254" fillId="18" fontId="15" numFmtId="17" xfId="0" applyAlignment="1" applyBorder="1" applyFont="1" applyNumberFormat="1">
      <alignment horizontal="center" shrinkToFit="1" vertical="center"/>
    </xf>
    <xf borderId="255" fillId="0" fontId="2" numFmtId="0" xfId="0" applyBorder="1" applyFont="1"/>
    <xf borderId="256" fillId="16" fontId="15" numFmtId="0" xfId="0" applyAlignment="1" applyBorder="1" applyFont="1">
      <alignment horizontal="center" vertical="center"/>
    </xf>
    <xf borderId="171" fillId="16" fontId="15" numFmtId="0" xfId="0" applyAlignment="1" applyBorder="1" applyFont="1">
      <alignment horizontal="center" vertical="center"/>
    </xf>
    <xf borderId="171" fillId="16" fontId="15" numFmtId="17" xfId="0" applyAlignment="1" applyBorder="1" applyFont="1" applyNumberFormat="1">
      <alignment horizontal="center" shrinkToFit="1" vertical="center"/>
    </xf>
    <xf borderId="253" fillId="16" fontId="14" numFmtId="3" xfId="0" applyAlignment="1" applyBorder="1" applyFont="1" applyNumberFormat="1">
      <alignment horizontal="center" vertical="center"/>
    </xf>
    <xf borderId="257" fillId="16" fontId="14" numFmtId="3" xfId="0" applyAlignment="1" applyBorder="1" applyFont="1" applyNumberFormat="1">
      <alignment horizontal="center" vertical="center"/>
    </xf>
    <xf borderId="140" fillId="7" fontId="15" numFmtId="0" xfId="0" applyAlignment="1" applyBorder="1" applyFont="1">
      <alignment horizontal="center" vertical="center" wrapText="1"/>
    </xf>
    <xf borderId="0" fillId="5" fontId="11" numFmtId="9" xfId="0" applyAlignment="1" applyBorder="1" applyFont="1" applyNumberFormat="1">
      <alignment horizontal="center" readingOrder="1" vertical="center"/>
    </xf>
    <xf borderId="136" fillId="18" fontId="15" numFmtId="3" xfId="0" applyAlignment="1" applyBorder="1" applyFont="1" applyNumberFormat="1">
      <alignment horizontal="center" vertical="center" wrapText="1"/>
    </xf>
    <xf borderId="0" fillId="23" fontId="15" numFmtId="17" xfId="0" applyBorder="1" applyFont="1" applyNumberFormat="1"/>
    <xf borderId="0" fillId="23" fontId="15" numFmtId="3" xfId="0" applyAlignment="1" applyBorder="1" applyFont="1" applyNumberFormat="1">
      <alignment horizontal="left" readingOrder="1"/>
    </xf>
    <xf borderId="0" fillId="0" fontId="40" numFmtId="164" xfId="0" applyAlignment="1" applyFont="1" applyNumberFormat="1">
      <alignment horizontal="center" vertical="center"/>
    </xf>
    <xf borderId="141" fillId="7" fontId="15" numFmtId="0" xfId="0" applyAlignment="1" applyBorder="1" applyFont="1">
      <alignment horizontal="left"/>
    </xf>
    <xf borderId="141" fillId="7" fontId="15" numFmtId="0" xfId="0" applyAlignment="1" applyBorder="1" applyFont="1">
      <alignment horizontal="center"/>
    </xf>
    <xf borderId="121" fillId="18" fontId="11" numFmtId="0" xfId="0" applyAlignment="1" applyBorder="1" applyFont="1">
      <alignment horizontal="center" vertical="center" wrapText="1"/>
    </xf>
    <xf borderId="0" fillId="7" fontId="15" numFmtId="17" xfId="0" applyAlignment="1" applyBorder="1" applyFont="1" applyNumberFormat="1">
      <alignment horizontal="center" shrinkToFit="1"/>
    </xf>
    <xf borderId="141" fillId="7" fontId="15" numFmtId="17" xfId="0" applyAlignment="1" applyBorder="1" applyFont="1" applyNumberFormat="1">
      <alignment horizontal="center" shrinkToFit="1"/>
    </xf>
    <xf borderId="141" fillId="7" fontId="15" numFmtId="3" xfId="0" applyAlignment="1" applyBorder="1" applyFont="1" applyNumberFormat="1">
      <alignment horizontal="center"/>
    </xf>
    <xf borderId="163" fillId="7" fontId="15" numFmtId="3" xfId="0" applyAlignment="1" applyBorder="1" applyFont="1" applyNumberFormat="1">
      <alignment horizontal="center"/>
    </xf>
    <xf borderId="0" fillId="10" fontId="20" numFmtId="0" xfId="0" applyAlignment="1" applyBorder="1" applyFont="1">
      <alignment wrapText="1"/>
    </xf>
    <xf borderId="0" fillId="16" fontId="11" numFmtId="0" xfId="0" applyAlignment="1" applyBorder="1" applyFont="1">
      <alignment horizontal="center" shrinkToFit="1" vertical="center"/>
    </xf>
    <xf borderId="0" fillId="24" fontId="36" numFmtId="0" xfId="0" applyAlignment="1" applyBorder="1" applyFont="1">
      <alignment horizontal="center" vertical="center"/>
    </xf>
    <xf borderId="0" fillId="24" fontId="36" numFmtId="17" xfId="0" applyAlignment="1" applyBorder="1" applyFont="1" applyNumberFormat="1">
      <alignment horizontal="center" vertical="center"/>
    </xf>
    <xf borderId="205" fillId="4" fontId="42" numFmtId="3" xfId="0" applyAlignment="1" applyBorder="1" applyFont="1" applyNumberFormat="1">
      <alignment horizontal="center" vertical="center"/>
    </xf>
    <xf borderId="241" fillId="4" fontId="42" numFmtId="3" xfId="0" applyAlignment="1" applyBorder="1" applyFont="1" applyNumberFormat="1">
      <alignment horizontal="center" vertical="center"/>
    </xf>
    <xf borderId="81" fillId="18" fontId="15" numFmtId="9" xfId="0" applyAlignment="1" applyBorder="1" applyFont="1" applyNumberFormat="1">
      <alignment horizontal="center" vertical="center" wrapText="1"/>
    </xf>
    <xf borderId="90" fillId="18" fontId="15" numFmtId="0" xfId="0" applyAlignment="1" applyBorder="1" applyFont="1">
      <alignment horizontal="left" shrinkToFit="1" vertical="center"/>
    </xf>
    <xf borderId="258" fillId="17" fontId="20" numFmtId="0" xfId="0" applyAlignment="1" applyBorder="1" applyFont="1">
      <alignment horizontal="center" vertical="center" wrapText="1"/>
    </xf>
    <xf borderId="259" fillId="18" fontId="15" numFmtId="0" xfId="0" applyAlignment="1" applyBorder="1" applyFont="1">
      <alignment horizontal="left" vertical="center" wrapText="1"/>
    </xf>
    <xf borderId="259" fillId="18" fontId="15" numFmtId="0" xfId="0" applyAlignment="1" applyBorder="1" applyFont="1">
      <alignment horizontal="center" vertical="center" wrapText="1"/>
    </xf>
    <xf borderId="259" fillId="18" fontId="14" numFmtId="17" xfId="0" applyAlignment="1" applyBorder="1" applyFont="1" applyNumberFormat="1">
      <alignment horizontal="center" shrinkToFit="1" vertical="center"/>
    </xf>
    <xf borderId="259" fillId="18" fontId="17" numFmtId="3" xfId="0" applyAlignment="1" applyBorder="1" applyFont="1" applyNumberFormat="1">
      <alignment horizontal="center" vertical="center" wrapText="1"/>
    </xf>
    <xf borderId="259" fillId="18" fontId="15" numFmtId="3" xfId="0" applyAlignment="1" applyBorder="1" applyFont="1" applyNumberFormat="1">
      <alignment horizontal="center" vertical="center" wrapText="1"/>
    </xf>
    <xf borderId="260" fillId="21" fontId="15" numFmtId="3" xfId="0" applyAlignment="1" applyBorder="1" applyFont="1" applyNumberFormat="1">
      <alignment horizontal="center" vertical="center" wrapText="1"/>
    </xf>
    <xf borderId="59" fillId="4" fontId="31" numFmtId="0" xfId="0" applyAlignment="1" applyBorder="1" applyFont="1">
      <alignment horizontal="left" vertical="center" wrapText="1"/>
    </xf>
    <xf borderId="261" fillId="4" fontId="42" numFmtId="9" xfId="0" applyAlignment="1" applyBorder="1" applyFont="1" applyNumberFormat="1">
      <alignment horizontal="center" vertical="center"/>
    </xf>
    <xf borderId="0" fillId="24" fontId="11" numFmtId="3" xfId="0" applyAlignment="1" applyBorder="1" applyFont="1" applyNumberFormat="1">
      <alignment horizontal="center" readingOrder="1" vertical="center"/>
    </xf>
    <xf borderId="262" fillId="7" fontId="5" numFmtId="0" xfId="0" applyAlignment="1" applyBorder="1" applyFont="1">
      <alignment horizontal="center" vertical="center" wrapText="1"/>
    </xf>
    <xf borderId="0" fillId="24" fontId="11" numFmtId="9" xfId="0" applyAlignment="1" applyBorder="1" applyFont="1" applyNumberFormat="1">
      <alignment horizontal="center" readingOrder="1" vertical="center"/>
    </xf>
    <xf borderId="263" fillId="0" fontId="2" numFmtId="0" xfId="0" applyBorder="1" applyFont="1"/>
    <xf borderId="263" fillId="0" fontId="2" numFmtId="0" xfId="0" applyBorder="1" applyFont="1"/>
    <xf borderId="48" fillId="4" fontId="20" numFmtId="3" xfId="0" applyAlignment="1" applyBorder="1" applyFont="1" applyNumberFormat="1">
      <alignment horizontal="center" vertical="center" wrapText="1"/>
    </xf>
    <xf borderId="66" fillId="0" fontId="31" numFmtId="0" xfId="0" applyAlignment="1" applyBorder="1" applyFont="1">
      <alignment horizontal="center" vertical="center" wrapText="1"/>
    </xf>
    <xf borderId="46" fillId="0" fontId="31" numFmtId="0" xfId="0" applyAlignment="1" applyBorder="1" applyFont="1">
      <alignment horizontal="center" vertical="center" wrapText="1"/>
    </xf>
    <xf borderId="0" fillId="25" fontId="36" numFmtId="0" xfId="0" applyAlignment="1" applyBorder="1" applyFont="1">
      <alignment horizontal="center" vertical="center"/>
    </xf>
    <xf borderId="0" fillId="25" fontId="36" numFmtId="17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 wrapText="1"/>
    </xf>
    <xf borderId="0" fillId="25" fontId="41" numFmtId="17" xfId="0" applyAlignment="1" applyBorder="1" applyFont="1" applyNumberFormat="1">
      <alignment horizontal="center" vertical="center"/>
    </xf>
    <xf borderId="48" fillId="4" fontId="20" numFmtId="9" xfId="0" applyAlignment="1" applyBorder="1" applyFont="1" applyNumberFormat="1">
      <alignment horizontal="center" vertical="center" wrapText="1"/>
    </xf>
    <xf borderId="74" fillId="0" fontId="31" numFmtId="166" xfId="0" applyAlignment="1" applyBorder="1" applyFont="1" applyNumberFormat="1">
      <alignment horizontal="center" vertical="center" wrapText="1"/>
    </xf>
    <xf borderId="46" fillId="0" fontId="31" numFmtId="9" xfId="0" applyAlignment="1" applyBorder="1" applyFont="1" applyNumberFormat="1">
      <alignment horizontal="center" vertical="center" wrapText="1"/>
    </xf>
    <xf borderId="37" fillId="0" fontId="31" numFmtId="3" xfId="0" applyAlignment="1" applyBorder="1" applyFont="1" applyNumberFormat="1">
      <alignment horizontal="center" vertical="center" wrapText="1"/>
    </xf>
    <xf borderId="95" fillId="6" fontId="17" numFmtId="0" xfId="0" applyAlignment="1" applyBorder="1" applyFont="1">
      <alignment horizontal="center" wrapText="1"/>
    </xf>
    <xf borderId="95" fillId="6" fontId="16" numFmtId="0" xfId="0" applyAlignment="1" applyBorder="1" applyFont="1">
      <alignment horizontal="left"/>
    </xf>
    <xf borderId="0" fillId="6" fontId="15" numFmtId="0" xfId="0" applyAlignment="1" applyBorder="1" applyFont="1">
      <alignment horizontal="left"/>
    </xf>
    <xf borderId="95" fillId="6" fontId="15" numFmtId="0" xfId="0" applyAlignment="1" applyBorder="1" applyFont="1">
      <alignment horizontal="left" vertical="center" wrapText="1"/>
    </xf>
    <xf borderId="97" fillId="6" fontId="15" numFmtId="0" xfId="0" applyAlignment="1" applyBorder="1" applyFont="1">
      <alignment horizontal="left" vertical="center" wrapText="1"/>
    </xf>
    <xf borderId="95" fillId="6" fontId="15" numFmtId="164" xfId="0" applyAlignment="1" applyBorder="1" applyFont="1" applyNumberFormat="1">
      <alignment horizontal="center"/>
    </xf>
    <xf borderId="181" fillId="4" fontId="20" numFmtId="9" xfId="0" applyAlignment="1" applyBorder="1" applyFont="1" applyNumberFormat="1">
      <alignment horizontal="center" vertical="center" wrapText="1"/>
    </xf>
    <xf borderId="0" fillId="0" fontId="15" numFmtId="0" xfId="0" applyAlignment="1" applyFont="1">
      <alignment horizontal="left" wrapText="1"/>
    </xf>
    <xf borderId="0" fillId="25" fontId="41" numFmtId="3" xfId="0" applyAlignment="1" applyBorder="1" applyFont="1" applyNumberFormat="1">
      <alignment horizontal="center" vertical="center"/>
    </xf>
    <xf borderId="264" fillId="7" fontId="5" numFmtId="0" xfId="0" applyAlignment="1" applyBorder="1" applyFont="1">
      <alignment horizontal="center" vertical="center" wrapText="1"/>
    </xf>
    <xf borderId="0" fillId="5" fontId="36" numFmtId="3" xfId="0" applyAlignment="1" applyBorder="1" applyFont="1" applyNumberFormat="1">
      <alignment horizontal="center" vertical="center"/>
    </xf>
    <xf borderId="97" fillId="7" fontId="21" numFmtId="0" xfId="0" applyAlignment="1" applyBorder="1" applyFont="1">
      <alignment horizontal="center" vertical="center" wrapText="1"/>
    </xf>
    <xf borderId="265" fillId="6" fontId="17" numFmtId="0" xfId="0" applyAlignment="1" applyBorder="1" applyFont="1">
      <alignment horizontal="center" wrapText="1"/>
    </xf>
    <xf borderId="71" fillId="6" fontId="15" numFmtId="0" xfId="0" applyAlignment="1" applyBorder="1" applyFont="1">
      <alignment horizontal="left" vertical="center" wrapText="1"/>
    </xf>
    <xf borderId="0" fillId="16" fontId="22" numFmtId="17" xfId="0" applyAlignment="1" applyBorder="1" applyFont="1" applyNumberFormat="1">
      <alignment horizontal="center" shrinkToFit="1" vertical="center"/>
    </xf>
    <xf borderId="95" fillId="5" fontId="17" numFmtId="0" xfId="0" applyAlignment="1" applyBorder="1" applyFont="1">
      <alignment horizontal="center" vertical="center" wrapText="1"/>
    </xf>
    <xf borderId="0" fillId="5" fontId="15" numFmtId="0" xfId="0" applyAlignment="1" applyBorder="1" applyFont="1">
      <alignment horizontal="left" vertical="top" wrapText="1"/>
    </xf>
    <xf borderId="95" fillId="5" fontId="15" numFmtId="0" xfId="0" applyAlignment="1" applyBorder="1" applyFont="1">
      <alignment horizontal="center" vertical="top"/>
    </xf>
    <xf borderId="0" fillId="5" fontId="15" numFmtId="0" xfId="0" applyAlignment="1" applyBorder="1" applyFont="1">
      <alignment horizontal="center" vertical="top" wrapText="1"/>
    </xf>
    <xf borderId="95" fillId="5" fontId="15" numFmtId="17" xfId="0" applyAlignment="1" applyBorder="1" applyFont="1" applyNumberFormat="1">
      <alignment horizontal="center" vertical="top" wrapText="1"/>
    </xf>
    <xf borderId="81" fillId="5" fontId="15" numFmtId="3" xfId="0" applyAlignment="1" applyBorder="1" applyFont="1" applyNumberFormat="1">
      <alignment horizontal="center" vertical="top" wrapText="1"/>
    </xf>
    <xf borderId="81" fillId="5" fontId="15" numFmtId="164" xfId="0" applyAlignment="1" applyBorder="1" applyFont="1" applyNumberFormat="1">
      <alignment horizontal="center" vertical="top"/>
    </xf>
    <xf borderId="111" fillId="0" fontId="14" numFmtId="3" xfId="0" applyAlignment="1" applyBorder="1" applyFont="1" applyNumberFormat="1">
      <alignment horizontal="center" vertical="top"/>
    </xf>
    <xf borderId="0" fillId="16" fontId="41" numFmtId="3" xfId="0" applyAlignment="1" applyBorder="1" applyFont="1" applyNumberFormat="1">
      <alignment horizontal="center" vertical="center"/>
    </xf>
    <xf borderId="71" fillId="6" fontId="16" numFmtId="0" xfId="0" applyAlignment="1" applyBorder="1" applyFont="1">
      <alignment horizontal="center" wrapText="1"/>
    </xf>
    <xf borderId="266" fillId="6" fontId="15" numFmtId="0" xfId="0" applyAlignment="1" applyBorder="1" applyFont="1">
      <alignment horizontal="center" wrapText="1"/>
    </xf>
    <xf borderId="71" fillId="6" fontId="15" numFmtId="0" xfId="0" applyAlignment="1" applyBorder="1" applyFont="1">
      <alignment horizontal="center" vertical="center" wrapText="1"/>
    </xf>
    <xf borderId="71" fillId="6" fontId="15" numFmtId="0" xfId="0" applyAlignment="1" applyBorder="1" applyFont="1">
      <alignment horizontal="center" wrapText="1"/>
    </xf>
    <xf borderId="71" fillId="6" fontId="15" numFmtId="164" xfId="0" applyAlignment="1" applyBorder="1" applyFont="1" applyNumberFormat="1">
      <alignment horizontal="center" wrapText="1"/>
    </xf>
    <xf borderId="99" fillId="6" fontId="15" numFmtId="164" xfId="0" applyAlignment="1" applyBorder="1" applyFont="1" applyNumberFormat="1">
      <alignment horizontal="center" wrapText="1"/>
    </xf>
    <xf borderId="0" fillId="25" fontId="11" numFmtId="0" xfId="0" applyAlignment="1" applyBorder="1" applyFont="1">
      <alignment horizontal="center" vertical="center" wrapText="1"/>
    </xf>
    <xf borderId="52" fillId="0" fontId="31" numFmtId="166" xfId="0" applyAlignment="1" applyBorder="1" applyFont="1" applyNumberFormat="1">
      <alignment horizontal="center" vertical="center" wrapText="1"/>
    </xf>
    <xf borderId="52" fillId="0" fontId="31" numFmtId="1" xfId="0" applyAlignment="1" applyBorder="1" applyFont="1" applyNumberFormat="1">
      <alignment horizontal="center" vertical="center" wrapText="1"/>
    </xf>
    <xf borderId="0" fillId="25" fontId="11" numFmtId="0" xfId="0" applyAlignment="1" applyBorder="1" applyFont="1">
      <alignment horizontal="center" vertical="center"/>
    </xf>
    <xf borderId="80" fillId="0" fontId="17" numFmtId="0" xfId="0" applyAlignment="1" applyBorder="1" applyFont="1">
      <alignment horizontal="center" readingOrder="2" vertical="center" wrapText="1"/>
    </xf>
    <xf borderId="81" fillId="0" fontId="14" numFmtId="9" xfId="0" applyAlignment="1" applyBorder="1" applyFont="1" applyNumberFormat="1">
      <alignment horizontal="center" readingOrder="1" vertical="center" wrapText="1"/>
    </xf>
    <xf borderId="81" fillId="0" fontId="14" numFmtId="3" xfId="0" applyAlignment="1" applyBorder="1" applyFont="1" applyNumberFormat="1">
      <alignment horizontal="center" readingOrder="1" vertical="center" wrapText="1"/>
    </xf>
    <xf borderId="0" fillId="14" fontId="36" numFmtId="9" xfId="0" applyAlignment="1" applyBorder="1" applyFont="1" applyNumberFormat="1">
      <alignment horizontal="center" readingOrder="1" vertical="center" wrapText="1"/>
    </xf>
    <xf borderId="0" fillId="14" fontId="36" numFmtId="3" xfId="0" applyAlignment="1" applyBorder="1" applyFont="1" applyNumberFormat="1">
      <alignment horizontal="center" readingOrder="1" vertical="center" wrapText="1"/>
    </xf>
    <xf borderId="0" fillId="14" fontId="36" numFmtId="9" xfId="0" applyAlignment="1" applyBorder="1" applyFont="1" applyNumberFormat="1">
      <alignment horizontal="center" vertical="center" wrapText="1"/>
    </xf>
    <xf borderId="154" fillId="0" fontId="2" numFmtId="0" xfId="0" applyBorder="1" applyFont="1"/>
    <xf borderId="0" fillId="14" fontId="41" numFmtId="3" xfId="0" applyAlignment="1" applyBorder="1" applyFont="1" applyNumberFormat="1">
      <alignment horizontal="center" readingOrder="1" vertical="center" wrapText="1"/>
    </xf>
    <xf borderId="267" fillId="5" fontId="15" numFmtId="0" xfId="0" applyAlignment="1" applyBorder="1" applyFont="1">
      <alignment horizontal="left" vertical="top" wrapText="1"/>
    </xf>
    <xf borderId="155" fillId="0" fontId="15" numFmtId="0" xfId="0" applyAlignment="1" applyBorder="1" applyFont="1">
      <alignment horizontal="center" vertical="top"/>
    </xf>
    <xf borderId="157" fillId="0" fontId="15" numFmtId="0" xfId="0" applyAlignment="1" applyBorder="1" applyFont="1">
      <alignment horizontal="center" vertical="top" wrapText="1"/>
    </xf>
    <xf borderId="155" fillId="0" fontId="15" numFmtId="17" xfId="0" applyAlignment="1" applyBorder="1" applyFont="1" applyNumberFormat="1">
      <alignment horizontal="center" vertical="top" wrapText="1"/>
    </xf>
    <xf borderId="81" fillId="0" fontId="14" numFmtId="9" xfId="0" applyAlignment="1" applyBorder="1" applyFont="1" applyNumberFormat="1">
      <alignment horizontal="center" vertical="center" wrapText="1"/>
    </xf>
    <xf borderId="81" fillId="0" fontId="14" numFmtId="3" xfId="0" applyAlignment="1" applyBorder="1" applyFont="1" applyNumberFormat="1">
      <alignment horizontal="center" vertical="center" wrapText="1"/>
    </xf>
    <xf borderId="82" fillId="0" fontId="14" numFmtId="3" xfId="0" applyAlignment="1" applyBorder="1" applyFont="1" applyNumberFormat="1">
      <alignment horizontal="center" vertical="center" wrapText="1"/>
    </xf>
    <xf borderId="0" fillId="24" fontId="36" numFmtId="9" xfId="0" applyAlignment="1" applyBorder="1" applyFont="1" applyNumberFormat="1">
      <alignment horizontal="center" vertical="center"/>
    </xf>
    <xf borderId="155" fillId="0" fontId="15" numFmtId="3" xfId="0" applyAlignment="1" applyBorder="1" applyFont="1" applyNumberFormat="1">
      <alignment horizontal="center" vertical="top" wrapText="1"/>
    </xf>
    <xf borderId="156" fillId="0" fontId="15" numFmtId="164" xfId="0" applyAlignment="1" applyBorder="1" applyFont="1" applyNumberFormat="1">
      <alignment horizontal="center" vertical="top"/>
    </xf>
    <xf borderId="154" fillId="0" fontId="14" numFmtId="3" xfId="0" applyAlignment="1" applyBorder="1" applyFont="1" applyNumberFormat="1">
      <alignment horizontal="center" vertical="top"/>
    </xf>
    <xf borderId="0" fillId="4" fontId="41" numFmtId="17" xfId="0" applyAlignment="1" applyBorder="1" applyFont="1" applyNumberFormat="1">
      <alignment horizontal="center" vertical="center"/>
    </xf>
    <xf borderId="81" fillId="0" fontId="15" numFmtId="1" xfId="0" applyAlignment="1" applyBorder="1" applyFont="1" applyNumberFormat="1">
      <alignment horizontal="left" vertical="center" wrapText="1"/>
    </xf>
    <xf borderId="81" fillId="0" fontId="15" numFmtId="1" xfId="0" applyAlignment="1" applyBorder="1" applyFont="1" applyNumberFormat="1">
      <alignment horizontal="center" vertical="center" wrapText="1"/>
    </xf>
    <xf borderId="81" fillId="0" fontId="15" numFmtId="3" xfId="0" applyAlignment="1" applyBorder="1" applyFont="1" applyNumberFormat="1">
      <alignment horizontal="center" vertical="center" wrapText="1"/>
    </xf>
    <xf borderId="82" fillId="0" fontId="15" numFmtId="3" xfId="0" applyAlignment="1" applyBorder="1" applyFont="1" applyNumberFormat="1">
      <alignment horizontal="center" vertical="center" wrapText="1"/>
    </xf>
    <xf borderId="81" fillId="0" fontId="15" numFmtId="9" xfId="0" applyAlignment="1" applyBorder="1" applyFont="1" applyNumberFormat="1">
      <alignment horizontal="center" readingOrder="1" vertical="center" wrapText="1"/>
    </xf>
    <xf borderId="81" fillId="0" fontId="15" numFmtId="0" xfId="0" applyAlignment="1" applyBorder="1" applyFont="1">
      <alignment horizontal="center" vertical="center" wrapText="1"/>
    </xf>
    <xf borderId="81" fillId="0" fontId="15" numFmtId="1" xfId="0" applyAlignment="1" applyBorder="1" applyFont="1" applyNumberFormat="1">
      <alignment horizontal="center" shrinkToFit="1" vertical="center"/>
    </xf>
    <xf borderId="0" fillId="4" fontId="41" numFmtId="3" xfId="0" applyAlignment="1" applyBorder="1" applyFont="1" applyNumberFormat="1">
      <alignment horizontal="center" vertical="center"/>
    </xf>
    <xf borderId="268" fillId="5" fontId="20" numFmtId="0" xfId="0" applyAlignment="1" applyBorder="1" applyFont="1">
      <alignment horizontal="center" vertical="center"/>
    </xf>
    <xf borderId="0" fillId="5" fontId="41" numFmtId="3" xfId="0" applyAlignment="1" applyBorder="1" applyFont="1" applyNumberFormat="1">
      <alignment horizontal="center" vertical="center"/>
    </xf>
    <xf borderId="111" fillId="5" fontId="14" numFmtId="0" xfId="0" applyAlignment="1" applyBorder="1" applyFont="1">
      <alignment vertical="center" wrapText="1"/>
    </xf>
    <xf borderId="160" fillId="5" fontId="14" numFmtId="0" xfId="0" applyAlignment="1" applyBorder="1" applyFont="1">
      <alignment vertical="center" wrapText="1"/>
    </xf>
    <xf borderId="0" fillId="25" fontId="34" numFmtId="0" xfId="0" applyAlignment="1" applyBorder="1" applyFont="1">
      <alignment horizontal="center" vertical="center"/>
    </xf>
    <xf borderId="81" fillId="0" fontId="15" numFmtId="3" xfId="0" applyAlignment="1" applyBorder="1" applyFont="1" applyNumberFormat="1">
      <alignment horizontal="center" readingOrder="1" vertical="center" wrapText="1"/>
    </xf>
    <xf borderId="81" fillId="0" fontId="15" numFmtId="9" xfId="0" applyAlignment="1" applyBorder="1" applyFont="1" applyNumberFormat="1">
      <alignment horizontal="center" vertical="center" wrapText="1"/>
    </xf>
    <xf borderId="269" fillId="0" fontId="2" numFmtId="0" xfId="0" applyBorder="1" applyFont="1"/>
    <xf borderId="81" fillId="0" fontId="15" numFmtId="0" xfId="0" applyAlignment="1" applyBorder="1" applyFont="1">
      <alignment horizontal="left" wrapText="1"/>
    </xf>
    <xf borderId="0" fillId="25" fontId="34" numFmtId="3" xfId="0" applyAlignment="1" applyBorder="1" applyFont="1" applyNumberFormat="1">
      <alignment horizontal="center" vertical="center"/>
    </xf>
    <xf borderId="111" fillId="5" fontId="14" numFmtId="0" xfId="0" applyAlignment="1" applyBorder="1" applyFont="1">
      <alignment horizontal="center" vertical="center" wrapText="1"/>
    </xf>
    <xf borderId="160" fillId="5" fontId="14" numFmtId="17" xfId="0" applyAlignment="1" applyBorder="1" applyFont="1" applyNumberFormat="1">
      <alignment horizontal="center" vertical="center" wrapText="1"/>
    </xf>
    <xf borderId="0" fillId="0" fontId="34" numFmtId="3" xfId="0" applyAlignment="1" applyFont="1" applyNumberFormat="1">
      <alignment horizontal="center" vertical="center"/>
    </xf>
    <xf borderId="81" fillId="0" fontId="15" numFmtId="0" xfId="0" applyAlignment="1" applyBorder="1" applyFont="1">
      <alignment horizontal="center" wrapText="1"/>
    </xf>
    <xf borderId="81" fillId="0" fontId="15" numFmtId="17" xfId="0" applyAlignment="1" applyBorder="1" applyFont="1" applyNumberFormat="1">
      <alignment horizontal="center" wrapText="1"/>
    </xf>
    <xf borderId="82" fillId="0" fontId="15" numFmtId="0" xfId="0" applyAlignment="1" applyBorder="1" applyFont="1">
      <alignment horizontal="center" wrapText="1"/>
    </xf>
    <xf borderId="160" fillId="5" fontId="14" numFmtId="3" xfId="0" applyAlignment="1" applyBorder="1" applyFont="1" applyNumberFormat="1">
      <alignment horizontal="center" vertical="center" wrapText="1"/>
    </xf>
    <xf borderId="111" fillId="5" fontId="14" numFmtId="3" xfId="0" applyAlignment="1" applyBorder="1" applyFont="1" applyNumberFormat="1">
      <alignment horizontal="center" vertical="center" wrapText="1"/>
    </xf>
    <xf borderId="80" fillId="0" fontId="20" numFmtId="0" xfId="0" applyAlignment="1" applyBorder="1" applyFont="1">
      <alignment horizontal="center" vertical="center" wrapText="1"/>
    </xf>
    <xf borderId="148" fillId="0" fontId="15" numFmtId="0" xfId="0" applyAlignment="1" applyBorder="1" applyFont="1">
      <alignment horizontal="left" vertical="center" wrapText="1"/>
    </xf>
    <xf borderId="148" fillId="0" fontId="15" numFmtId="9" xfId="0" applyAlignment="1" applyBorder="1" applyFont="1" applyNumberFormat="1">
      <alignment horizontal="center" readingOrder="1" vertical="center" wrapText="1"/>
    </xf>
    <xf borderId="148" fillId="0" fontId="15" numFmtId="17" xfId="0" applyAlignment="1" applyBorder="1" applyFont="1" applyNumberFormat="1">
      <alignment horizontal="center" vertical="center" wrapText="1"/>
    </xf>
    <xf borderId="148" fillId="0" fontId="15" numFmtId="1" xfId="0" applyAlignment="1" applyBorder="1" applyFont="1" applyNumberFormat="1">
      <alignment horizontal="center" vertical="center" wrapText="1"/>
    </xf>
    <xf borderId="148" fillId="5" fontId="15" numFmtId="3" xfId="0" applyAlignment="1" applyBorder="1" applyFont="1" applyNumberFormat="1">
      <alignment horizontal="center" readingOrder="1" vertical="center" wrapText="1"/>
    </xf>
    <xf borderId="148" fillId="5" fontId="15" numFmtId="9" xfId="0" applyAlignment="1" applyBorder="1" applyFont="1" applyNumberFormat="1">
      <alignment horizontal="center" vertical="center" wrapText="1"/>
    </xf>
    <xf borderId="148" fillId="5" fontId="15" numFmtId="3" xfId="0" applyAlignment="1" applyBorder="1" applyFont="1" applyNumberFormat="1">
      <alignment horizontal="center" vertical="center" wrapText="1"/>
    </xf>
    <xf borderId="161" fillId="5" fontId="15" numFmtId="3" xfId="0" applyAlignment="1" applyBorder="1" applyFont="1" applyNumberFormat="1">
      <alignment horizontal="center" vertical="center" wrapText="1"/>
    </xf>
    <xf borderId="111" fillId="5" fontId="20" numFmtId="0" xfId="0" applyAlignment="1" applyBorder="1" applyFont="1">
      <alignment vertical="center" wrapText="1"/>
    </xf>
    <xf borderId="160" fillId="5" fontId="20" numFmtId="0" xfId="0" applyAlignment="1" applyBorder="1" applyFont="1">
      <alignment vertical="center" wrapText="1"/>
    </xf>
    <xf borderId="111" fillId="5" fontId="20" numFmtId="0" xfId="0" applyAlignment="1" applyBorder="1" applyFont="1">
      <alignment horizontal="center" vertical="center" wrapText="1"/>
    </xf>
    <xf borderId="160" fillId="5" fontId="20" numFmtId="17" xfId="0" applyAlignment="1" applyBorder="1" applyFont="1" applyNumberFormat="1">
      <alignment horizontal="center" vertical="center" wrapText="1"/>
    </xf>
    <xf borderId="160" fillId="5" fontId="20" numFmtId="3" xfId="0" applyAlignment="1" applyBorder="1" applyFont="1" applyNumberFormat="1">
      <alignment horizontal="center" vertical="center" wrapText="1"/>
    </xf>
    <xf borderId="270" fillId="0" fontId="20" numFmtId="0" xfId="0" applyAlignment="1" applyBorder="1" applyFont="1">
      <alignment horizontal="center" vertical="center" wrapText="1"/>
    </xf>
    <xf borderId="81" fillId="5" fontId="20" numFmtId="0" xfId="0" applyAlignment="1" applyBorder="1" applyFont="1">
      <alignment horizontal="left" vertical="center" wrapText="1"/>
    </xf>
    <xf borderId="148" fillId="0" fontId="17" numFmtId="9" xfId="0" applyAlignment="1" applyBorder="1" applyFont="1" applyNumberFormat="1">
      <alignment horizontal="center" readingOrder="1" vertical="center" wrapText="1"/>
    </xf>
    <xf borderId="81" fillId="5" fontId="20" numFmtId="0" xfId="0" applyAlignment="1" applyBorder="1" applyFont="1">
      <alignment horizontal="center" vertical="center" wrapText="1"/>
    </xf>
    <xf borderId="81" fillId="5" fontId="20" numFmtId="17" xfId="0" applyAlignment="1" applyBorder="1" applyFont="1" applyNumberFormat="1">
      <alignment horizontal="center" shrinkToFit="1" vertical="center"/>
    </xf>
    <xf borderId="81" fillId="5" fontId="20" numFmtId="1" xfId="0" applyAlignment="1" applyBorder="1" applyFont="1" applyNumberFormat="1">
      <alignment horizontal="center" shrinkToFit="1" vertical="center"/>
    </xf>
    <xf borderId="81" fillId="5" fontId="20" numFmtId="3" xfId="0" applyAlignment="1" applyBorder="1" applyFont="1" applyNumberFormat="1">
      <alignment horizontal="center" readingOrder="1" vertical="center" wrapText="1"/>
    </xf>
    <xf borderId="81" fillId="5" fontId="20" numFmtId="9" xfId="0" applyAlignment="1" applyBorder="1" applyFont="1" applyNumberFormat="1">
      <alignment horizontal="center" vertical="center" wrapText="1"/>
    </xf>
    <xf borderId="81" fillId="5" fontId="20" numFmtId="3" xfId="0" applyAlignment="1" applyBorder="1" applyFont="1" applyNumberFormat="1">
      <alignment horizontal="center" vertical="center" wrapText="1"/>
    </xf>
    <xf borderId="82" fillId="5" fontId="20" numFmtId="3" xfId="0" applyAlignment="1" applyBorder="1" applyFont="1" applyNumberFormat="1">
      <alignment horizontal="center" vertical="center" wrapText="1"/>
    </xf>
    <xf borderId="111" fillId="5" fontId="20" numFmtId="3" xfId="0" applyAlignment="1" applyBorder="1" applyFont="1" applyNumberFormat="1">
      <alignment horizontal="center" vertical="center" wrapText="1"/>
    </xf>
    <xf borderId="179" fillId="0" fontId="20" numFmtId="0" xfId="0" applyAlignment="1" applyBorder="1" applyFont="1">
      <alignment horizontal="center" vertical="center" wrapText="1"/>
    </xf>
    <xf borderId="216" fillId="0" fontId="15" numFmtId="0" xfId="0" applyAlignment="1" applyBorder="1" applyFont="1">
      <alignment horizontal="left" vertical="center" wrapText="1"/>
    </xf>
    <xf borderId="216" fillId="0" fontId="15" numFmtId="9" xfId="0" applyAlignment="1" applyBorder="1" applyFont="1" applyNumberFormat="1">
      <alignment horizontal="center" readingOrder="1" vertical="center" wrapText="1"/>
    </xf>
    <xf borderId="216" fillId="0" fontId="15" numFmtId="0" xfId="0" applyAlignment="1" applyBorder="1" applyFont="1">
      <alignment horizontal="center" vertical="center" wrapText="1"/>
    </xf>
    <xf borderId="216" fillId="0" fontId="15" numFmtId="17" xfId="0" applyAlignment="1" applyBorder="1" applyFont="1" applyNumberFormat="1">
      <alignment horizontal="center" vertical="center" wrapText="1"/>
    </xf>
    <xf borderId="216" fillId="0" fontId="15" numFmtId="1" xfId="0" applyAlignment="1" applyBorder="1" applyFont="1" applyNumberFormat="1">
      <alignment horizontal="center" vertical="center" wrapText="1"/>
    </xf>
    <xf borderId="216" fillId="0" fontId="15" numFmtId="3" xfId="0" applyAlignment="1" applyBorder="1" applyFont="1" applyNumberFormat="1">
      <alignment horizontal="center" readingOrder="1" vertical="center" wrapText="1"/>
    </xf>
    <xf borderId="216" fillId="0" fontId="15" numFmtId="9" xfId="0" applyAlignment="1" applyBorder="1" applyFont="1" applyNumberFormat="1">
      <alignment horizontal="center" vertical="center" wrapText="1"/>
    </xf>
    <xf borderId="216" fillId="0" fontId="15" numFmtId="3" xfId="0" applyAlignment="1" applyBorder="1" applyFont="1" applyNumberFormat="1">
      <alignment horizontal="center" vertical="center" wrapText="1"/>
    </xf>
    <xf borderId="219" fillId="0" fontId="15" numFmtId="3" xfId="0" applyAlignment="1" applyBorder="1" applyFont="1" applyNumberFormat="1">
      <alignment horizontal="center" vertical="center" wrapText="1"/>
    </xf>
    <xf borderId="0" fillId="0" fontId="46" numFmtId="0" xfId="0" applyAlignment="1" applyFont="1">
      <alignment wrapText="1"/>
    </xf>
    <xf borderId="111" fillId="5" fontId="20" numFmtId="9" xfId="0" applyAlignment="1" applyBorder="1" applyFont="1" applyNumberFormat="1">
      <alignment horizontal="center" vertical="center" wrapText="1"/>
    </xf>
    <xf borderId="95" fillId="0" fontId="2" numFmtId="0" xfId="0" applyBorder="1" applyFont="1"/>
    <xf borderId="155" fillId="5" fontId="20" numFmtId="0" xfId="0" applyAlignment="1" applyBorder="1" applyFont="1">
      <alignment vertical="center" wrapText="1"/>
    </xf>
    <xf borderId="156" fillId="5" fontId="20" numFmtId="0" xfId="0" applyAlignment="1" applyBorder="1" applyFont="1">
      <alignment vertical="center" wrapText="1"/>
    </xf>
    <xf borderId="155" fillId="5" fontId="20" numFmtId="0" xfId="0" applyAlignment="1" applyBorder="1" applyFont="1">
      <alignment horizontal="center" vertical="center" wrapText="1"/>
    </xf>
    <xf borderId="267" fillId="5" fontId="20" numFmtId="17" xfId="0" applyAlignment="1" applyBorder="1" applyFont="1" applyNumberFormat="1">
      <alignment horizontal="center" vertical="center" wrapText="1"/>
    </xf>
    <xf borderId="156" fillId="5" fontId="20" numFmtId="3" xfId="0" applyAlignment="1" applyBorder="1" applyFont="1" applyNumberFormat="1">
      <alignment horizontal="center" vertical="center" wrapText="1"/>
    </xf>
    <xf borderId="155" fillId="5" fontId="20" numFmtId="9" xfId="0" applyAlignment="1" applyBorder="1" applyFont="1" applyNumberFormat="1">
      <alignment horizontal="center" vertical="center" wrapText="1"/>
    </xf>
    <xf borderId="155" fillId="5" fontId="20" numFmtId="3" xfId="0" applyAlignment="1" applyBorder="1" applyFont="1" applyNumberFormat="1">
      <alignment horizontal="center" vertical="center" wrapText="1"/>
    </xf>
    <xf borderId="90" fillId="0" fontId="15" numFmtId="0" xfId="0" applyAlignment="1" applyBorder="1" applyFont="1">
      <alignment horizontal="left" vertical="center" wrapText="1"/>
    </xf>
    <xf borderId="180" fillId="0" fontId="15" numFmtId="9" xfId="0" applyAlignment="1" applyBorder="1" applyFont="1" applyNumberFormat="1">
      <alignment horizontal="center" readingOrder="1" vertical="center" wrapText="1"/>
    </xf>
    <xf borderId="90" fillId="0" fontId="15" numFmtId="0" xfId="0" applyAlignment="1" applyBorder="1" applyFont="1">
      <alignment horizontal="center" vertical="center" wrapText="1"/>
    </xf>
    <xf borderId="90" fillId="0" fontId="15" numFmtId="17" xfId="0" applyAlignment="1" applyBorder="1" applyFont="1" applyNumberFormat="1">
      <alignment horizontal="center" vertical="center" wrapText="1"/>
    </xf>
    <xf borderId="90" fillId="0" fontId="15" numFmtId="1" xfId="0" applyAlignment="1" applyBorder="1" applyFont="1" applyNumberFormat="1">
      <alignment horizontal="center" vertical="center" wrapText="1"/>
    </xf>
    <xf borderId="90" fillId="0" fontId="15" numFmtId="3" xfId="0" applyAlignment="1" applyBorder="1" applyFont="1" applyNumberFormat="1">
      <alignment horizontal="center" readingOrder="1" vertical="center" wrapText="1"/>
    </xf>
    <xf borderId="90" fillId="0" fontId="15" numFmtId="9" xfId="0" applyAlignment="1" applyBorder="1" applyFont="1" applyNumberFormat="1">
      <alignment horizontal="center" vertical="center" wrapText="1"/>
    </xf>
    <xf borderId="90" fillId="0" fontId="15" numFmtId="3" xfId="0" applyAlignment="1" applyBorder="1" applyFont="1" applyNumberFormat="1">
      <alignment horizontal="center" vertical="center" wrapText="1"/>
    </xf>
    <xf borderId="173" fillId="0" fontId="15" numFmtId="3" xfId="0" applyAlignment="1" applyBorder="1" applyFont="1" applyNumberFormat="1">
      <alignment horizontal="center" vertical="center" wrapText="1"/>
    </xf>
    <xf borderId="268" fillId="0" fontId="17" numFmtId="0" xfId="0" applyAlignment="1" applyBorder="1" applyFont="1">
      <alignment horizontal="center" vertical="center" wrapText="1"/>
    </xf>
    <xf borderId="75" fillId="5" fontId="14" numFmtId="0" xfId="0" applyAlignment="1" applyBorder="1" applyFont="1">
      <alignment horizontal="left" vertical="center" wrapText="1"/>
    </xf>
    <xf borderId="78" fillId="5" fontId="14" numFmtId="0" xfId="0" applyAlignment="1" applyBorder="1" applyFont="1">
      <alignment horizontal="left" vertical="center" wrapText="1"/>
    </xf>
    <xf borderId="198" fillId="5" fontId="14" numFmtId="0" xfId="0" applyAlignment="1" applyBorder="1" applyFont="1">
      <alignment horizontal="center" vertical="center" wrapText="1"/>
    </xf>
    <xf borderId="78" fillId="5" fontId="14" numFmtId="17" xfId="0" applyAlignment="1" applyBorder="1" applyFont="1" applyNumberFormat="1">
      <alignment horizontal="center" vertical="center" wrapText="1"/>
    </xf>
    <xf borderId="77" fillId="5" fontId="14" numFmtId="0" xfId="0" applyAlignment="1" applyBorder="1" applyFont="1">
      <alignment horizontal="center" vertical="center" wrapText="1"/>
    </xf>
    <xf borderId="77" fillId="5" fontId="14" numFmtId="3" xfId="0" applyAlignment="1" applyBorder="1" applyFont="1" applyNumberFormat="1">
      <alignment horizontal="center" vertical="center" wrapText="1"/>
    </xf>
    <xf borderId="78" fillId="5" fontId="14" numFmtId="3" xfId="0" applyAlignment="1" applyBorder="1" applyFont="1" applyNumberFormat="1">
      <alignment horizontal="center" vertical="center" wrapText="1"/>
    </xf>
    <xf borderId="267" fillId="5" fontId="14" numFmtId="0" xfId="0" applyAlignment="1" applyBorder="1" applyFont="1">
      <alignment vertical="center" wrapText="1"/>
    </xf>
    <xf borderId="155" fillId="5" fontId="20" numFmtId="0" xfId="0" applyAlignment="1" applyBorder="1" applyFont="1">
      <alignment horizontal="left" vertical="center" wrapText="1"/>
    </xf>
    <xf borderId="156" fillId="5" fontId="20" numFmtId="0" xfId="0" applyAlignment="1" applyBorder="1" applyFont="1">
      <alignment horizontal="center" vertical="center" wrapText="1"/>
    </xf>
    <xf borderId="155" fillId="5" fontId="20" numFmtId="17" xfId="0" applyAlignment="1" applyBorder="1" applyFont="1" applyNumberFormat="1">
      <alignment horizontal="center" vertical="center" wrapText="1"/>
    </xf>
    <xf borderId="157" fillId="5" fontId="20" numFmtId="0" xfId="0" applyAlignment="1" applyBorder="1" applyFont="1">
      <alignment horizontal="center" vertical="center" wrapText="1"/>
    </xf>
    <xf borderId="157" fillId="5" fontId="20" numFmtId="3" xfId="0" applyAlignment="1" applyBorder="1" applyFont="1" applyNumberFormat="1">
      <alignment horizontal="center" vertical="center" wrapText="1"/>
    </xf>
    <xf borderId="156" fillId="5" fontId="20" numFmtId="9" xfId="0" applyAlignment="1" applyBorder="1" applyFont="1" applyNumberFormat="1">
      <alignment horizontal="center" vertical="center" wrapText="1"/>
    </xf>
    <xf borderId="80" fillId="0" fontId="46" numFmtId="0" xfId="0" applyAlignment="1" applyBorder="1" applyFont="1">
      <alignment horizontal="center" vertical="center" wrapText="1"/>
    </xf>
    <xf borderId="271" fillId="0" fontId="20" numFmtId="0" xfId="0" applyAlignment="1" applyBorder="1" applyFont="1">
      <alignment horizontal="center" vertical="center" wrapText="1"/>
    </xf>
    <xf borderId="243" fillId="5" fontId="14" numFmtId="0" xfId="0" applyAlignment="1" applyBorder="1" applyFont="1">
      <alignment vertical="center" wrapText="1"/>
    </xf>
    <xf borderId="211" fillId="5" fontId="14" numFmtId="0" xfId="0" applyAlignment="1" applyBorder="1" applyFont="1">
      <alignment horizontal="left" vertical="center" wrapText="1"/>
    </xf>
    <xf borderId="212" fillId="5" fontId="14" numFmtId="0" xfId="0" applyAlignment="1" applyBorder="1" applyFont="1">
      <alignment horizontal="center" vertical="center" wrapText="1"/>
    </xf>
    <xf borderId="211" fillId="5" fontId="14" numFmtId="17" xfId="0" applyAlignment="1" applyBorder="1" applyFont="1" applyNumberFormat="1">
      <alignment horizontal="center" vertical="center" wrapText="1"/>
    </xf>
    <xf borderId="213" fillId="5" fontId="14" numFmtId="0" xfId="0" applyAlignment="1" applyBorder="1" applyFont="1">
      <alignment horizontal="center" vertical="center" wrapText="1"/>
    </xf>
    <xf borderId="213" fillId="5" fontId="14" numFmtId="3" xfId="0" applyAlignment="1" applyBorder="1" applyFont="1" applyNumberFormat="1">
      <alignment horizontal="center" vertical="center" wrapText="1"/>
    </xf>
    <xf borderId="81" fillId="0" fontId="15" numFmtId="3" xfId="0" applyAlignment="1" applyBorder="1" applyFont="1" applyNumberFormat="1">
      <alignment horizontal="center" wrapText="1"/>
    </xf>
    <xf borderId="81" fillId="0" fontId="15" numFmtId="9" xfId="0" applyAlignment="1" applyBorder="1" applyFont="1" applyNumberFormat="1">
      <alignment horizontal="center" wrapText="1"/>
    </xf>
    <xf borderId="82" fillId="0" fontId="15" numFmtId="3" xfId="0" applyAlignment="1" applyBorder="1" applyFont="1" applyNumberFormat="1">
      <alignment horizontal="center" wrapText="1"/>
    </xf>
    <xf borderId="148" fillId="0" fontId="15" numFmtId="0" xfId="0" applyAlignment="1" applyBorder="1" applyFont="1">
      <alignment horizontal="left" wrapText="1"/>
    </xf>
    <xf borderId="148" fillId="0" fontId="15" numFmtId="0" xfId="0" applyAlignment="1" applyBorder="1" applyFont="1">
      <alignment horizontal="center" wrapText="1"/>
    </xf>
    <xf borderId="148" fillId="0" fontId="15" numFmtId="17" xfId="0" applyAlignment="1" applyBorder="1" applyFont="1" applyNumberFormat="1">
      <alignment horizontal="center" wrapText="1"/>
    </xf>
    <xf borderId="212" fillId="5" fontId="14" numFmtId="9" xfId="0" applyAlignment="1" applyBorder="1" applyFont="1" applyNumberFormat="1">
      <alignment horizontal="center" vertical="center" wrapText="1"/>
    </xf>
    <xf borderId="211" fillId="5" fontId="14" numFmtId="3" xfId="0" applyAlignment="1" applyBorder="1" applyFont="1" applyNumberFormat="1">
      <alignment horizontal="center" vertical="center" wrapText="1"/>
    </xf>
    <xf borderId="148" fillId="0" fontId="15" numFmtId="3" xfId="0" applyAlignment="1" applyBorder="1" applyFont="1" applyNumberFormat="1">
      <alignment horizontal="center" wrapText="1"/>
    </xf>
    <xf borderId="148" fillId="0" fontId="15" numFmtId="9" xfId="0" applyAlignment="1" applyBorder="1" applyFont="1" applyNumberFormat="1">
      <alignment horizontal="center" wrapText="1"/>
    </xf>
    <xf borderId="161" fillId="0" fontId="15" numFmtId="3" xfId="0" applyAlignment="1" applyBorder="1" applyFont="1" applyNumberFormat="1">
      <alignment horizontal="center" wrapText="1"/>
    </xf>
    <xf borderId="250" fillId="0" fontId="2" numFmtId="0" xfId="0" applyBorder="1" applyFont="1"/>
    <xf borderId="272" fillId="0" fontId="20" numFmtId="0" xfId="0" applyAlignment="1" applyBorder="1" applyFont="1">
      <alignment horizontal="center" vertical="center" wrapText="1"/>
    </xf>
    <xf borderId="153" fillId="0" fontId="15" numFmtId="0" xfId="0" applyAlignment="1" applyBorder="1" applyFont="1">
      <alignment horizontal="left" vertical="center" wrapText="1"/>
    </xf>
    <xf borderId="154" fillId="0" fontId="15" numFmtId="0" xfId="0" applyAlignment="1" applyBorder="1" applyFont="1">
      <alignment horizontal="left" vertical="center" wrapText="1"/>
    </xf>
    <xf borderId="252" fillId="0" fontId="15" numFmtId="0" xfId="0" applyAlignment="1" applyBorder="1" applyFont="1">
      <alignment horizontal="center" vertical="center" wrapText="1"/>
    </xf>
    <xf borderId="154" fillId="0" fontId="15" numFmtId="17" xfId="0" applyAlignment="1" applyBorder="1" applyFont="1" applyNumberFormat="1">
      <alignment horizontal="center" vertical="center" wrapText="1"/>
    </xf>
    <xf borderId="154" fillId="0" fontId="15" numFmtId="0" xfId="0" applyAlignment="1" applyBorder="1" applyFont="1">
      <alignment horizontal="center" vertical="center" wrapText="1"/>
    </xf>
    <xf borderId="251" fillId="0" fontId="15" numFmtId="3" xfId="0" applyAlignment="1" applyBorder="1" applyFont="1" applyNumberFormat="1">
      <alignment horizontal="center" vertical="center" wrapText="1"/>
    </xf>
    <xf borderId="154" fillId="0" fontId="15" numFmtId="3" xfId="0" applyAlignment="1" applyBorder="1" applyFont="1" applyNumberFormat="1">
      <alignment horizontal="center" vertical="center" wrapText="1"/>
    </xf>
    <xf borderId="251" fillId="0" fontId="15" numFmtId="3" xfId="0" applyAlignment="1" applyBorder="1" applyFont="1" applyNumberFormat="1">
      <alignment horizontal="center" vertical="center"/>
    </xf>
    <xf borderId="0" fillId="0" fontId="14" numFmtId="0" xfId="0" applyAlignment="1" applyFont="1">
      <alignment horizontal="center" vertical="center" wrapText="1"/>
    </xf>
    <xf borderId="0" fillId="0" fontId="15" numFmtId="0" xfId="0" applyAlignment="1" applyFont="1">
      <alignment horizontal="left" vertical="center" wrapText="1"/>
    </xf>
    <xf borderId="121" fillId="0" fontId="15" numFmtId="0" xfId="0" applyAlignment="1" applyBorder="1" applyFont="1">
      <alignment horizontal="left" wrapText="1"/>
    </xf>
    <xf borderId="121" fillId="0" fontId="15" numFmtId="9" xfId="0" applyAlignment="1" applyBorder="1" applyFont="1" applyNumberFormat="1">
      <alignment horizontal="center" readingOrder="1" vertical="center" wrapText="1"/>
    </xf>
    <xf borderId="0" fillId="0" fontId="17" numFmtId="0" xfId="0" applyAlignment="1" applyFont="1">
      <alignment horizontal="left" vertical="center"/>
    </xf>
    <xf borderId="0" fillId="0" fontId="17" numFmtId="166" xfId="0" applyAlignment="1" applyFont="1" applyNumberFormat="1">
      <alignment horizontal="center" vertical="center"/>
    </xf>
    <xf borderId="0" fillId="0" fontId="17" numFmtId="17" xfId="0" applyAlignment="1" applyFont="1" applyNumberFormat="1">
      <alignment horizontal="center" vertical="center"/>
    </xf>
    <xf borderId="121" fillId="0" fontId="15" numFmtId="0" xfId="0" applyAlignment="1" applyBorder="1" applyFont="1">
      <alignment horizontal="center" wrapText="1"/>
    </xf>
    <xf borderId="121" fillId="0" fontId="15" numFmtId="17" xfId="0" applyAlignment="1" applyBorder="1" applyFont="1" applyNumberFormat="1">
      <alignment horizontal="center" wrapText="1"/>
    </xf>
    <xf borderId="121" fillId="0" fontId="15" numFmtId="3" xfId="0" applyAlignment="1" applyBorder="1" applyFont="1" applyNumberFormat="1">
      <alignment horizontal="center" wrapText="1"/>
    </xf>
    <xf borderId="0" fillId="0" fontId="17" numFmtId="1" xfId="0" applyAlignment="1" applyFont="1" applyNumberFormat="1">
      <alignment horizontal="center" vertical="center"/>
    </xf>
    <xf borderId="0" fillId="0" fontId="17" numFmtId="3" xfId="0" applyAlignment="1" applyFont="1" applyNumberFormat="1">
      <alignment horizontal="center" readingOrder="1" vertical="center"/>
    </xf>
    <xf borderId="0" fillId="0" fontId="17" numFmtId="9" xfId="0" applyAlignment="1" applyFont="1" applyNumberFormat="1">
      <alignment horizontal="center" readingOrder="1" vertical="center"/>
    </xf>
    <xf borderId="121" fillId="0" fontId="15" numFmtId="9" xfId="0" applyAlignment="1" applyBorder="1" applyFont="1" applyNumberFormat="1">
      <alignment horizontal="center" wrapText="1"/>
    </xf>
    <xf borderId="99" fillId="6" fontId="15" numFmtId="0" xfId="0" applyAlignment="1" applyBorder="1" applyFont="1">
      <alignment horizontal="center" vertical="center" wrapText="1"/>
    </xf>
    <xf borderId="259" fillId="6" fontId="15" numFmtId="164" xfId="0" applyAlignment="1" applyBorder="1" applyFont="1" applyNumberFormat="1">
      <alignment horizontal="center" wrapText="1"/>
    </xf>
    <xf borderId="260" fillId="6" fontId="15" numFmtId="164" xfId="0" applyAlignment="1" applyBorder="1" applyFont="1" applyNumberFormat="1">
      <alignment horizontal="center" wrapText="1"/>
    </xf>
    <xf borderId="95" fillId="0" fontId="17" numFmtId="0" xfId="0" applyAlignment="1" applyBorder="1" applyFont="1">
      <alignment horizontal="center" vertical="center" wrapText="1"/>
    </xf>
    <xf borderId="75" fillId="0" fontId="15" numFmtId="0" xfId="0" applyAlignment="1" applyBorder="1" applyFont="1">
      <alignment horizontal="left" vertical="center" wrapText="1"/>
    </xf>
    <xf borderId="78" fillId="0" fontId="15" numFmtId="0" xfId="0" applyAlignment="1" applyBorder="1" applyFont="1">
      <alignment horizontal="left" vertical="center"/>
    </xf>
    <xf borderId="77" fillId="0" fontId="50" numFmtId="166" xfId="0" applyAlignment="1" applyBorder="1" applyFont="1" applyNumberFormat="1">
      <alignment horizontal="center" vertical="center" wrapText="1"/>
    </xf>
    <xf borderId="78" fillId="0" fontId="15" numFmtId="17" xfId="0" applyAlignment="1" applyBorder="1" applyFont="1" applyNumberFormat="1">
      <alignment horizontal="center" vertical="center"/>
    </xf>
    <xf borderId="78" fillId="0" fontId="15" numFmtId="1" xfId="0" applyAlignment="1" applyBorder="1" applyFont="1" applyNumberFormat="1">
      <alignment horizontal="center" vertical="center"/>
    </xf>
    <xf borderId="78" fillId="0" fontId="15" numFmtId="3" xfId="0" applyAlignment="1" applyBorder="1" applyFont="1" applyNumberFormat="1">
      <alignment horizontal="center" readingOrder="1" vertical="center"/>
    </xf>
    <xf borderId="198" fillId="0" fontId="15" numFmtId="9" xfId="0" applyAlignment="1" applyBorder="1" applyFont="1" applyNumberFormat="1">
      <alignment horizontal="center" readingOrder="1" vertical="center"/>
    </xf>
    <xf borderId="78" fillId="0" fontId="14" numFmtId="3" xfId="0" applyAlignment="1" applyBorder="1" applyFont="1" applyNumberFormat="1">
      <alignment horizontal="center" vertical="center"/>
    </xf>
    <xf borderId="77" fillId="0" fontId="14" numFmtId="3" xfId="0" applyAlignment="1" applyBorder="1" applyFont="1" applyNumberFormat="1">
      <alignment horizontal="center" vertical="center"/>
    </xf>
    <xf borderId="273" fillId="0" fontId="31" numFmtId="0" xfId="0" applyAlignment="1" applyBorder="1" applyFont="1">
      <alignment horizontal="left" vertical="center" wrapText="1"/>
    </xf>
    <xf borderId="274" fillId="0" fontId="2" numFmtId="0" xfId="0" applyBorder="1" applyFont="1"/>
    <xf borderId="275" fillId="0" fontId="2" numFmtId="0" xfId="0" applyBorder="1" applyFont="1"/>
    <xf borderId="250" fillId="0" fontId="15" numFmtId="0" xfId="0" applyAlignment="1" applyBorder="1" applyFont="1">
      <alignment horizontal="left" vertical="center" wrapText="1"/>
    </xf>
    <xf borderId="154" fillId="0" fontId="15" numFmtId="0" xfId="0" applyAlignment="1" applyBorder="1" applyFont="1">
      <alignment horizontal="left" vertical="center"/>
    </xf>
    <xf borderId="251" fillId="0" fontId="11" numFmtId="166" xfId="0" applyAlignment="1" applyBorder="1" applyFont="1" applyNumberFormat="1">
      <alignment horizontal="center" vertical="center" wrapText="1"/>
    </xf>
    <xf borderId="154" fillId="0" fontId="15" numFmtId="17" xfId="0" applyAlignment="1" applyBorder="1" applyFont="1" applyNumberFormat="1">
      <alignment horizontal="center" vertical="center"/>
    </xf>
    <xf borderId="154" fillId="0" fontId="15" numFmtId="1" xfId="0" applyAlignment="1" applyBorder="1" applyFont="1" applyNumberFormat="1">
      <alignment horizontal="center" vertical="center"/>
    </xf>
    <xf borderId="154" fillId="0" fontId="15" numFmtId="3" xfId="0" applyAlignment="1" applyBorder="1" applyFont="1" applyNumberFormat="1">
      <alignment horizontal="center" readingOrder="1" vertical="center"/>
    </xf>
    <xf borderId="252" fillId="0" fontId="15" numFmtId="9" xfId="0" applyAlignment="1" applyBorder="1" applyFont="1" applyNumberFormat="1">
      <alignment horizontal="center" readingOrder="1" vertical="center"/>
    </xf>
    <xf borderId="154" fillId="0" fontId="15" numFmtId="3" xfId="0" applyAlignment="1" applyBorder="1" applyFont="1" applyNumberFormat="1">
      <alignment horizontal="center" vertical="center"/>
    </xf>
    <xf borderId="276" fillId="0" fontId="2" numFmtId="0" xfId="0" applyBorder="1" applyFont="1"/>
    <xf borderId="277" fillId="0" fontId="17" numFmtId="0" xfId="0" applyAlignment="1" applyBorder="1" applyFont="1">
      <alignment horizontal="center" vertical="center" wrapText="1"/>
    </xf>
    <xf borderId="243" fillId="0" fontId="17" numFmtId="0" xfId="0" applyAlignment="1" applyBorder="1" applyFont="1">
      <alignment horizontal="left" vertical="center" wrapText="1"/>
    </xf>
    <xf borderId="211" fillId="0" fontId="17" numFmtId="0" xfId="0" applyAlignment="1" applyBorder="1" applyFont="1">
      <alignment horizontal="left" vertical="center"/>
    </xf>
    <xf borderId="213" fillId="0" fontId="22" numFmtId="166" xfId="0" applyAlignment="1" applyBorder="1" applyFont="1" applyNumberFormat="1">
      <alignment horizontal="center" vertical="center" wrapText="1"/>
    </xf>
    <xf borderId="211" fillId="0" fontId="17" numFmtId="17" xfId="0" applyAlignment="1" applyBorder="1" applyFont="1" applyNumberFormat="1">
      <alignment horizontal="center" vertical="center"/>
    </xf>
    <xf borderId="213" fillId="0" fontId="17" numFmtId="1" xfId="0" applyAlignment="1" applyBorder="1" applyFont="1" applyNumberFormat="1">
      <alignment horizontal="center" vertical="center"/>
    </xf>
    <xf borderId="243" fillId="0" fontId="17" numFmtId="3" xfId="0" applyAlignment="1" applyBorder="1" applyFont="1" applyNumberFormat="1">
      <alignment horizontal="center" readingOrder="1" vertical="center"/>
    </xf>
    <xf borderId="219" fillId="0" fontId="17" numFmtId="9" xfId="0" applyAlignment="1" applyBorder="1" applyFont="1" applyNumberFormat="1">
      <alignment horizontal="center" readingOrder="1" vertical="center"/>
    </xf>
    <xf borderId="211" fillId="0" fontId="17" numFmtId="3" xfId="0" applyAlignment="1" applyBorder="1" applyFont="1" applyNumberFormat="1">
      <alignment horizontal="center" vertical="center"/>
    </xf>
    <xf borderId="213" fillId="0" fontId="17" numFmtId="3" xfId="0" applyAlignment="1" applyBorder="1" applyFont="1" applyNumberFormat="1">
      <alignment horizontal="center" vertical="center"/>
    </xf>
    <xf borderId="278" fillId="0" fontId="15" numFmtId="3" xfId="0" applyAlignment="1" applyBorder="1" applyFont="1" applyNumberFormat="1">
      <alignment horizontal="center" vertical="center"/>
    </xf>
    <xf borderId="251" fillId="0" fontId="15" numFmtId="1" xfId="0" applyAlignment="1" applyBorder="1" applyFont="1" applyNumberFormat="1">
      <alignment horizontal="center" vertical="center"/>
    </xf>
    <xf borderId="89" fillId="0" fontId="15" numFmtId="3" xfId="0" applyAlignment="1" applyBorder="1" applyFont="1" applyNumberFormat="1">
      <alignment horizontal="center" readingOrder="1" vertical="center"/>
    </xf>
    <xf borderId="279" fillId="0" fontId="15" numFmtId="3" xfId="0" applyAlignment="1" applyBorder="1" applyFont="1" applyNumberFormat="1">
      <alignment horizontal="center" vertical="center"/>
    </xf>
    <xf borderId="280" fillId="0" fontId="31" numFmtId="0" xfId="0" applyAlignment="1" applyBorder="1" applyFont="1">
      <alignment horizontal="left" vertical="center" wrapText="1"/>
    </xf>
    <xf borderId="233" fillId="0" fontId="31" numFmtId="0" xfId="0" applyAlignment="1" applyBorder="1" applyFont="1">
      <alignment horizontal="left" vertical="center" wrapText="1"/>
    </xf>
    <xf borderId="234" fillId="0" fontId="31" numFmtId="0" xfId="0" applyAlignment="1" applyBorder="1" applyFont="1">
      <alignment horizontal="left" vertical="center" wrapText="1"/>
    </xf>
    <xf borderId="98" fillId="0" fontId="17" numFmtId="0" xfId="0" applyAlignment="1" applyBorder="1" applyFont="1">
      <alignment horizontal="center" vertical="center"/>
    </xf>
    <xf borderId="98" fillId="0" fontId="17" numFmtId="0" xfId="0" applyAlignment="1" applyBorder="1" applyFont="1">
      <alignment horizontal="left" vertical="center" wrapText="1"/>
    </xf>
    <xf borderId="98" fillId="0" fontId="17" numFmtId="0" xfId="0" applyAlignment="1" applyBorder="1" applyFont="1">
      <alignment horizontal="left" vertical="center"/>
    </xf>
    <xf borderId="99" fillId="0" fontId="17" numFmtId="166" xfId="0" applyAlignment="1" applyBorder="1" applyFont="1" applyNumberFormat="1">
      <alignment horizontal="center" vertical="center"/>
    </xf>
    <xf borderId="98" fillId="0" fontId="17" numFmtId="17" xfId="0" applyAlignment="1" applyBorder="1" applyFont="1" applyNumberFormat="1">
      <alignment horizontal="center" vertical="center"/>
    </xf>
    <xf borderId="99" fillId="0" fontId="17" numFmtId="1" xfId="0" applyAlignment="1" applyBorder="1" applyFont="1" applyNumberFormat="1">
      <alignment horizontal="center" vertical="center"/>
    </xf>
    <xf borderId="71" fillId="0" fontId="17" numFmtId="3" xfId="0" applyAlignment="1" applyBorder="1" applyFont="1" applyNumberFormat="1">
      <alignment horizontal="center" readingOrder="1" vertical="center"/>
    </xf>
    <xf borderId="55" fillId="0" fontId="17" numFmtId="9" xfId="0" applyAlignment="1" applyBorder="1" applyFont="1" applyNumberFormat="1">
      <alignment horizontal="center" readingOrder="1" vertical="center"/>
    </xf>
    <xf borderId="98" fillId="0" fontId="17" numFmtId="3" xfId="0" applyAlignment="1" applyBorder="1" applyFont="1" applyNumberFormat="1">
      <alignment horizontal="center" vertical="center"/>
    </xf>
    <xf borderId="99" fillId="0" fontId="17" numFmtId="3" xfId="0" applyAlignment="1" applyBorder="1" applyFont="1" applyNumberFormat="1">
      <alignment horizontal="center" vertical="center"/>
    </xf>
    <xf borderId="281" fillId="4" fontId="31" numFmtId="0" xfId="0" applyAlignment="1" applyBorder="1" applyFont="1">
      <alignment horizontal="left" vertical="center" wrapText="1"/>
    </xf>
    <xf borderId="282" fillId="0" fontId="31" numFmtId="0" xfId="0" applyAlignment="1" applyBorder="1" applyFont="1">
      <alignment horizontal="left" vertical="center" wrapText="1"/>
    </xf>
    <xf borderId="283" fillId="0" fontId="2" numFmtId="0" xfId="0" applyBorder="1" applyFont="1"/>
    <xf borderId="284" fillId="0" fontId="2" numFmtId="0" xfId="0" applyBorder="1" applyFont="1"/>
    <xf borderId="285" fillId="0" fontId="2" numFmtId="0" xfId="0" applyBorder="1" applyFont="1"/>
    <xf borderId="286" fillId="0" fontId="2" numFmtId="0" xfId="0" applyBorder="1" applyFont="1"/>
    <xf borderId="287" fillId="0" fontId="2" numFmtId="0" xfId="0" applyBorder="1" applyFont="1"/>
    <xf borderId="278" fillId="0" fontId="48" numFmtId="3" xfId="0" applyAlignment="1" applyBorder="1" applyFont="1" applyNumberFormat="1">
      <alignment horizontal="center" vertical="center"/>
    </xf>
    <xf borderId="288" fillId="4" fontId="15" numFmtId="9" xfId="0" applyAlignment="1" applyBorder="1" applyFont="1" applyNumberFormat="1">
      <alignment horizontal="center" vertical="center"/>
    </xf>
    <xf borderId="265" fillId="0" fontId="52" numFmtId="0" xfId="0" applyAlignment="1" applyBorder="1" applyFont="1">
      <alignment horizontal="center" vertical="center" wrapText="1"/>
    </xf>
    <xf borderId="289" fillId="0" fontId="31" numFmtId="0" xfId="0" applyAlignment="1" applyBorder="1" applyFont="1">
      <alignment horizontal="left" vertical="center" wrapText="1"/>
    </xf>
    <xf borderId="169" fillId="0" fontId="52" numFmtId="0" xfId="0" applyAlignment="1" applyBorder="1" applyFont="1">
      <alignment horizontal="left" vertical="center" wrapText="1"/>
    </xf>
    <xf borderId="235" fillId="0" fontId="9" numFmtId="3" xfId="0" applyAlignment="1" applyBorder="1" applyFont="1" applyNumberFormat="1">
      <alignment horizontal="center" vertical="center"/>
    </xf>
    <xf borderId="0" fillId="0" fontId="0" numFmtId="0" xfId="0" applyAlignment="1" applyFont="1">
      <alignment horizontal="left" wrapText="1"/>
    </xf>
    <xf borderId="290" fillId="4" fontId="31" numFmtId="0" xfId="0" applyAlignment="1" applyBorder="1" applyFont="1">
      <alignment horizontal="left" vertical="center" wrapText="1"/>
    </xf>
    <xf borderId="235" fillId="4" fontId="48" numFmtId="3" xfId="0" applyAlignment="1" applyBorder="1" applyFont="1" applyNumberFormat="1">
      <alignment horizontal="center" vertical="center"/>
    </xf>
    <xf borderId="291" fillId="4" fontId="48" numFmtId="3" xfId="0" applyAlignment="1" applyBorder="1" applyFont="1" applyNumberFormat="1">
      <alignment horizontal="center" vertical="center"/>
    </xf>
    <xf borderId="292" fillId="0" fontId="2" numFmtId="0" xfId="0" applyBorder="1" applyFont="1"/>
    <xf borderId="247" fillId="4" fontId="9" numFmtId="9" xfId="0" applyAlignment="1" applyBorder="1" applyFont="1" applyNumberFormat="1">
      <alignment horizontal="center" vertical="center"/>
    </xf>
    <xf borderId="293" fillId="4" fontId="9" numFmtId="9" xfId="0" applyAlignment="1" applyBorder="1" applyFont="1" applyNumberFormat="1">
      <alignment horizontal="center" vertical="center"/>
    </xf>
    <xf borderId="294" fillId="0" fontId="52" numFmtId="0" xfId="0" applyAlignment="1" applyBorder="1" applyFont="1">
      <alignment horizontal="center" vertical="center" wrapText="1"/>
    </xf>
    <xf borderId="29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5.xml"/><Relationship Id="rId13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12.xml"/><Relationship Id="rId14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1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'2015 Summary'!$A$4:$A$10</c:f>
            </c:strRef>
          </c:cat>
          <c:val>
            <c:numRef>
              <c:f>'2015 Summary'!$B$4:$B$10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'2015 Summary'!$A$4:$A$10</c:f>
            </c:strRef>
          </c:cat>
          <c:val>
            <c:numRef>
              <c:f>'2015 Summary'!$C$4:$C$10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'2015 Summary'!$A$4:$A$10</c:f>
            </c:strRef>
          </c:cat>
          <c:val>
            <c:numRef>
              <c:f>'2015 Summary'!$H$4:$H$10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'2015 Summary'!$A$4:$A$10</c:f>
            </c:strRef>
          </c:cat>
          <c:val>
            <c:numRef>
              <c:f>'2015 Summary'!$I$4:$I$10</c:f>
            </c:numRef>
          </c:val>
        </c:ser>
        <c:axId val="46518907"/>
        <c:axId val="832845777"/>
      </c:barChart>
      <c:catAx>
        <c:axId val="46518907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832845777"/>
      </c:catAx>
      <c:valAx>
        <c:axId val="832845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651890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i="0"/>
            </a:pPr>
            <a:r>
              <a:t>Summary of Progress to 2013 Budget</a:t>
            </a:r>
          </a:p>
        </c:rich>
      </c:tx>
      <c:overlay val="0"/>
    </c:title>
    <c:plotArea>
      <c:layout>
        <c:manualLayout>
          <c:xMode val="edge"/>
          <c:yMode val="edge"/>
          <c:x val="0.10796082197042443"/>
          <c:y val="0.15233401786458442"/>
          <c:w val="0.8741529991677869"/>
          <c:h val="0.6653396943110694"/>
        </c:manualLayout>
      </c:layout>
      <c:barChart>
        <c:barDir val="col"/>
        <c:ser>
          <c:idx val="0"/>
          <c:order val="0"/>
          <c:tx>
            <c:strRef>
              <c:f>'2013 Summary '!$B$3</c:f>
            </c:strRef>
          </c:tx>
          <c:spPr>
            <a:solidFill>
              <a:srgbClr val="4F81BD"/>
            </a:solidFill>
          </c:spPr>
          <c:cat>
            <c:strRef>
              <c:f>'2013 Summary '!$A$4:$A$10</c:f>
            </c:strRef>
          </c:cat>
          <c:val>
            <c:numRef>
              <c:f>'2013 Summary '!$B$4:$B$10</c:f>
            </c:numRef>
          </c:val>
        </c:ser>
        <c:ser>
          <c:idx val="1"/>
          <c:order val="1"/>
          <c:tx>
            <c:strRef>
              <c:f>'2013 Summary '!$C$3</c:f>
            </c:strRef>
          </c:tx>
          <c:spPr>
            <a:solidFill>
              <a:srgbClr val="C0504D"/>
            </a:solidFill>
          </c:spPr>
          <c:cat>
            <c:strRef>
              <c:f>'2013 Summary '!$A$4:$A$10</c:f>
            </c:strRef>
          </c:cat>
          <c:val>
            <c:numRef>
              <c:f>'2013 Summary '!$C$4:$C$10</c:f>
            </c:numRef>
          </c:val>
        </c:ser>
        <c:ser>
          <c:idx val="2"/>
          <c:order val="2"/>
          <c:tx>
            <c:strRef>
              <c:f>'2013 Summary '!$H$3</c:f>
            </c:strRef>
          </c:tx>
          <c:spPr>
            <a:solidFill>
              <a:srgbClr val="4F81BD"/>
            </a:solidFill>
          </c:spPr>
          <c:cat>
            <c:strRef>
              <c:f>'2013 Summary '!$A$4:$A$10</c:f>
            </c:strRef>
          </c:cat>
          <c:val>
            <c:numRef>
              <c:f>'2013 Summary '!$H$4:$H$10</c:f>
            </c:numRef>
          </c:val>
        </c:ser>
        <c:ser>
          <c:idx val="3"/>
          <c:order val="3"/>
          <c:tx>
            <c:strRef>
              <c:f>'2013 Summary '!$I$3</c:f>
            </c:strRef>
          </c:tx>
          <c:spPr>
            <a:solidFill>
              <a:srgbClr val="C0504D"/>
            </a:solidFill>
          </c:spPr>
          <c:cat>
            <c:strRef>
              <c:f>'2013 Summary '!$A$4:$A$10</c:f>
            </c:strRef>
          </c:cat>
          <c:val>
            <c:numRef>
              <c:f>'2013 Summary '!$I$4:$I$10</c:f>
            </c:numRef>
          </c:val>
        </c:ser>
        <c:axId val="1280148802"/>
        <c:axId val="1334071608"/>
      </c:barChart>
      <c:catAx>
        <c:axId val="1280148802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334071608"/>
      </c:catAx>
      <c:valAx>
        <c:axId val="1334071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80148802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F81BD"/>
            </a:solidFill>
          </c:spPr>
          <c:cat>
            <c:strRef>
              <c:f>'2016 Summary'!$A$4:$A$10</c:f>
            </c:strRef>
          </c:cat>
          <c:val>
            <c:numRef>
              <c:f>'2016 Summary'!$B$4:$B$10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'2016 Summary'!$A$4:$A$10</c:f>
            </c:strRef>
          </c:cat>
          <c:val>
            <c:numRef>
              <c:f>'2016 Summary'!$C$4:$C$10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'2016 Summary'!$A$4:$A$10</c:f>
            </c:strRef>
          </c:cat>
          <c:val>
            <c:numRef>
              <c:f>'2016 Summary'!$H$4:$H$10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'2016 Summary'!$A$4:$A$10</c:f>
            </c:strRef>
          </c:cat>
          <c:val>
            <c:numRef>
              <c:f>'2016 Summary'!$I$4:$I$10</c:f>
            </c:numRef>
          </c:val>
        </c:ser>
        <c:axId val="1760244947"/>
        <c:axId val="66844756"/>
      </c:barChart>
      <c:catAx>
        <c:axId val="1760244947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66844756"/>
      </c:catAx>
      <c:valAx>
        <c:axId val="66844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6024494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12</xdr:row>
      <xdr:rowOff>123825</xdr:rowOff>
    </xdr:from>
    <xdr:to>
      <xdr:col>11</xdr:col>
      <xdr:colOff>190500</xdr:colOff>
      <xdr:row>30</xdr:row>
      <xdr:rowOff>9525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47625</xdr:colOff>
      <xdr:row>12</xdr:row>
      <xdr:rowOff>9525</xdr:rowOff>
    </xdr:from>
    <xdr:to>
      <xdr:col>10</xdr:col>
      <xdr:colOff>447675</xdr:colOff>
      <xdr:row>26</xdr:row>
      <xdr:rowOff>133350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12</xdr:row>
      <xdr:rowOff>123825</xdr:rowOff>
    </xdr:from>
    <xdr:to>
      <xdr:col>11</xdr:col>
      <xdr:colOff>190500</xdr:colOff>
      <xdr:row>30</xdr:row>
      <xdr:rowOff>9525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worksheet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38"/>
    <col customWidth="1" min="2" max="2" width="12.0"/>
    <col customWidth="1" min="3" max="3" width="12.88"/>
    <col customWidth="1" min="4" max="4" width="7.0"/>
    <col customWidth="1" min="5" max="5" width="12.5"/>
    <col customWidth="1" min="6" max="6" width="6.5"/>
    <col customWidth="1" min="7" max="7" width="13.63"/>
    <col customWidth="1" min="8" max="8" width="14.5"/>
    <col customWidth="1" min="9" max="9" width="17.0"/>
    <col customWidth="1" min="10" max="11" width="13.63"/>
    <col customWidth="1" min="12" max="12" width="6.63"/>
    <col customWidth="1" min="13" max="13" width="9.5"/>
    <col customWidth="1" min="14" max="26" width="7.63"/>
  </cols>
  <sheetData>
    <row r="1" ht="18.0" customHeight="1">
      <c r="A1" s="12" t="s">
        <v>8</v>
      </c>
      <c r="B1" s="21"/>
      <c r="C1" s="21"/>
      <c r="D1" s="21"/>
      <c r="E1" s="21"/>
      <c r="F1" s="21"/>
      <c r="G1" s="21"/>
      <c r="H1" s="21"/>
      <c r="I1" s="22"/>
      <c r="J1" s="23" t="s">
        <v>13</v>
      </c>
      <c r="K1" s="24"/>
      <c r="L1" s="25"/>
      <c r="M1" s="28"/>
    </row>
    <row r="2" ht="35.25" customHeight="1">
      <c r="A2" s="26" t="s">
        <v>16</v>
      </c>
      <c r="B2" s="27"/>
      <c r="C2" s="74" t="s">
        <v>15</v>
      </c>
      <c r="D2" s="75"/>
      <c r="E2" s="75"/>
      <c r="F2" s="76"/>
      <c r="G2" s="77" t="s">
        <v>27</v>
      </c>
      <c r="H2" s="78"/>
      <c r="I2" s="79"/>
      <c r="J2" s="80" t="s">
        <v>28</v>
      </c>
      <c r="K2" s="81"/>
      <c r="L2" s="82"/>
      <c r="M2" s="28"/>
    </row>
    <row r="3" ht="27.75" customHeight="1">
      <c r="A3" s="83" t="s">
        <v>31</v>
      </c>
      <c r="B3" s="84" t="s">
        <v>32</v>
      </c>
      <c r="C3" s="85" t="s">
        <v>33</v>
      </c>
      <c r="D3" s="86"/>
      <c r="E3" s="87" t="s">
        <v>34</v>
      </c>
      <c r="F3" s="86"/>
      <c r="G3" s="93" t="s">
        <v>35</v>
      </c>
      <c r="H3" s="94" t="s">
        <v>37</v>
      </c>
      <c r="I3" s="95" t="s">
        <v>38</v>
      </c>
      <c r="J3" s="96" t="s">
        <v>39</v>
      </c>
      <c r="K3" s="97" t="s">
        <v>40</v>
      </c>
      <c r="L3" s="98" t="s">
        <v>41</v>
      </c>
      <c r="M3" s="28"/>
    </row>
    <row r="4" ht="18.0" customHeight="1">
      <c r="A4" s="99" t="s">
        <v>42</v>
      </c>
      <c r="B4" s="131" t="str">
        <f t="shared" ref="B4:C4" si="1">SUM(B5:B10)</f>
        <v>£13,785,713</v>
      </c>
      <c r="C4" s="155" t="str">
        <f t="shared" si="1"/>
        <v>£12,788,190</v>
      </c>
      <c r="D4" s="156" t="str">
        <f t="shared" ref="D4:D10" si="3">C4/B4</f>
        <v>93%</v>
      </c>
      <c r="E4" s="155" t="str">
        <f>SUM(E5:E10)</f>
        <v>£14,440,008</v>
      </c>
      <c r="F4" s="156" t="str">
        <f t="shared" ref="F4:F10" si="4">E4/B4</f>
        <v>105%</v>
      </c>
      <c r="G4" s="158" t="str">
        <f t="shared" ref="G4:I4" si="2">SUM(G5:G10)</f>
        <v>£5,002,955</v>
      </c>
      <c r="H4" s="176" t="str">
        <f t="shared" si="2"/>
        <v>£1,651,818</v>
      </c>
      <c r="I4" s="177" t="str">
        <f t="shared" si="2"/>
        <v>£3,351,137</v>
      </c>
      <c r="J4" s="178" t="str">
        <f>SUM(J5:J9)</f>
        <v>£14,890,892</v>
      </c>
      <c r="K4" s="211">
        <v>1.4031985E7</v>
      </c>
      <c r="L4" s="219" t="str">
        <f t="shared" ref="L4:L9" si="5">K4/J4</f>
        <v>94%</v>
      </c>
      <c r="M4" s="28"/>
    </row>
    <row r="5" ht="16.5" customHeight="1">
      <c r="A5" s="220" t="s">
        <v>73</v>
      </c>
      <c r="B5" s="222" t="str">
        <f>Africa!I1</f>
        <v>£6,337,784</v>
      </c>
      <c r="C5" s="248" t="str">
        <f>Africa!I36</f>
        <v>£5,887,258</v>
      </c>
      <c r="D5" s="277" t="str">
        <f t="shared" si="3"/>
        <v>93%</v>
      </c>
      <c r="E5" s="248" t="str">
        <f>Africa!I52</f>
        <v>£6,201,576</v>
      </c>
      <c r="F5" s="277" t="str">
        <f t="shared" si="4"/>
        <v>98%</v>
      </c>
      <c r="G5" s="304" t="str">
        <f>Africa!I50</f>
        <v>£513,408</v>
      </c>
      <c r="H5" s="320" t="str">
        <f>Africa!I51</f>
        <v>£314,318</v>
      </c>
      <c r="I5" s="322" t="str">
        <f t="shared" ref="I5:I10" si="6">G5-H5</f>
        <v>£199,090</v>
      </c>
      <c r="J5" s="324">
        <v>5777684.0</v>
      </c>
      <c r="K5" s="325">
        <v>5790045.49</v>
      </c>
      <c r="L5" s="349" t="str">
        <f t="shared" si="5"/>
        <v>100%</v>
      </c>
      <c r="M5" s="370"/>
    </row>
    <row r="6" ht="15.75" customHeight="1">
      <c r="A6" s="350" t="s">
        <v>144</v>
      </c>
      <c r="B6" s="372" t="str">
        <f>PIP!I1</f>
        <v>£1,282,661</v>
      </c>
      <c r="C6" s="393" t="str">
        <f>PIP!I41</f>
        <v>£1,337,908</v>
      </c>
      <c r="D6" s="395" t="str">
        <f t="shared" si="3"/>
        <v>104%</v>
      </c>
      <c r="E6" s="393" t="str">
        <f>PIP!I65</f>
        <v>£1,337,908</v>
      </c>
      <c r="F6" s="395" t="str">
        <f t="shared" si="4"/>
        <v>104%</v>
      </c>
      <c r="G6" s="424" t="str">
        <f>PIP!I63</f>
        <v>£105,000</v>
      </c>
      <c r="H6" s="426" t="str">
        <f>PIP!I64</f>
        <v/>
      </c>
      <c r="I6" s="427" t="str">
        <f t="shared" si="6"/>
        <v>£105,000</v>
      </c>
      <c r="J6" s="428">
        <v>1489005.0</v>
      </c>
      <c r="K6" s="429">
        <v>1239433.0</v>
      </c>
      <c r="L6" s="349" t="str">
        <f t="shared" si="5"/>
        <v>83%</v>
      </c>
      <c r="M6" s="370"/>
    </row>
    <row r="7" ht="15.75" customHeight="1">
      <c r="A7" s="350" t="s">
        <v>217</v>
      </c>
      <c r="B7" s="372" t="str">
        <f>Eurasia!I1</f>
        <v>£2,406,527</v>
      </c>
      <c r="C7" s="393" t="str">
        <f>Eurasia!I22</f>
        <v>£2,323,948</v>
      </c>
      <c r="D7" s="395" t="str">
        <f t="shared" si="3"/>
        <v>97%</v>
      </c>
      <c r="E7" s="393" t="str">
        <f>Eurasia!I32</f>
        <v>£2,538,948</v>
      </c>
      <c r="F7" s="395" t="str">
        <f t="shared" si="4"/>
        <v>106%</v>
      </c>
      <c r="G7" s="424" t="str">
        <f>Eurasia!I30</f>
        <v>£2,741,123</v>
      </c>
      <c r="H7" s="426" t="str">
        <f>Eurasia!I31</f>
        <v>£215,000</v>
      </c>
      <c r="I7" s="427" t="str">
        <f t="shared" si="6"/>
        <v>£2,526,123</v>
      </c>
      <c r="J7" s="428">
        <v>2992650.0</v>
      </c>
      <c r="K7" s="429">
        <v>2895521.0</v>
      </c>
      <c r="L7" s="349" t="str">
        <f t="shared" si="5"/>
        <v>97%</v>
      </c>
      <c r="M7" s="370"/>
    </row>
    <row r="8" ht="15.75" customHeight="1">
      <c r="A8" s="432" t="s">
        <v>219</v>
      </c>
      <c r="B8" s="372" t="str">
        <f>+Asia!I1</f>
        <v>£2,122,774</v>
      </c>
      <c r="C8" s="393" t="str">
        <f>Asia!I35</f>
        <v>£1,727,327</v>
      </c>
      <c r="D8" s="395" t="str">
        <f t="shared" si="3"/>
        <v>81%</v>
      </c>
      <c r="E8" s="393" t="str">
        <f>Asia!I59</f>
        <v>£1,857,327</v>
      </c>
      <c r="F8" s="395" t="str">
        <f t="shared" si="4"/>
        <v>87%</v>
      </c>
      <c r="G8" s="424" t="str">
        <f>Asia!I57</f>
        <v>£511,825</v>
      </c>
      <c r="H8" s="426" t="str">
        <f>Asia!I58</f>
        <v>£130,000</v>
      </c>
      <c r="I8" s="322" t="str">
        <f t="shared" si="6"/>
        <v>£381,825</v>
      </c>
      <c r="J8" s="428">
        <v>2996010.0</v>
      </c>
      <c r="K8" s="429">
        <v>2219897.0</v>
      </c>
      <c r="L8" s="349" t="str">
        <f t="shared" si="5"/>
        <v>74%</v>
      </c>
      <c r="M8" s="370"/>
    </row>
    <row r="9" ht="15.75" customHeight="1">
      <c r="A9" s="447" t="s">
        <v>222</v>
      </c>
      <c r="B9" s="451" t="str">
        <f>MENA!I1</f>
        <v>£1,227,946</v>
      </c>
      <c r="C9" s="519" t="str">
        <f>MENA!I20</f>
        <v>£1,133,728</v>
      </c>
      <c r="D9" s="520" t="str">
        <f t="shared" si="3"/>
        <v>92%</v>
      </c>
      <c r="E9" s="519" t="str">
        <f>MENA!I42</f>
        <v>£2,033,728</v>
      </c>
      <c r="F9" s="520" t="str">
        <f t="shared" si="4"/>
        <v>166%</v>
      </c>
      <c r="G9" s="533" t="str">
        <f>MENA!I40</f>
        <v>£940,000</v>
      </c>
      <c r="H9" s="541" t="str">
        <f>MENA!I41</f>
        <v>£900,000</v>
      </c>
      <c r="I9" s="551" t="str">
        <f t="shared" si="6"/>
        <v>£40,000</v>
      </c>
      <c r="J9" s="577">
        <v>1635543.0</v>
      </c>
      <c r="K9" s="578">
        <v>1887089.0</v>
      </c>
      <c r="L9" s="586" t="str">
        <f t="shared" si="5"/>
        <v>115%</v>
      </c>
      <c r="M9" s="37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603" t="s">
        <v>343</v>
      </c>
      <c r="B10" s="606" t="str">
        <f>EP!I1</f>
        <v>£408,021</v>
      </c>
      <c r="C10" s="608" t="str">
        <f>EP!I11</f>
        <v>£378,021</v>
      </c>
      <c r="D10" s="609" t="str">
        <f t="shared" si="3"/>
        <v>93%</v>
      </c>
      <c r="E10" s="608" t="str">
        <f>EP!I27</f>
        <v>£470,521</v>
      </c>
      <c r="F10" s="609" t="str">
        <f t="shared" si="4"/>
        <v>115%</v>
      </c>
      <c r="G10" s="611" t="str">
        <f>EP!I25</f>
        <v>£191,600</v>
      </c>
      <c r="H10" s="647" t="str">
        <f>EP!I26</f>
        <v>£92,500</v>
      </c>
      <c r="I10" s="427" t="str">
        <f t="shared" si="6"/>
        <v>£99,100</v>
      </c>
      <c r="J10" s="648"/>
      <c r="K10" s="649"/>
      <c r="L10" s="670"/>
      <c r="M10" s="370"/>
    </row>
    <row r="11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0"/>
      <c r="L11" s="28"/>
      <c r="M11" s="671"/>
    </row>
    <row r="12">
      <c r="A12" s="28"/>
      <c r="B12" s="28"/>
      <c r="C12" s="28"/>
      <c r="D12" s="698" t="s">
        <v>455</v>
      </c>
      <c r="H12" s="28"/>
      <c r="I12" s="28"/>
      <c r="J12" s="28"/>
      <c r="K12" s="20"/>
      <c r="L12" s="28"/>
      <c r="M12" s="671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0"/>
      <c r="L13" s="28"/>
      <c r="M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0"/>
      <c r="L14" s="28"/>
      <c r="M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0"/>
      <c r="L15" s="28"/>
      <c r="M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0"/>
      <c r="L16" s="28"/>
      <c r="M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0"/>
      <c r="L17" s="28"/>
      <c r="M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0"/>
      <c r="L18" s="28"/>
      <c r="M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0"/>
      <c r="L19" s="28"/>
      <c r="M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0"/>
      <c r="L20" s="28"/>
      <c r="M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0"/>
      <c r="L21" s="28"/>
      <c r="M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0"/>
      <c r="L22" s="28"/>
      <c r="M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0"/>
      <c r="L23" s="28"/>
      <c r="M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0"/>
      <c r="L24" s="28"/>
      <c r="M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0"/>
      <c r="L25" s="28"/>
      <c r="M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0"/>
      <c r="L26" s="28"/>
      <c r="M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0"/>
      <c r="L27" s="28"/>
      <c r="M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0"/>
      <c r="L28" s="28"/>
      <c r="M28" s="28"/>
    </row>
    <row r="29" ht="22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0"/>
      <c r="L29" s="28"/>
      <c r="M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0"/>
      <c r="L30" s="28"/>
      <c r="M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0"/>
      <c r="L31" s="28"/>
      <c r="M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8"/>
      <c r="M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0"/>
      <c r="L33" s="28"/>
      <c r="M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0"/>
      <c r="L34" s="28"/>
      <c r="M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8"/>
      <c r="M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0"/>
      <c r="L36" s="28"/>
      <c r="M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0"/>
      <c r="L37" s="28"/>
      <c r="M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0"/>
      <c r="L38" s="28"/>
      <c r="M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0"/>
      <c r="L39" s="28"/>
      <c r="M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0"/>
      <c r="L40" s="28"/>
      <c r="M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0"/>
      <c r="L41" s="28"/>
      <c r="M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0"/>
      <c r="L42" s="28"/>
      <c r="M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0"/>
      <c r="L43" s="28"/>
      <c r="M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0"/>
      <c r="L44" s="28"/>
      <c r="M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0"/>
      <c r="L45" s="28"/>
      <c r="M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0"/>
      <c r="L46" s="28"/>
      <c r="M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0"/>
      <c r="L47" s="28"/>
      <c r="M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0"/>
      <c r="L48" s="28"/>
      <c r="M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0"/>
      <c r="L49" s="28"/>
      <c r="M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0"/>
      <c r="L50" s="28"/>
      <c r="M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0"/>
      <c r="L51" s="28"/>
      <c r="M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0"/>
      <c r="L52" s="28"/>
      <c r="M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0"/>
      <c r="L53" s="28"/>
      <c r="M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0"/>
      <c r="L54" s="28"/>
      <c r="M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0"/>
      <c r="L55" s="28"/>
      <c r="M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0"/>
      <c r="L56" s="28"/>
      <c r="M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0"/>
      <c r="L57" s="28"/>
      <c r="M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0"/>
      <c r="L58" s="28"/>
      <c r="M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0"/>
      <c r="L59" s="28"/>
      <c r="M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0"/>
      <c r="L60" s="28"/>
      <c r="M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0"/>
      <c r="L61" s="28"/>
      <c r="M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0"/>
      <c r="L62" s="28"/>
      <c r="M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0"/>
      <c r="L63" s="28"/>
      <c r="M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0"/>
      <c r="L64" s="28"/>
      <c r="M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0"/>
      <c r="L65" s="28"/>
      <c r="M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0"/>
      <c r="L66" s="28"/>
      <c r="M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0"/>
      <c r="L67" s="28"/>
      <c r="M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0"/>
      <c r="L68" s="28"/>
      <c r="M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0"/>
      <c r="L69" s="28"/>
      <c r="M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0"/>
      <c r="L70" s="28"/>
      <c r="M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0"/>
      <c r="L71" s="28"/>
      <c r="M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0"/>
      <c r="L72" s="28"/>
      <c r="M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0"/>
      <c r="L73" s="28"/>
      <c r="M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0"/>
      <c r="L74" s="28"/>
      <c r="M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0"/>
      <c r="L75" s="28"/>
      <c r="M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0"/>
      <c r="L76" s="28"/>
      <c r="M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0"/>
      <c r="L77" s="28"/>
      <c r="M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0"/>
      <c r="L78" s="28"/>
      <c r="M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0"/>
      <c r="L79" s="28"/>
      <c r="M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0"/>
      <c r="L80" s="28"/>
      <c r="M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0"/>
      <c r="L81" s="28"/>
      <c r="M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0"/>
      <c r="L82" s="28"/>
      <c r="M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0"/>
      <c r="L83" s="28"/>
      <c r="M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0"/>
      <c r="L84" s="28"/>
      <c r="M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0"/>
      <c r="L85" s="28"/>
      <c r="M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0"/>
      <c r="L86" s="28"/>
      <c r="M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0"/>
      <c r="L87" s="28"/>
      <c r="M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0"/>
      <c r="L88" s="28"/>
      <c r="M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0"/>
      <c r="L89" s="28"/>
      <c r="M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0"/>
      <c r="L90" s="28"/>
      <c r="M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0"/>
      <c r="L91" s="28"/>
      <c r="M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0"/>
      <c r="L92" s="28"/>
      <c r="M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0"/>
      <c r="L93" s="28"/>
      <c r="M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0"/>
      <c r="L94" s="28"/>
      <c r="M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0"/>
      <c r="L95" s="28"/>
      <c r="M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0"/>
      <c r="L96" s="28"/>
      <c r="M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0"/>
      <c r="L97" s="28"/>
      <c r="M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0"/>
      <c r="L98" s="28"/>
      <c r="M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0"/>
      <c r="L99" s="28"/>
      <c r="M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0"/>
      <c r="L100" s="28"/>
      <c r="M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0"/>
      <c r="L101" s="28"/>
      <c r="M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0"/>
      <c r="L102" s="28"/>
      <c r="M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0"/>
      <c r="L103" s="28"/>
      <c r="M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0"/>
      <c r="L104" s="28"/>
      <c r="M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0"/>
      <c r="L105" s="28"/>
      <c r="M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0"/>
      <c r="L106" s="28"/>
      <c r="M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0"/>
      <c r="L107" s="28"/>
      <c r="M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0"/>
      <c r="L108" s="28"/>
      <c r="M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0"/>
      <c r="L109" s="28"/>
      <c r="M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0"/>
      <c r="L110" s="28"/>
      <c r="M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0"/>
      <c r="L111" s="28"/>
      <c r="M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0"/>
      <c r="L112" s="28"/>
      <c r="M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0"/>
      <c r="L113" s="28"/>
      <c r="M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0"/>
      <c r="L114" s="28"/>
      <c r="M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0"/>
      <c r="L115" s="28"/>
      <c r="M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0"/>
      <c r="L116" s="28"/>
      <c r="M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0"/>
      <c r="L117" s="28"/>
      <c r="M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0"/>
      <c r="L118" s="28"/>
      <c r="M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0"/>
      <c r="L119" s="28"/>
      <c r="M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0"/>
      <c r="L120" s="28"/>
      <c r="M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0"/>
      <c r="L121" s="28"/>
      <c r="M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0"/>
      <c r="L122" s="28"/>
      <c r="M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0"/>
      <c r="L123" s="28"/>
      <c r="M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0"/>
      <c r="L124" s="28"/>
      <c r="M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0"/>
      <c r="L125" s="28"/>
      <c r="M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0"/>
      <c r="L126" s="28"/>
      <c r="M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0"/>
      <c r="L127" s="28"/>
      <c r="M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0"/>
      <c r="L128" s="28"/>
      <c r="M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0"/>
      <c r="L129" s="28"/>
      <c r="M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0"/>
      <c r="L130" s="28"/>
      <c r="M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0"/>
      <c r="L131" s="28"/>
      <c r="M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0"/>
      <c r="L132" s="28"/>
      <c r="M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0"/>
      <c r="L133" s="28"/>
      <c r="M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0"/>
      <c r="L134" s="28"/>
      <c r="M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0"/>
      <c r="L135" s="28"/>
      <c r="M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0"/>
      <c r="L136" s="28"/>
      <c r="M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0"/>
      <c r="L137" s="28"/>
      <c r="M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0"/>
      <c r="L138" s="28"/>
      <c r="M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0"/>
      <c r="L139" s="28"/>
      <c r="M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0"/>
      <c r="L140" s="28"/>
      <c r="M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0"/>
      <c r="L141" s="28"/>
      <c r="M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0"/>
      <c r="L142" s="28"/>
      <c r="M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0"/>
      <c r="L143" s="28"/>
      <c r="M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0"/>
      <c r="L144" s="28"/>
      <c r="M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0"/>
      <c r="L145" s="28"/>
      <c r="M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0"/>
      <c r="L146" s="28"/>
      <c r="M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0"/>
      <c r="L147" s="28"/>
      <c r="M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0"/>
      <c r="L148" s="28"/>
      <c r="M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0"/>
      <c r="L149" s="28"/>
      <c r="M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0"/>
      <c r="L150" s="28"/>
      <c r="M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0"/>
      <c r="L151" s="28"/>
      <c r="M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0"/>
      <c r="L152" s="28"/>
      <c r="M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0"/>
      <c r="L153" s="28"/>
      <c r="M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0"/>
      <c r="L154" s="28"/>
      <c r="M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0"/>
      <c r="L155" s="28"/>
      <c r="M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0"/>
      <c r="L156" s="28"/>
      <c r="M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0"/>
      <c r="L157" s="28"/>
      <c r="M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0"/>
      <c r="L158" s="28"/>
      <c r="M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0"/>
      <c r="L159" s="28"/>
      <c r="M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0"/>
      <c r="L160" s="28"/>
      <c r="M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0"/>
      <c r="L161" s="28"/>
      <c r="M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0"/>
      <c r="L162" s="28"/>
      <c r="M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0"/>
      <c r="L163" s="28"/>
      <c r="M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0"/>
      <c r="L164" s="28"/>
      <c r="M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0"/>
      <c r="L165" s="28"/>
      <c r="M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0"/>
      <c r="L166" s="28"/>
      <c r="M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0"/>
      <c r="L167" s="28"/>
      <c r="M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0"/>
      <c r="L168" s="28"/>
      <c r="M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0"/>
      <c r="L169" s="28"/>
      <c r="M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0"/>
      <c r="L170" s="28"/>
      <c r="M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0"/>
      <c r="L171" s="28"/>
      <c r="M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0"/>
      <c r="L172" s="28"/>
      <c r="M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0"/>
      <c r="L173" s="28"/>
      <c r="M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0"/>
      <c r="L174" s="28"/>
      <c r="M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0"/>
      <c r="L175" s="28"/>
      <c r="M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0"/>
      <c r="L176" s="28"/>
      <c r="M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0"/>
      <c r="L177" s="28"/>
      <c r="M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0"/>
      <c r="L178" s="28"/>
      <c r="M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0"/>
      <c r="L179" s="28"/>
      <c r="M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0"/>
      <c r="L180" s="28"/>
      <c r="M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0"/>
      <c r="L181" s="28"/>
      <c r="M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0"/>
      <c r="L182" s="28"/>
      <c r="M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0"/>
      <c r="L183" s="28"/>
      <c r="M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0"/>
      <c r="L184" s="28"/>
      <c r="M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0"/>
      <c r="L185" s="28"/>
      <c r="M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0"/>
      <c r="L186" s="28"/>
      <c r="M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0"/>
      <c r="L187" s="28"/>
      <c r="M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0"/>
      <c r="L188" s="28"/>
      <c r="M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0"/>
      <c r="L189" s="28"/>
      <c r="M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0"/>
      <c r="L190" s="28"/>
      <c r="M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0"/>
      <c r="L191" s="28"/>
      <c r="M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0"/>
      <c r="L192" s="28"/>
      <c r="M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0"/>
      <c r="L193" s="28"/>
      <c r="M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0"/>
      <c r="L194" s="28"/>
      <c r="M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0"/>
      <c r="L195" s="28"/>
      <c r="M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0"/>
      <c r="L196" s="28"/>
      <c r="M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0"/>
      <c r="L197" s="28"/>
      <c r="M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0"/>
      <c r="L198" s="28"/>
      <c r="M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0"/>
      <c r="L199" s="28"/>
      <c r="M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0"/>
      <c r="L200" s="28"/>
      <c r="M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0"/>
      <c r="L201" s="28"/>
      <c r="M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0"/>
      <c r="L202" s="28"/>
      <c r="M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0"/>
      <c r="L203" s="28"/>
      <c r="M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0"/>
      <c r="L204" s="28"/>
      <c r="M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0"/>
      <c r="L205" s="28"/>
      <c r="M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0"/>
      <c r="L206" s="28"/>
      <c r="M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0"/>
      <c r="L207" s="28"/>
      <c r="M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0"/>
      <c r="L208" s="28"/>
      <c r="M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0"/>
      <c r="L209" s="28"/>
      <c r="M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0"/>
      <c r="L210" s="28"/>
      <c r="M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0"/>
      <c r="L211" s="28"/>
      <c r="M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0"/>
      <c r="L212" s="28"/>
      <c r="M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0"/>
      <c r="L213" s="28"/>
      <c r="M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0"/>
      <c r="L214" s="28"/>
      <c r="M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0"/>
      <c r="L215" s="28"/>
      <c r="M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0"/>
      <c r="L216" s="28"/>
      <c r="M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0"/>
      <c r="L217" s="28"/>
      <c r="M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0"/>
      <c r="L218" s="28"/>
      <c r="M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0"/>
      <c r="L219" s="28"/>
      <c r="M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0"/>
      <c r="L220" s="28"/>
      <c r="M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0"/>
      <c r="L221" s="28"/>
      <c r="M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0"/>
      <c r="L222" s="28"/>
      <c r="M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0"/>
      <c r="L223" s="28"/>
      <c r="M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0"/>
      <c r="L224" s="28"/>
      <c r="M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0"/>
      <c r="L225" s="28"/>
      <c r="M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0"/>
      <c r="L226" s="28"/>
      <c r="M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0"/>
      <c r="L227" s="28"/>
      <c r="M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0"/>
      <c r="L228" s="28"/>
      <c r="M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0"/>
      <c r="L229" s="28"/>
      <c r="M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0"/>
      <c r="L230" s="28"/>
      <c r="M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0"/>
      <c r="L231" s="28"/>
      <c r="M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0"/>
      <c r="L232" s="28"/>
      <c r="M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0"/>
      <c r="L233" s="28"/>
      <c r="M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0"/>
      <c r="L234" s="28"/>
      <c r="M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0"/>
      <c r="L235" s="28"/>
      <c r="M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0"/>
      <c r="L236" s="28"/>
      <c r="M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0"/>
      <c r="L237" s="28"/>
      <c r="M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0"/>
      <c r="L238" s="28"/>
      <c r="M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0"/>
      <c r="L239" s="28"/>
      <c r="M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0"/>
      <c r="L240" s="28"/>
      <c r="M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0"/>
      <c r="L241" s="28"/>
      <c r="M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0"/>
      <c r="L242" s="28"/>
      <c r="M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0"/>
      <c r="L243" s="28"/>
      <c r="M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0"/>
      <c r="L244" s="28"/>
      <c r="M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0"/>
      <c r="L245" s="28"/>
      <c r="M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0"/>
      <c r="L246" s="28"/>
      <c r="M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0"/>
      <c r="L247" s="28"/>
      <c r="M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0"/>
      <c r="L248" s="28"/>
      <c r="M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0"/>
      <c r="L249" s="28"/>
      <c r="M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0"/>
      <c r="L250" s="28"/>
      <c r="M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0"/>
      <c r="L251" s="28"/>
      <c r="M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0"/>
      <c r="L252" s="28"/>
      <c r="M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0"/>
      <c r="L253" s="28"/>
      <c r="M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0"/>
      <c r="L254" s="28"/>
      <c r="M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0"/>
      <c r="L255" s="28"/>
      <c r="M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0"/>
      <c r="L256" s="28"/>
      <c r="M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0"/>
      <c r="L257" s="28"/>
      <c r="M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0"/>
      <c r="L258" s="28"/>
      <c r="M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0"/>
      <c r="L259" s="28"/>
      <c r="M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0"/>
      <c r="L260" s="28"/>
      <c r="M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0"/>
      <c r="L261" s="28"/>
      <c r="M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0"/>
      <c r="L262" s="28"/>
      <c r="M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0"/>
      <c r="L263" s="28"/>
      <c r="M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0"/>
      <c r="L264" s="28"/>
      <c r="M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0"/>
      <c r="L265" s="28"/>
      <c r="M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0"/>
      <c r="L266" s="28"/>
      <c r="M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0"/>
      <c r="L267" s="28"/>
      <c r="M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0"/>
      <c r="L268" s="28"/>
      <c r="M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0"/>
      <c r="L269" s="28"/>
      <c r="M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0"/>
      <c r="L270" s="28"/>
      <c r="M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0"/>
      <c r="L271" s="28"/>
      <c r="M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0"/>
      <c r="L272" s="28"/>
      <c r="M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0"/>
      <c r="L273" s="28"/>
      <c r="M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0"/>
      <c r="L274" s="28"/>
      <c r="M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0"/>
      <c r="L275" s="28"/>
      <c r="M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0"/>
      <c r="L276" s="28"/>
      <c r="M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0"/>
      <c r="L277" s="28"/>
      <c r="M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0"/>
      <c r="L278" s="28"/>
      <c r="M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0"/>
      <c r="L279" s="28"/>
      <c r="M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0"/>
      <c r="L280" s="28"/>
      <c r="M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0"/>
      <c r="L281" s="28"/>
      <c r="M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0"/>
      <c r="L282" s="28"/>
      <c r="M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0"/>
      <c r="L283" s="28"/>
      <c r="M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0"/>
      <c r="L284" s="28"/>
      <c r="M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0"/>
      <c r="L285" s="28"/>
      <c r="M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0"/>
      <c r="L286" s="28"/>
      <c r="M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0"/>
      <c r="L287" s="28"/>
      <c r="M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0"/>
      <c r="L288" s="28"/>
      <c r="M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0"/>
      <c r="L289" s="28"/>
      <c r="M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0"/>
      <c r="L290" s="28"/>
      <c r="M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0"/>
      <c r="L291" s="28"/>
      <c r="M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0"/>
      <c r="L292" s="28"/>
      <c r="M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0"/>
      <c r="L293" s="28"/>
      <c r="M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0"/>
      <c r="L294" s="28"/>
      <c r="M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0"/>
      <c r="L295" s="28"/>
      <c r="M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0"/>
      <c r="L296" s="28"/>
      <c r="M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0"/>
      <c r="L297" s="28"/>
      <c r="M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0"/>
      <c r="L298" s="28"/>
      <c r="M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0"/>
      <c r="L299" s="28"/>
      <c r="M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0"/>
      <c r="L300" s="28"/>
      <c r="M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0"/>
      <c r="L301" s="28"/>
      <c r="M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0"/>
      <c r="L302" s="28"/>
      <c r="M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0"/>
      <c r="L303" s="28"/>
      <c r="M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0"/>
      <c r="L304" s="28"/>
      <c r="M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0"/>
      <c r="L305" s="28"/>
      <c r="M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0"/>
      <c r="L306" s="28"/>
      <c r="M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0"/>
      <c r="L307" s="28"/>
      <c r="M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0"/>
      <c r="L308" s="28"/>
      <c r="M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0"/>
      <c r="L309" s="28"/>
      <c r="M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0"/>
      <c r="L310" s="28"/>
      <c r="M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0"/>
      <c r="L311" s="28"/>
      <c r="M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0"/>
      <c r="L312" s="28"/>
      <c r="M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0"/>
      <c r="L313" s="28"/>
      <c r="M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0"/>
      <c r="L314" s="28"/>
      <c r="M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0"/>
      <c r="L315" s="28"/>
      <c r="M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0"/>
      <c r="L316" s="28"/>
      <c r="M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0"/>
      <c r="L317" s="28"/>
      <c r="M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0"/>
      <c r="L318" s="28"/>
      <c r="M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0"/>
      <c r="L319" s="28"/>
      <c r="M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0"/>
      <c r="L320" s="28"/>
      <c r="M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0"/>
      <c r="L321" s="28"/>
      <c r="M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0"/>
      <c r="L322" s="28"/>
      <c r="M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0"/>
      <c r="L323" s="28"/>
      <c r="M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0"/>
      <c r="L324" s="28"/>
      <c r="M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0"/>
      <c r="L325" s="28"/>
      <c r="M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0"/>
      <c r="L326" s="28"/>
      <c r="M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0"/>
      <c r="L327" s="28"/>
      <c r="M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0"/>
      <c r="L328" s="28"/>
      <c r="M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0"/>
      <c r="L329" s="28"/>
      <c r="M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0"/>
      <c r="L330" s="28"/>
      <c r="M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0"/>
      <c r="L331" s="28"/>
      <c r="M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0"/>
      <c r="L332" s="28"/>
      <c r="M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0"/>
      <c r="L333" s="28"/>
      <c r="M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0"/>
      <c r="L334" s="28"/>
      <c r="M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0"/>
      <c r="L335" s="28"/>
      <c r="M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0"/>
      <c r="L336" s="28"/>
      <c r="M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0"/>
      <c r="L337" s="28"/>
      <c r="M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0"/>
      <c r="L338" s="28"/>
      <c r="M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0"/>
      <c r="L339" s="28"/>
      <c r="M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0"/>
      <c r="L340" s="28"/>
      <c r="M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0"/>
      <c r="L341" s="28"/>
      <c r="M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0"/>
      <c r="L342" s="28"/>
      <c r="M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0"/>
      <c r="L343" s="28"/>
      <c r="M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0"/>
      <c r="L344" s="28"/>
      <c r="M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0"/>
      <c r="L345" s="28"/>
      <c r="M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0"/>
      <c r="L346" s="28"/>
      <c r="M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0"/>
      <c r="L347" s="28"/>
      <c r="M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0"/>
      <c r="L348" s="28"/>
      <c r="M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0"/>
      <c r="L349" s="28"/>
      <c r="M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0"/>
      <c r="L350" s="28"/>
      <c r="M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0"/>
      <c r="L351" s="28"/>
      <c r="M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0"/>
      <c r="L352" s="28"/>
      <c r="M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0"/>
      <c r="L353" s="28"/>
      <c r="M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0"/>
      <c r="L354" s="28"/>
      <c r="M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0"/>
      <c r="L355" s="28"/>
      <c r="M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0"/>
      <c r="L356" s="28"/>
      <c r="M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0"/>
      <c r="L357" s="28"/>
      <c r="M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0"/>
      <c r="L358" s="28"/>
      <c r="M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0"/>
      <c r="L359" s="28"/>
      <c r="M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0"/>
      <c r="L360" s="28"/>
      <c r="M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0"/>
      <c r="L361" s="28"/>
      <c r="M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0"/>
      <c r="L362" s="28"/>
      <c r="M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0"/>
      <c r="L363" s="28"/>
      <c r="M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0"/>
      <c r="L364" s="28"/>
      <c r="M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0"/>
      <c r="L365" s="28"/>
      <c r="M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0"/>
      <c r="L366" s="28"/>
      <c r="M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0"/>
      <c r="L367" s="28"/>
      <c r="M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0"/>
      <c r="L368" s="28"/>
      <c r="M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0"/>
      <c r="L369" s="28"/>
      <c r="M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0"/>
      <c r="L370" s="28"/>
      <c r="M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0"/>
      <c r="L371" s="28"/>
      <c r="M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0"/>
      <c r="L372" s="28"/>
      <c r="M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0"/>
      <c r="L373" s="28"/>
      <c r="M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0"/>
      <c r="L374" s="28"/>
      <c r="M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0"/>
      <c r="L375" s="28"/>
      <c r="M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0"/>
      <c r="L376" s="28"/>
      <c r="M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0"/>
      <c r="L377" s="28"/>
      <c r="M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0"/>
      <c r="L378" s="28"/>
      <c r="M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0"/>
      <c r="L379" s="28"/>
      <c r="M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0"/>
      <c r="L380" s="28"/>
      <c r="M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0"/>
      <c r="L381" s="28"/>
      <c r="M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0"/>
      <c r="L382" s="28"/>
      <c r="M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0"/>
      <c r="L383" s="28"/>
      <c r="M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0"/>
      <c r="L384" s="28"/>
      <c r="M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0"/>
      <c r="L385" s="28"/>
      <c r="M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0"/>
      <c r="L386" s="28"/>
      <c r="M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0"/>
      <c r="L387" s="28"/>
      <c r="M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0"/>
      <c r="L388" s="28"/>
      <c r="M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0"/>
      <c r="L389" s="28"/>
      <c r="M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0"/>
      <c r="L390" s="28"/>
      <c r="M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0"/>
      <c r="L391" s="28"/>
      <c r="M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0"/>
      <c r="L392" s="28"/>
      <c r="M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0"/>
      <c r="L393" s="28"/>
      <c r="M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0"/>
      <c r="L394" s="28"/>
      <c r="M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0"/>
      <c r="L395" s="28"/>
      <c r="M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0"/>
      <c r="L396" s="28"/>
      <c r="M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0"/>
      <c r="L397" s="28"/>
      <c r="M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0"/>
      <c r="L398" s="28"/>
      <c r="M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0"/>
      <c r="L399" s="28"/>
      <c r="M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0"/>
      <c r="L400" s="28"/>
      <c r="M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0"/>
      <c r="L401" s="28"/>
      <c r="M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0"/>
      <c r="L402" s="28"/>
      <c r="M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0"/>
      <c r="L403" s="28"/>
      <c r="M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0"/>
      <c r="L404" s="28"/>
      <c r="M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0"/>
      <c r="L405" s="28"/>
      <c r="M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0"/>
      <c r="L406" s="28"/>
      <c r="M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0"/>
      <c r="L407" s="28"/>
      <c r="M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0"/>
      <c r="L408" s="28"/>
      <c r="M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0"/>
      <c r="L409" s="28"/>
      <c r="M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0"/>
      <c r="L410" s="28"/>
      <c r="M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0"/>
      <c r="L411" s="28"/>
      <c r="M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0"/>
      <c r="L412" s="28"/>
      <c r="M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0"/>
      <c r="L413" s="28"/>
      <c r="M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0"/>
      <c r="L414" s="28"/>
      <c r="M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0"/>
      <c r="L415" s="28"/>
      <c r="M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0"/>
      <c r="L416" s="28"/>
      <c r="M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0"/>
      <c r="L417" s="28"/>
      <c r="M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0"/>
      <c r="L418" s="28"/>
      <c r="M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0"/>
      <c r="L419" s="28"/>
      <c r="M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0"/>
      <c r="L420" s="28"/>
      <c r="M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0"/>
      <c r="L421" s="28"/>
      <c r="M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0"/>
      <c r="L422" s="28"/>
      <c r="M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0"/>
      <c r="L423" s="28"/>
      <c r="M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0"/>
      <c r="L424" s="28"/>
      <c r="M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0"/>
      <c r="L425" s="28"/>
      <c r="M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0"/>
      <c r="L426" s="28"/>
      <c r="M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0"/>
      <c r="L427" s="28"/>
      <c r="M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0"/>
      <c r="L428" s="28"/>
      <c r="M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0"/>
      <c r="L429" s="28"/>
      <c r="M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0"/>
      <c r="L430" s="28"/>
      <c r="M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0"/>
      <c r="L431" s="28"/>
      <c r="M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0"/>
      <c r="L432" s="28"/>
      <c r="M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0"/>
      <c r="L433" s="28"/>
      <c r="M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0"/>
      <c r="L434" s="28"/>
      <c r="M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0"/>
      <c r="L435" s="28"/>
      <c r="M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0"/>
      <c r="L436" s="28"/>
      <c r="M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0"/>
      <c r="L437" s="28"/>
      <c r="M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0"/>
      <c r="L438" s="28"/>
      <c r="M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0"/>
      <c r="L439" s="28"/>
      <c r="M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0"/>
      <c r="L440" s="28"/>
      <c r="M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0"/>
      <c r="L441" s="28"/>
      <c r="M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0"/>
      <c r="L442" s="28"/>
      <c r="M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0"/>
      <c r="L443" s="28"/>
      <c r="M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0"/>
      <c r="L444" s="28"/>
      <c r="M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0"/>
      <c r="L445" s="28"/>
      <c r="M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0"/>
      <c r="L446" s="28"/>
      <c r="M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0"/>
      <c r="L447" s="28"/>
      <c r="M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0"/>
      <c r="L448" s="28"/>
      <c r="M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0"/>
      <c r="L449" s="28"/>
      <c r="M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0"/>
      <c r="L450" s="28"/>
      <c r="M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0"/>
      <c r="L451" s="28"/>
      <c r="M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0"/>
      <c r="L452" s="28"/>
      <c r="M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0"/>
      <c r="L453" s="28"/>
      <c r="M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0"/>
      <c r="L454" s="28"/>
      <c r="M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0"/>
      <c r="L455" s="28"/>
      <c r="M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0"/>
      <c r="L456" s="28"/>
      <c r="M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0"/>
      <c r="L457" s="28"/>
      <c r="M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0"/>
      <c r="L458" s="28"/>
      <c r="M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0"/>
      <c r="L459" s="28"/>
      <c r="M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0"/>
      <c r="L460" s="28"/>
      <c r="M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0"/>
      <c r="L461" s="28"/>
      <c r="M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0"/>
      <c r="L462" s="28"/>
      <c r="M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0"/>
      <c r="L463" s="28"/>
      <c r="M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0"/>
      <c r="L464" s="28"/>
      <c r="M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0"/>
      <c r="L465" s="28"/>
      <c r="M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0"/>
      <c r="L466" s="28"/>
      <c r="M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0"/>
      <c r="L467" s="28"/>
      <c r="M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0"/>
      <c r="L468" s="28"/>
      <c r="M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0"/>
      <c r="L469" s="28"/>
      <c r="M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0"/>
      <c r="L470" s="28"/>
      <c r="M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0"/>
      <c r="L471" s="28"/>
      <c r="M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0"/>
      <c r="L472" s="28"/>
      <c r="M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0"/>
      <c r="L473" s="28"/>
      <c r="M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0"/>
      <c r="L474" s="28"/>
      <c r="M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0"/>
      <c r="L475" s="28"/>
      <c r="M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0"/>
      <c r="L476" s="28"/>
      <c r="M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0"/>
      <c r="L477" s="28"/>
      <c r="M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0"/>
      <c r="L478" s="28"/>
      <c r="M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0"/>
      <c r="L479" s="28"/>
      <c r="M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0"/>
      <c r="L480" s="28"/>
      <c r="M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0"/>
      <c r="L481" s="28"/>
      <c r="M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0"/>
      <c r="L482" s="28"/>
      <c r="M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0"/>
      <c r="L483" s="28"/>
      <c r="M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0"/>
      <c r="L484" s="28"/>
      <c r="M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0"/>
      <c r="L485" s="28"/>
      <c r="M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0"/>
      <c r="L486" s="28"/>
      <c r="M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0"/>
      <c r="L487" s="28"/>
      <c r="M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0"/>
      <c r="L488" s="28"/>
      <c r="M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0"/>
      <c r="L489" s="28"/>
      <c r="M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0"/>
      <c r="L490" s="28"/>
      <c r="M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0"/>
      <c r="L491" s="28"/>
      <c r="M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0"/>
      <c r="L492" s="28"/>
      <c r="M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0"/>
      <c r="L493" s="28"/>
      <c r="M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0"/>
      <c r="L494" s="28"/>
      <c r="M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0"/>
      <c r="L495" s="28"/>
      <c r="M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0"/>
      <c r="L496" s="28"/>
      <c r="M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0"/>
      <c r="L497" s="28"/>
      <c r="M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0"/>
      <c r="L498" s="28"/>
      <c r="M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0"/>
      <c r="L499" s="28"/>
      <c r="M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0"/>
      <c r="L500" s="28"/>
      <c r="M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0"/>
      <c r="L501" s="28"/>
      <c r="M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0"/>
      <c r="L502" s="28"/>
      <c r="M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0"/>
      <c r="L503" s="28"/>
      <c r="M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0"/>
      <c r="L504" s="28"/>
      <c r="M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0"/>
      <c r="L505" s="28"/>
      <c r="M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0"/>
      <c r="L506" s="28"/>
      <c r="M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0"/>
      <c r="L507" s="28"/>
      <c r="M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0"/>
      <c r="L508" s="28"/>
      <c r="M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0"/>
      <c r="L509" s="28"/>
      <c r="M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0"/>
      <c r="L510" s="28"/>
      <c r="M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0"/>
      <c r="L511" s="28"/>
      <c r="M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0"/>
      <c r="L512" s="28"/>
      <c r="M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0"/>
      <c r="L513" s="28"/>
      <c r="M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0"/>
      <c r="L514" s="28"/>
      <c r="M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0"/>
      <c r="L515" s="28"/>
      <c r="M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0"/>
      <c r="L516" s="28"/>
      <c r="M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0"/>
      <c r="L517" s="28"/>
      <c r="M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0"/>
      <c r="L518" s="28"/>
      <c r="M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0"/>
      <c r="L519" s="28"/>
      <c r="M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0"/>
      <c r="L520" s="28"/>
      <c r="M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0"/>
      <c r="L521" s="28"/>
      <c r="M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0"/>
      <c r="L522" s="28"/>
      <c r="M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0"/>
      <c r="L523" s="28"/>
      <c r="M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0"/>
      <c r="L524" s="28"/>
      <c r="M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0"/>
      <c r="L525" s="28"/>
      <c r="M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0"/>
      <c r="L526" s="28"/>
      <c r="M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0"/>
      <c r="L527" s="28"/>
      <c r="M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0"/>
      <c r="L528" s="28"/>
      <c r="M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0"/>
      <c r="L529" s="28"/>
      <c r="M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0"/>
      <c r="L530" s="28"/>
      <c r="M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0"/>
      <c r="L531" s="28"/>
      <c r="M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0"/>
      <c r="L532" s="28"/>
      <c r="M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0"/>
      <c r="L533" s="28"/>
      <c r="M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0"/>
      <c r="L534" s="28"/>
      <c r="M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0"/>
      <c r="L535" s="28"/>
      <c r="M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0"/>
      <c r="L536" s="28"/>
      <c r="M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0"/>
      <c r="L537" s="28"/>
      <c r="M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0"/>
      <c r="L538" s="28"/>
      <c r="M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0"/>
      <c r="L539" s="28"/>
      <c r="M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0"/>
      <c r="L540" s="28"/>
      <c r="M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0"/>
      <c r="L541" s="28"/>
      <c r="M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0"/>
      <c r="L542" s="28"/>
      <c r="M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0"/>
      <c r="L543" s="28"/>
      <c r="M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0"/>
      <c r="L544" s="28"/>
      <c r="M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0"/>
      <c r="L545" s="28"/>
      <c r="M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0"/>
      <c r="L546" s="28"/>
      <c r="M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0"/>
      <c r="L547" s="28"/>
      <c r="M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0"/>
      <c r="L548" s="28"/>
      <c r="M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0"/>
      <c r="L549" s="28"/>
      <c r="M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0"/>
      <c r="L550" s="28"/>
      <c r="M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0"/>
      <c r="L551" s="28"/>
      <c r="M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0"/>
      <c r="L552" s="28"/>
      <c r="M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0"/>
      <c r="L553" s="28"/>
      <c r="M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0"/>
      <c r="L554" s="28"/>
      <c r="M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0"/>
      <c r="L555" s="28"/>
      <c r="M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0"/>
      <c r="L556" s="28"/>
      <c r="M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0"/>
      <c r="L557" s="28"/>
      <c r="M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0"/>
      <c r="L558" s="28"/>
      <c r="M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0"/>
      <c r="L559" s="28"/>
      <c r="M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0"/>
      <c r="L560" s="28"/>
      <c r="M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0"/>
      <c r="L561" s="28"/>
      <c r="M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0"/>
      <c r="L562" s="28"/>
      <c r="M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0"/>
      <c r="L563" s="28"/>
      <c r="M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0"/>
      <c r="L564" s="28"/>
      <c r="M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0"/>
      <c r="L565" s="28"/>
      <c r="M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0"/>
      <c r="L566" s="28"/>
      <c r="M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0"/>
      <c r="L567" s="28"/>
      <c r="M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0"/>
      <c r="L568" s="28"/>
      <c r="M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0"/>
      <c r="L569" s="28"/>
      <c r="M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0"/>
      <c r="L570" s="28"/>
      <c r="M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0"/>
      <c r="L571" s="28"/>
      <c r="M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0"/>
      <c r="L572" s="28"/>
      <c r="M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0"/>
      <c r="L573" s="28"/>
      <c r="M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0"/>
      <c r="L574" s="28"/>
      <c r="M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0"/>
      <c r="L575" s="28"/>
      <c r="M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0"/>
      <c r="L576" s="28"/>
      <c r="M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0"/>
      <c r="L577" s="28"/>
      <c r="M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0"/>
      <c r="L578" s="28"/>
      <c r="M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0"/>
      <c r="L579" s="28"/>
      <c r="M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0"/>
      <c r="L580" s="28"/>
      <c r="M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0"/>
      <c r="L581" s="28"/>
      <c r="M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0"/>
      <c r="L582" s="28"/>
      <c r="M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0"/>
      <c r="L583" s="28"/>
      <c r="M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0"/>
      <c r="L584" s="28"/>
      <c r="M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0"/>
      <c r="L585" s="28"/>
      <c r="M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0"/>
      <c r="L586" s="28"/>
      <c r="M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0"/>
      <c r="L587" s="28"/>
      <c r="M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0"/>
      <c r="L588" s="28"/>
      <c r="M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0"/>
      <c r="L589" s="28"/>
      <c r="M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0"/>
      <c r="L590" s="28"/>
      <c r="M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0"/>
      <c r="L591" s="28"/>
      <c r="M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0"/>
      <c r="L592" s="28"/>
      <c r="M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0"/>
      <c r="L593" s="28"/>
      <c r="M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0"/>
      <c r="L594" s="28"/>
      <c r="M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0"/>
      <c r="L595" s="28"/>
      <c r="M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0"/>
      <c r="L596" s="28"/>
      <c r="M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0"/>
      <c r="L597" s="28"/>
      <c r="M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0"/>
      <c r="L598" s="28"/>
      <c r="M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0"/>
      <c r="L599" s="28"/>
      <c r="M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0"/>
      <c r="L600" s="28"/>
      <c r="M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0"/>
      <c r="L601" s="28"/>
      <c r="M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0"/>
      <c r="L602" s="28"/>
      <c r="M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0"/>
      <c r="L603" s="28"/>
      <c r="M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0"/>
      <c r="L604" s="28"/>
      <c r="M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0"/>
      <c r="L605" s="28"/>
      <c r="M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0"/>
      <c r="L606" s="28"/>
      <c r="M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0"/>
      <c r="L607" s="28"/>
      <c r="M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0"/>
      <c r="L608" s="28"/>
      <c r="M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0"/>
      <c r="L609" s="28"/>
      <c r="M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0"/>
      <c r="L610" s="28"/>
      <c r="M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0"/>
      <c r="L611" s="28"/>
      <c r="M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0"/>
      <c r="L612" s="28"/>
      <c r="M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0"/>
      <c r="L613" s="28"/>
      <c r="M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0"/>
      <c r="L614" s="28"/>
      <c r="M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0"/>
      <c r="L615" s="28"/>
      <c r="M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0"/>
      <c r="L616" s="28"/>
      <c r="M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0"/>
      <c r="L617" s="28"/>
      <c r="M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0"/>
      <c r="L618" s="28"/>
      <c r="M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0"/>
      <c r="L619" s="28"/>
      <c r="M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0"/>
      <c r="L620" s="28"/>
      <c r="M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0"/>
      <c r="L621" s="28"/>
      <c r="M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0"/>
      <c r="L622" s="28"/>
      <c r="M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0"/>
      <c r="L623" s="28"/>
      <c r="M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0"/>
      <c r="L624" s="28"/>
      <c r="M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0"/>
      <c r="L625" s="28"/>
      <c r="M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0"/>
      <c r="L626" s="28"/>
      <c r="M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0"/>
      <c r="L627" s="28"/>
      <c r="M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0"/>
      <c r="L628" s="28"/>
      <c r="M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0"/>
      <c r="L629" s="28"/>
      <c r="M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0"/>
      <c r="L630" s="28"/>
      <c r="M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0"/>
      <c r="L631" s="28"/>
      <c r="M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0"/>
      <c r="L632" s="28"/>
      <c r="M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0"/>
      <c r="L633" s="28"/>
      <c r="M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0"/>
      <c r="L634" s="28"/>
      <c r="M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0"/>
      <c r="L635" s="28"/>
      <c r="M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0"/>
      <c r="L636" s="28"/>
      <c r="M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0"/>
      <c r="L637" s="28"/>
      <c r="M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0"/>
      <c r="L638" s="28"/>
      <c r="M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0"/>
      <c r="L639" s="28"/>
      <c r="M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0"/>
      <c r="L640" s="28"/>
      <c r="M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0"/>
      <c r="L641" s="28"/>
      <c r="M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0"/>
      <c r="L642" s="28"/>
      <c r="M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0"/>
      <c r="L643" s="28"/>
      <c r="M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0"/>
      <c r="L644" s="28"/>
      <c r="M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0"/>
      <c r="L645" s="28"/>
      <c r="M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0"/>
      <c r="L646" s="28"/>
      <c r="M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0"/>
      <c r="L647" s="28"/>
      <c r="M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0"/>
      <c r="L648" s="28"/>
      <c r="M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0"/>
      <c r="L649" s="28"/>
      <c r="M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0"/>
      <c r="L650" s="28"/>
      <c r="M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0"/>
      <c r="L651" s="28"/>
      <c r="M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0"/>
      <c r="L652" s="28"/>
      <c r="M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0"/>
      <c r="L653" s="28"/>
      <c r="M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0"/>
      <c r="L654" s="28"/>
      <c r="M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0"/>
      <c r="L655" s="28"/>
      <c r="M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0"/>
      <c r="L656" s="28"/>
      <c r="M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0"/>
      <c r="L657" s="28"/>
      <c r="M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0"/>
      <c r="L658" s="28"/>
      <c r="M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0"/>
      <c r="L659" s="28"/>
      <c r="M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0"/>
      <c r="L660" s="28"/>
      <c r="M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0"/>
      <c r="L661" s="28"/>
      <c r="M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0"/>
      <c r="L662" s="28"/>
      <c r="M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0"/>
      <c r="L663" s="28"/>
      <c r="M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0"/>
      <c r="L664" s="28"/>
      <c r="M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0"/>
      <c r="L665" s="28"/>
      <c r="M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0"/>
      <c r="L666" s="28"/>
      <c r="M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0"/>
      <c r="L667" s="28"/>
      <c r="M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0"/>
      <c r="L668" s="28"/>
      <c r="M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0"/>
      <c r="L669" s="28"/>
      <c r="M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0"/>
      <c r="L670" s="28"/>
      <c r="M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0"/>
      <c r="L671" s="28"/>
      <c r="M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0"/>
      <c r="L672" s="28"/>
      <c r="M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0"/>
      <c r="L673" s="28"/>
      <c r="M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0"/>
      <c r="L674" s="28"/>
      <c r="M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0"/>
      <c r="L675" s="28"/>
      <c r="M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0"/>
      <c r="L676" s="28"/>
      <c r="M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0"/>
      <c r="L677" s="28"/>
      <c r="M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0"/>
      <c r="L678" s="28"/>
      <c r="M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0"/>
      <c r="L679" s="28"/>
      <c r="M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0"/>
      <c r="L680" s="28"/>
      <c r="M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0"/>
      <c r="L681" s="28"/>
      <c r="M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0"/>
      <c r="L682" s="28"/>
      <c r="M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0"/>
      <c r="L683" s="28"/>
      <c r="M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0"/>
      <c r="L684" s="28"/>
      <c r="M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0"/>
      <c r="L685" s="28"/>
      <c r="M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0"/>
      <c r="L686" s="28"/>
      <c r="M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0"/>
      <c r="L687" s="28"/>
      <c r="M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0"/>
      <c r="L688" s="28"/>
      <c r="M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0"/>
      <c r="L689" s="28"/>
      <c r="M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0"/>
      <c r="L690" s="28"/>
      <c r="M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0"/>
      <c r="L691" s="28"/>
      <c r="M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0"/>
      <c r="L692" s="28"/>
      <c r="M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0"/>
      <c r="L693" s="28"/>
      <c r="M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0"/>
      <c r="L694" s="28"/>
      <c r="M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0"/>
      <c r="L695" s="28"/>
      <c r="M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0"/>
      <c r="L696" s="28"/>
      <c r="M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0"/>
      <c r="L697" s="28"/>
      <c r="M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0"/>
      <c r="L698" s="28"/>
      <c r="M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0"/>
      <c r="L699" s="28"/>
      <c r="M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0"/>
      <c r="L700" s="28"/>
      <c r="M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0"/>
      <c r="L701" s="28"/>
      <c r="M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0"/>
      <c r="L702" s="28"/>
      <c r="M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0"/>
      <c r="L703" s="28"/>
      <c r="M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0"/>
      <c r="L704" s="28"/>
      <c r="M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0"/>
      <c r="L705" s="28"/>
      <c r="M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0"/>
      <c r="L706" s="28"/>
      <c r="M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0"/>
      <c r="L707" s="28"/>
      <c r="M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0"/>
      <c r="L708" s="28"/>
      <c r="M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0"/>
      <c r="L709" s="28"/>
      <c r="M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0"/>
      <c r="L710" s="28"/>
      <c r="M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0"/>
      <c r="L711" s="28"/>
      <c r="M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0"/>
      <c r="L712" s="28"/>
      <c r="M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0"/>
      <c r="L713" s="28"/>
      <c r="M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0"/>
      <c r="L714" s="28"/>
      <c r="M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0"/>
      <c r="L715" s="28"/>
      <c r="M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0"/>
      <c r="L716" s="28"/>
      <c r="M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0"/>
      <c r="L717" s="28"/>
      <c r="M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0"/>
      <c r="L718" s="28"/>
      <c r="M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0"/>
      <c r="L719" s="28"/>
      <c r="M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0"/>
      <c r="L720" s="28"/>
      <c r="M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0"/>
      <c r="L721" s="28"/>
      <c r="M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0"/>
      <c r="L722" s="28"/>
      <c r="M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0"/>
      <c r="L723" s="28"/>
      <c r="M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0"/>
      <c r="L724" s="28"/>
      <c r="M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0"/>
      <c r="L725" s="28"/>
      <c r="M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0"/>
      <c r="L726" s="28"/>
      <c r="M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0"/>
      <c r="L727" s="28"/>
      <c r="M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0"/>
      <c r="L728" s="28"/>
      <c r="M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0"/>
      <c r="L729" s="28"/>
      <c r="M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0"/>
      <c r="L730" s="28"/>
      <c r="M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0"/>
      <c r="L731" s="28"/>
      <c r="M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0"/>
      <c r="L732" s="28"/>
      <c r="M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0"/>
      <c r="L733" s="28"/>
      <c r="M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0"/>
      <c r="L734" s="28"/>
      <c r="M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0"/>
      <c r="L735" s="28"/>
      <c r="M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0"/>
      <c r="L736" s="28"/>
      <c r="M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0"/>
      <c r="L737" s="28"/>
      <c r="M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0"/>
      <c r="L738" s="28"/>
      <c r="M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0"/>
      <c r="L739" s="28"/>
      <c r="M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0"/>
      <c r="L740" s="28"/>
      <c r="M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0"/>
      <c r="L741" s="28"/>
      <c r="M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0"/>
      <c r="L742" s="28"/>
      <c r="M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0"/>
      <c r="L743" s="28"/>
      <c r="M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0"/>
      <c r="L744" s="28"/>
      <c r="M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0"/>
      <c r="L745" s="28"/>
      <c r="M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0"/>
      <c r="L746" s="28"/>
      <c r="M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0"/>
      <c r="L747" s="28"/>
      <c r="M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0"/>
      <c r="L748" s="28"/>
      <c r="M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0"/>
      <c r="L749" s="28"/>
      <c r="M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0"/>
      <c r="L750" s="28"/>
      <c r="M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0"/>
      <c r="L751" s="28"/>
      <c r="M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0"/>
      <c r="L752" s="28"/>
      <c r="M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0"/>
      <c r="L753" s="28"/>
      <c r="M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0"/>
      <c r="L754" s="28"/>
      <c r="M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0"/>
      <c r="L755" s="28"/>
      <c r="M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0"/>
      <c r="L756" s="28"/>
      <c r="M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0"/>
      <c r="L757" s="28"/>
      <c r="M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0"/>
      <c r="L758" s="28"/>
      <c r="M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0"/>
      <c r="L759" s="28"/>
      <c r="M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0"/>
      <c r="L760" s="28"/>
      <c r="M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0"/>
      <c r="L761" s="28"/>
      <c r="M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0"/>
      <c r="L762" s="28"/>
      <c r="M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0"/>
      <c r="L763" s="28"/>
      <c r="M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0"/>
      <c r="L764" s="28"/>
      <c r="M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0"/>
      <c r="L765" s="28"/>
      <c r="M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0"/>
      <c r="L766" s="28"/>
      <c r="M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0"/>
      <c r="L767" s="28"/>
      <c r="M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0"/>
      <c r="L768" s="28"/>
      <c r="M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0"/>
      <c r="L769" s="28"/>
      <c r="M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0"/>
      <c r="L770" s="28"/>
      <c r="M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0"/>
      <c r="L771" s="28"/>
      <c r="M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0"/>
      <c r="L772" s="28"/>
      <c r="M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0"/>
      <c r="L773" s="28"/>
      <c r="M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0"/>
      <c r="L774" s="28"/>
      <c r="M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0"/>
      <c r="L775" s="28"/>
      <c r="M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0"/>
      <c r="L776" s="28"/>
      <c r="M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0"/>
      <c r="L777" s="28"/>
      <c r="M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0"/>
      <c r="L778" s="28"/>
      <c r="M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0"/>
      <c r="L779" s="28"/>
      <c r="M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0"/>
      <c r="L780" s="28"/>
      <c r="M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0"/>
      <c r="L781" s="28"/>
      <c r="M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0"/>
      <c r="L782" s="28"/>
      <c r="M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0"/>
      <c r="L783" s="28"/>
      <c r="M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0"/>
      <c r="L784" s="28"/>
      <c r="M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0"/>
      <c r="L785" s="28"/>
      <c r="M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0"/>
      <c r="L786" s="28"/>
      <c r="M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0"/>
      <c r="L787" s="28"/>
      <c r="M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0"/>
      <c r="L788" s="28"/>
      <c r="M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0"/>
      <c r="L789" s="28"/>
      <c r="M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0"/>
      <c r="L790" s="28"/>
      <c r="M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0"/>
      <c r="L791" s="28"/>
      <c r="M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0"/>
      <c r="L792" s="28"/>
      <c r="M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0"/>
      <c r="L793" s="28"/>
      <c r="M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0"/>
      <c r="L794" s="28"/>
      <c r="M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0"/>
      <c r="L795" s="28"/>
      <c r="M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0"/>
      <c r="L796" s="28"/>
      <c r="M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0"/>
      <c r="L797" s="28"/>
      <c r="M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0"/>
      <c r="L798" s="28"/>
      <c r="M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0"/>
      <c r="L799" s="28"/>
      <c r="M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0"/>
      <c r="L800" s="28"/>
      <c r="M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0"/>
      <c r="L801" s="28"/>
      <c r="M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0"/>
      <c r="L802" s="28"/>
      <c r="M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0"/>
      <c r="L803" s="28"/>
      <c r="M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0"/>
      <c r="L804" s="28"/>
      <c r="M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0"/>
      <c r="L805" s="28"/>
      <c r="M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0"/>
      <c r="L806" s="28"/>
      <c r="M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0"/>
      <c r="L807" s="28"/>
      <c r="M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0"/>
      <c r="L808" s="28"/>
      <c r="M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0"/>
      <c r="L809" s="28"/>
      <c r="M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0"/>
      <c r="L810" s="28"/>
      <c r="M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0"/>
      <c r="L811" s="28"/>
      <c r="M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0"/>
      <c r="L812" s="28"/>
      <c r="M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0"/>
      <c r="L813" s="28"/>
      <c r="M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0"/>
      <c r="L814" s="28"/>
      <c r="M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0"/>
      <c r="L815" s="28"/>
      <c r="M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0"/>
      <c r="L816" s="28"/>
      <c r="M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0"/>
      <c r="L817" s="28"/>
      <c r="M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0"/>
      <c r="L818" s="28"/>
      <c r="M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0"/>
      <c r="L819" s="28"/>
      <c r="M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0"/>
      <c r="L820" s="28"/>
      <c r="M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0"/>
      <c r="L821" s="28"/>
      <c r="M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0"/>
      <c r="L822" s="28"/>
      <c r="M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0"/>
      <c r="L823" s="28"/>
      <c r="M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0"/>
      <c r="L824" s="28"/>
      <c r="M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0"/>
      <c r="L825" s="28"/>
      <c r="M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0"/>
      <c r="L826" s="28"/>
      <c r="M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0"/>
      <c r="L827" s="28"/>
      <c r="M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0"/>
      <c r="L828" s="28"/>
      <c r="M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0"/>
      <c r="L829" s="28"/>
      <c r="M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0"/>
      <c r="L830" s="28"/>
      <c r="M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0"/>
      <c r="L831" s="28"/>
      <c r="M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0"/>
      <c r="L832" s="28"/>
      <c r="M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0"/>
      <c r="L833" s="28"/>
      <c r="M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0"/>
      <c r="L834" s="28"/>
      <c r="M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0"/>
      <c r="L835" s="28"/>
      <c r="M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0"/>
      <c r="L836" s="28"/>
      <c r="M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0"/>
      <c r="L837" s="28"/>
      <c r="M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0"/>
      <c r="L838" s="28"/>
      <c r="M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0"/>
      <c r="L839" s="28"/>
      <c r="M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0"/>
      <c r="L840" s="28"/>
      <c r="M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0"/>
      <c r="L841" s="28"/>
      <c r="M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0"/>
      <c r="L842" s="28"/>
      <c r="M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0"/>
      <c r="L843" s="28"/>
      <c r="M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0"/>
      <c r="L844" s="28"/>
      <c r="M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0"/>
      <c r="L845" s="28"/>
      <c r="M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0"/>
      <c r="L846" s="28"/>
      <c r="M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0"/>
      <c r="L847" s="28"/>
      <c r="M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0"/>
      <c r="L848" s="28"/>
      <c r="M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0"/>
      <c r="L849" s="28"/>
      <c r="M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0"/>
      <c r="L850" s="28"/>
      <c r="M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0"/>
      <c r="L851" s="28"/>
      <c r="M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0"/>
      <c r="L852" s="28"/>
      <c r="M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0"/>
      <c r="L853" s="28"/>
      <c r="M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0"/>
      <c r="L854" s="28"/>
      <c r="M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0"/>
      <c r="L855" s="28"/>
      <c r="M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0"/>
      <c r="L856" s="28"/>
      <c r="M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0"/>
      <c r="L857" s="28"/>
      <c r="M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0"/>
      <c r="L858" s="28"/>
      <c r="M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0"/>
      <c r="L859" s="28"/>
      <c r="M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0"/>
      <c r="L860" s="28"/>
      <c r="M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0"/>
      <c r="L861" s="28"/>
      <c r="M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0"/>
      <c r="L862" s="28"/>
      <c r="M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0"/>
      <c r="L863" s="28"/>
      <c r="M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0"/>
      <c r="L864" s="28"/>
      <c r="M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0"/>
      <c r="L865" s="28"/>
      <c r="M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0"/>
      <c r="L866" s="28"/>
      <c r="M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0"/>
      <c r="L867" s="28"/>
      <c r="M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0"/>
      <c r="L868" s="28"/>
      <c r="M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0"/>
      <c r="L869" s="28"/>
      <c r="M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0"/>
      <c r="L870" s="28"/>
      <c r="M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0"/>
      <c r="L871" s="28"/>
      <c r="M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0"/>
      <c r="L872" s="28"/>
      <c r="M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0"/>
      <c r="L873" s="28"/>
      <c r="M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0"/>
      <c r="L874" s="28"/>
      <c r="M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0"/>
      <c r="L875" s="28"/>
      <c r="M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0"/>
      <c r="L876" s="28"/>
      <c r="M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0"/>
      <c r="L877" s="28"/>
      <c r="M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0"/>
      <c r="L878" s="28"/>
      <c r="M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0"/>
      <c r="L879" s="28"/>
      <c r="M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0"/>
      <c r="L880" s="28"/>
      <c r="M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0"/>
      <c r="L881" s="28"/>
      <c r="M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0"/>
      <c r="L882" s="28"/>
      <c r="M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0"/>
      <c r="L883" s="28"/>
      <c r="M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0"/>
      <c r="L884" s="28"/>
      <c r="M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0"/>
      <c r="L885" s="28"/>
      <c r="M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0"/>
      <c r="L886" s="28"/>
      <c r="M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0"/>
      <c r="L887" s="28"/>
      <c r="M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0"/>
      <c r="L888" s="28"/>
      <c r="M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0"/>
      <c r="L889" s="28"/>
      <c r="M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0"/>
      <c r="L890" s="28"/>
      <c r="M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0"/>
      <c r="L891" s="28"/>
      <c r="M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0"/>
      <c r="L892" s="28"/>
      <c r="M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0"/>
      <c r="L893" s="28"/>
      <c r="M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0"/>
      <c r="L894" s="28"/>
      <c r="M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0"/>
      <c r="L895" s="28"/>
      <c r="M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0"/>
      <c r="L896" s="28"/>
      <c r="M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0"/>
      <c r="L897" s="28"/>
      <c r="M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0"/>
      <c r="L898" s="28"/>
      <c r="M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0"/>
      <c r="L899" s="28"/>
      <c r="M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0"/>
      <c r="L900" s="28"/>
      <c r="M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0"/>
      <c r="L901" s="28"/>
      <c r="M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0"/>
      <c r="L902" s="28"/>
      <c r="M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0"/>
      <c r="L903" s="28"/>
      <c r="M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0"/>
      <c r="L904" s="28"/>
      <c r="M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0"/>
      <c r="L905" s="28"/>
      <c r="M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0"/>
      <c r="L906" s="28"/>
      <c r="M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0"/>
      <c r="L907" s="28"/>
      <c r="M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0"/>
      <c r="L908" s="28"/>
      <c r="M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0"/>
      <c r="L909" s="28"/>
      <c r="M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0"/>
      <c r="L910" s="28"/>
      <c r="M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0"/>
      <c r="L911" s="28"/>
      <c r="M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0"/>
      <c r="L912" s="28"/>
      <c r="M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0"/>
      <c r="L913" s="28"/>
      <c r="M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0"/>
      <c r="L914" s="28"/>
      <c r="M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0"/>
      <c r="L915" s="28"/>
      <c r="M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0"/>
      <c r="L916" s="28"/>
      <c r="M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0"/>
      <c r="L917" s="28"/>
      <c r="M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0"/>
      <c r="L918" s="28"/>
      <c r="M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0"/>
      <c r="L919" s="28"/>
      <c r="M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0"/>
      <c r="L920" s="28"/>
      <c r="M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0"/>
      <c r="L921" s="28"/>
      <c r="M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0"/>
      <c r="L922" s="28"/>
      <c r="M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0"/>
      <c r="L923" s="28"/>
      <c r="M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0"/>
      <c r="L924" s="28"/>
      <c r="M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0"/>
      <c r="L925" s="28"/>
      <c r="M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0"/>
      <c r="L926" s="28"/>
      <c r="M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0"/>
      <c r="L927" s="28"/>
      <c r="M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0"/>
      <c r="L928" s="28"/>
      <c r="M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0"/>
      <c r="L929" s="28"/>
      <c r="M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0"/>
      <c r="L930" s="28"/>
      <c r="M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0"/>
      <c r="L931" s="28"/>
      <c r="M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0"/>
      <c r="L932" s="28"/>
      <c r="M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0"/>
      <c r="L933" s="28"/>
      <c r="M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0"/>
      <c r="L934" s="28"/>
      <c r="M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0"/>
      <c r="L935" s="28"/>
      <c r="M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0"/>
      <c r="L936" s="28"/>
      <c r="M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0"/>
      <c r="L937" s="28"/>
      <c r="M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0"/>
      <c r="L938" s="28"/>
      <c r="M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0"/>
      <c r="L939" s="28"/>
      <c r="M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0"/>
      <c r="L940" s="28"/>
      <c r="M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0"/>
      <c r="L941" s="28"/>
      <c r="M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0"/>
      <c r="L942" s="28"/>
      <c r="M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0"/>
      <c r="L943" s="28"/>
      <c r="M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0"/>
      <c r="L944" s="28"/>
      <c r="M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0"/>
      <c r="L945" s="28"/>
      <c r="M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0"/>
      <c r="L946" s="28"/>
      <c r="M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0"/>
      <c r="L947" s="28"/>
      <c r="M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0"/>
      <c r="L948" s="28"/>
      <c r="M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0"/>
      <c r="L949" s="28"/>
      <c r="M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0"/>
      <c r="L950" s="28"/>
      <c r="M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0"/>
      <c r="L951" s="28"/>
      <c r="M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0"/>
      <c r="L952" s="28"/>
      <c r="M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0"/>
      <c r="L953" s="28"/>
      <c r="M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0"/>
      <c r="L954" s="28"/>
      <c r="M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0"/>
      <c r="L955" s="28"/>
      <c r="M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0"/>
      <c r="L956" s="28"/>
      <c r="M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0"/>
      <c r="L957" s="28"/>
      <c r="M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0"/>
      <c r="L958" s="28"/>
      <c r="M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0"/>
      <c r="L959" s="28"/>
      <c r="M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0"/>
      <c r="L960" s="28"/>
      <c r="M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0"/>
      <c r="L961" s="28"/>
      <c r="M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0"/>
      <c r="L962" s="28"/>
      <c r="M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0"/>
      <c r="L963" s="28"/>
      <c r="M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0"/>
      <c r="L964" s="28"/>
      <c r="M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0"/>
      <c r="L965" s="28"/>
      <c r="M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0"/>
      <c r="L966" s="28"/>
      <c r="M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0"/>
      <c r="L967" s="28"/>
      <c r="M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0"/>
      <c r="L968" s="28"/>
      <c r="M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0"/>
      <c r="L969" s="28"/>
      <c r="M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0"/>
      <c r="L970" s="28"/>
      <c r="M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0"/>
      <c r="L971" s="28"/>
      <c r="M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0"/>
      <c r="L972" s="28"/>
      <c r="M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0"/>
      <c r="L973" s="28"/>
      <c r="M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0"/>
      <c r="L974" s="28"/>
      <c r="M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0"/>
      <c r="L975" s="28"/>
      <c r="M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0"/>
      <c r="L976" s="28"/>
      <c r="M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0"/>
      <c r="L977" s="28"/>
      <c r="M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0"/>
      <c r="L978" s="28"/>
      <c r="M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0"/>
      <c r="L979" s="28"/>
      <c r="M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0"/>
      <c r="L980" s="28"/>
      <c r="M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0"/>
      <c r="L981" s="28"/>
      <c r="M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0"/>
      <c r="L982" s="28"/>
      <c r="M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0"/>
      <c r="L983" s="28"/>
      <c r="M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0"/>
      <c r="L984" s="28"/>
      <c r="M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0"/>
      <c r="L985" s="28"/>
      <c r="M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0"/>
      <c r="L986" s="28"/>
      <c r="M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0"/>
      <c r="L987" s="28"/>
      <c r="M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0"/>
      <c r="L988" s="28"/>
      <c r="M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0"/>
      <c r="L989" s="28"/>
      <c r="M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0"/>
      <c r="L990" s="28"/>
      <c r="M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0"/>
      <c r="L991" s="28"/>
      <c r="M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0"/>
      <c r="L992" s="28"/>
      <c r="M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0"/>
      <c r="L993" s="28"/>
      <c r="M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0"/>
      <c r="L994" s="28"/>
      <c r="M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0"/>
      <c r="L995" s="28"/>
      <c r="M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0"/>
      <c r="L996" s="28"/>
      <c r="M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0"/>
      <c r="L997" s="28"/>
      <c r="M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0"/>
      <c r="L998" s="28"/>
      <c r="M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0"/>
      <c r="L999" s="28"/>
      <c r="M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0"/>
      <c r="L1000" s="28"/>
      <c r="M1000" s="28"/>
    </row>
  </sheetData>
  <mergeCells count="12">
    <mergeCell ref="G2:I2"/>
    <mergeCell ref="J2:L2"/>
    <mergeCell ref="J9:J10"/>
    <mergeCell ref="D12:G12"/>
    <mergeCell ref="J1:L1"/>
    <mergeCell ref="A1:I1"/>
    <mergeCell ref="A2:B2"/>
    <mergeCell ref="C3:D3"/>
    <mergeCell ref="E3:F3"/>
    <mergeCell ref="K9:K10"/>
    <mergeCell ref="C2:F2"/>
    <mergeCell ref="L9:L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38"/>
    <col customWidth="1" min="2" max="2" width="10.0"/>
    <col customWidth="1" min="3" max="3" width="11.13"/>
    <col customWidth="1" min="4" max="4" width="7.0"/>
    <col customWidth="1" min="5" max="5" width="11.13"/>
    <col customWidth="1" min="6" max="6" width="6.5"/>
    <col customWidth="1" min="7" max="7" width="10.13"/>
    <col customWidth="1" min="8" max="8" width="9.63"/>
    <col customWidth="1" min="9" max="9" width="10.0"/>
    <col customWidth="1" min="10" max="10" width="10.25"/>
    <col customWidth="1" min="11" max="11" width="6.63"/>
    <col customWidth="1" min="12" max="26" width="7.63"/>
  </cols>
  <sheetData>
    <row r="1" ht="18.0" customHeight="1">
      <c r="A1" s="12" t="s">
        <v>9</v>
      </c>
      <c r="B1" s="21"/>
      <c r="C1" s="21"/>
      <c r="D1" s="21"/>
      <c r="E1" s="21"/>
      <c r="F1" s="21"/>
      <c r="G1" s="21"/>
      <c r="H1" s="21"/>
      <c r="I1" s="22"/>
      <c r="J1" s="23" t="s">
        <v>12</v>
      </c>
      <c r="K1" s="25"/>
    </row>
    <row r="2" ht="35.25" customHeight="1">
      <c r="A2" s="26" t="s">
        <v>29</v>
      </c>
      <c r="B2" s="27"/>
      <c r="C2" s="74" t="s">
        <v>15</v>
      </c>
      <c r="D2" s="75"/>
      <c r="E2" s="75"/>
      <c r="F2" s="76"/>
      <c r="G2" s="77" t="s">
        <v>27</v>
      </c>
      <c r="H2" s="78"/>
      <c r="I2" s="79"/>
      <c r="J2" s="80" t="s">
        <v>30</v>
      </c>
      <c r="K2" s="82"/>
    </row>
    <row r="3" ht="27.75" customHeight="1">
      <c r="A3" s="83" t="s">
        <v>31</v>
      </c>
      <c r="B3" s="84" t="s">
        <v>32</v>
      </c>
      <c r="C3" s="85" t="s">
        <v>33</v>
      </c>
      <c r="D3" s="86"/>
      <c r="E3" s="87" t="s">
        <v>43</v>
      </c>
      <c r="F3" s="86"/>
      <c r="G3" s="93" t="s">
        <v>35</v>
      </c>
      <c r="H3" s="151" t="s">
        <v>37</v>
      </c>
      <c r="I3" s="152" t="s">
        <v>38</v>
      </c>
      <c r="J3" s="96" t="s">
        <v>39</v>
      </c>
      <c r="K3" s="98" t="s">
        <v>41</v>
      </c>
    </row>
    <row r="4" ht="18.0" customHeight="1">
      <c r="A4" s="153" t="s">
        <v>42</v>
      </c>
      <c r="B4" s="154" t="str">
        <f t="shared" ref="B4:C4" si="1">SUM(B6:B10)</f>
        <v>#REF!</v>
      </c>
      <c r="C4" s="163" t="str">
        <f t="shared" si="1"/>
        <v>#REF!</v>
      </c>
      <c r="D4" s="216" t="str">
        <f>C4/B4</f>
        <v>#REF!</v>
      </c>
      <c r="E4" s="163" t="str">
        <f>SUM(E6:E10)</f>
        <v>#REF!</v>
      </c>
      <c r="F4" s="216" t="str">
        <f>E4/B4</f>
        <v>#REF!</v>
      </c>
      <c r="G4" s="217" t="str">
        <f t="shared" ref="G4:I4" si="2">SUM(G6:G10)</f>
        <v>#REF!</v>
      </c>
      <c r="H4" s="218" t="str">
        <f t="shared" si="2"/>
        <v>#REF!</v>
      </c>
      <c r="I4" s="223" t="str">
        <f t="shared" si="2"/>
        <v>#REF!</v>
      </c>
      <c r="J4" s="178" t="str">
        <f>'2015 Summary'!B4</f>
        <v>£13,785,713</v>
      </c>
      <c r="K4" s="219" t="str">
        <f>'2015 Summary'!D4</f>
        <v>93%</v>
      </c>
    </row>
    <row r="5" ht="9.75" customHeight="1">
      <c r="A5" s="225"/>
      <c r="B5" s="286"/>
      <c r="C5" s="288"/>
      <c r="D5" s="290"/>
      <c r="E5" s="288"/>
      <c r="F5" s="290"/>
      <c r="G5" s="292"/>
      <c r="H5" s="305"/>
      <c r="I5" s="306"/>
      <c r="J5" s="307"/>
      <c r="K5" s="308"/>
    </row>
    <row r="6" ht="15.75" customHeight="1">
      <c r="A6" s="309" t="s">
        <v>73</v>
      </c>
      <c r="B6" s="310" t="str">
        <f t="shared" ref="B6:C6" si="3">#REF!</f>
        <v>#REF!</v>
      </c>
      <c r="C6" s="311" t="str">
        <f t="shared" si="3"/>
        <v>#REF!</v>
      </c>
      <c r="D6" s="357" t="str">
        <f t="shared" ref="D6:D10" si="5">C6/B6</f>
        <v>#REF!</v>
      </c>
      <c r="E6" s="311" t="str">
        <f>#REF!</f>
        <v>#REF!</v>
      </c>
      <c r="F6" s="357" t="str">
        <f t="shared" ref="F6:F10" si="6">E6/B6</f>
        <v>#REF!</v>
      </c>
      <c r="G6" s="358" t="str">
        <f t="shared" ref="G6:H6" si="4">#REF!</f>
        <v>#REF!</v>
      </c>
      <c r="H6" s="359" t="str">
        <f t="shared" si="4"/>
        <v>#REF!</v>
      </c>
      <c r="I6" s="369" t="str">
        <f t="shared" ref="I6:I10" si="7">G6-H6</f>
        <v>#REF!</v>
      </c>
      <c r="J6" s="371" t="str">
        <f>'2015 Summary'!B5</f>
        <v>£6,337,784</v>
      </c>
      <c r="K6" s="413" t="str">
        <f>'2015 Summary'!D5</f>
        <v>93%</v>
      </c>
    </row>
    <row r="7" ht="15.75" customHeight="1">
      <c r="A7" s="350" t="s">
        <v>144</v>
      </c>
      <c r="B7" s="415" t="str">
        <f t="shared" ref="B7:B8" si="8">PIP!#REF!</f>
        <v>#ERROR!</v>
      </c>
      <c r="C7" s="420" t="str">
        <f>PIP!J41</f>
        <v>£634,002</v>
      </c>
      <c r="D7" s="503" t="str">
        <f t="shared" si="5"/>
        <v>#ERROR!</v>
      </c>
      <c r="E7" s="420" t="str">
        <f>PIP!J65</f>
        <v>£670,502</v>
      </c>
      <c r="F7" s="503" t="str">
        <f t="shared" si="6"/>
        <v>#ERROR!</v>
      </c>
      <c r="G7" s="565" t="str">
        <f>PIP!J61</f>
        <v/>
      </c>
      <c r="H7" s="567" t="str">
        <f>PIP!J64</f>
        <v>£36,500</v>
      </c>
      <c r="I7" s="569" t="str">
        <f t="shared" si="7"/>
        <v>-£36,500</v>
      </c>
      <c r="J7" s="428" t="str">
        <f>'2015 Summary'!B6</f>
        <v>£1,282,661</v>
      </c>
      <c r="K7" s="629" t="str">
        <f>'2015 Summary'!D6</f>
        <v>104%</v>
      </c>
    </row>
    <row r="8" ht="15.75" customHeight="1">
      <c r="A8" s="350" t="s">
        <v>217</v>
      </c>
      <c r="B8" s="415" t="str">
        <f t="shared" si="8"/>
        <v>#ERROR!</v>
      </c>
      <c r="C8" s="420" t="str">
        <f>Eurasia!#REF!</f>
        <v>#ERROR!</v>
      </c>
      <c r="D8" s="503" t="str">
        <f t="shared" si="5"/>
        <v>#ERROR!</v>
      </c>
      <c r="E8" s="420" t="str">
        <f>Eurasia!#REF!</f>
        <v>#ERROR!</v>
      </c>
      <c r="F8" s="503" t="str">
        <f t="shared" si="6"/>
        <v>#ERROR!</v>
      </c>
      <c r="G8" s="565" t="str">
        <f t="shared" ref="G8:H8" si="9">Eurasia!#REF!</f>
        <v>#ERROR!</v>
      </c>
      <c r="H8" s="567" t="str">
        <f t="shared" si="9"/>
        <v>#ERROR!</v>
      </c>
      <c r="I8" s="569" t="str">
        <f t="shared" si="7"/>
        <v>#ERROR!</v>
      </c>
      <c r="J8" s="428" t="str">
        <f>'2015 Summary'!B7</f>
        <v>£2,406,527</v>
      </c>
      <c r="K8" s="629" t="str">
        <f>'2015 Summary'!D7</f>
        <v>97%</v>
      </c>
    </row>
    <row r="9" ht="15.75" customHeight="1">
      <c r="A9" s="350" t="s">
        <v>219</v>
      </c>
      <c r="B9" s="415" t="str">
        <f t="shared" ref="B9:C9" si="10">#REF!</f>
        <v>#REF!</v>
      </c>
      <c r="C9" s="420" t="str">
        <f t="shared" si="10"/>
        <v>#REF!</v>
      </c>
      <c r="D9" s="503" t="str">
        <f t="shared" si="5"/>
        <v>#REF!</v>
      </c>
      <c r="E9" s="420" t="str">
        <f>#REF!</f>
        <v>#REF!</v>
      </c>
      <c r="F9" s="503" t="str">
        <f t="shared" si="6"/>
        <v>#REF!</v>
      </c>
      <c r="G9" s="565" t="str">
        <f t="shared" ref="G9:H9" si="11">#REF!</f>
        <v>#REF!</v>
      </c>
      <c r="H9" s="567" t="str">
        <f t="shared" si="11"/>
        <v>#REF!</v>
      </c>
      <c r="I9" s="569" t="str">
        <f t="shared" si="7"/>
        <v>#REF!</v>
      </c>
      <c r="J9" s="428" t="str">
        <f>'2015 Summary'!B8</f>
        <v>£2,122,774</v>
      </c>
      <c r="K9" s="629" t="str">
        <f>'2015 Summary'!D8</f>
        <v>81%</v>
      </c>
    </row>
    <row r="10" ht="15.75" customHeight="1">
      <c r="A10" s="603" t="s">
        <v>343</v>
      </c>
      <c r="B10" s="634" t="str">
        <f t="shared" ref="B10:C10" si="12">EP!#REF!</f>
        <v>#ERROR!</v>
      </c>
      <c r="C10" s="636" t="str">
        <f t="shared" si="12"/>
        <v>#ERROR!</v>
      </c>
      <c r="D10" s="684" t="str">
        <f t="shared" si="5"/>
        <v>#ERROR!</v>
      </c>
      <c r="E10" s="636" t="str">
        <f>EP!#REF!</f>
        <v>#ERROR!</v>
      </c>
      <c r="F10" s="684" t="str">
        <f t="shared" si="6"/>
        <v>#ERROR!</v>
      </c>
      <c r="G10" s="738" t="str">
        <f t="shared" ref="G10:H10" si="13">EP!#REF!</f>
        <v>#ERROR!</v>
      </c>
      <c r="H10" s="739" t="str">
        <f t="shared" si="13"/>
        <v>#ERROR!</v>
      </c>
      <c r="I10" s="740" t="str">
        <f t="shared" si="7"/>
        <v>#ERROR!</v>
      </c>
      <c r="J10" s="742" t="str">
        <f>'2015 Summary'!B10</f>
        <v>£408,021</v>
      </c>
      <c r="K10" s="744" t="str">
        <f>'2015 Summary'!D10</f>
        <v>93%</v>
      </c>
    </row>
    <row r="11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ht="22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</row>
  </sheetData>
  <mergeCells count="8">
    <mergeCell ref="C3:D3"/>
    <mergeCell ref="E3:F3"/>
    <mergeCell ref="A1:I1"/>
    <mergeCell ref="J1:K1"/>
    <mergeCell ref="A2:B2"/>
    <mergeCell ref="C2:F2"/>
    <mergeCell ref="G2:I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38"/>
    <col customWidth="1" min="2" max="2" width="12.0"/>
    <col customWidth="1" min="3" max="3" width="12.88"/>
    <col customWidth="1" min="4" max="4" width="7.0"/>
    <col customWidth="1" min="5" max="5" width="12.5"/>
    <col customWidth="1" min="6" max="6" width="6.5"/>
    <col customWidth="1" min="7" max="7" width="13.63"/>
    <col customWidth="1" min="8" max="8" width="14.5"/>
    <col customWidth="1" min="9" max="9" width="17.0"/>
    <col customWidth="1" min="10" max="11" width="13.63"/>
    <col customWidth="1" min="12" max="12" width="9.38"/>
    <col customWidth="1" min="13" max="13" width="9.5"/>
    <col customWidth="1" min="14" max="26" width="8.0"/>
  </cols>
  <sheetData>
    <row r="1" ht="18.0" customHeight="1">
      <c r="A1" s="12" t="s">
        <v>10</v>
      </c>
      <c r="B1" s="21"/>
      <c r="C1" s="21"/>
      <c r="D1" s="21"/>
      <c r="E1" s="21"/>
      <c r="F1" s="21"/>
      <c r="G1" s="21"/>
      <c r="H1" s="21"/>
      <c r="I1" s="22"/>
      <c r="J1" s="23" t="s">
        <v>13</v>
      </c>
      <c r="K1" s="24"/>
      <c r="L1" s="25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35.25" customHeight="1">
      <c r="A2" s="26" t="s">
        <v>14</v>
      </c>
      <c r="B2" s="27"/>
      <c r="C2" s="74" t="s">
        <v>15</v>
      </c>
      <c r="D2" s="75"/>
      <c r="E2" s="75"/>
      <c r="F2" s="76"/>
      <c r="G2" s="77" t="s">
        <v>27</v>
      </c>
      <c r="H2" s="78"/>
      <c r="I2" s="79"/>
      <c r="J2" s="80" t="s">
        <v>44</v>
      </c>
      <c r="K2" s="81"/>
      <c r="L2" s="82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27.75" customHeight="1">
      <c r="A3" s="83" t="s">
        <v>31</v>
      </c>
      <c r="B3" s="84" t="s">
        <v>32</v>
      </c>
      <c r="C3" s="85" t="s">
        <v>33</v>
      </c>
      <c r="D3" s="86"/>
      <c r="E3" s="87" t="s">
        <v>34</v>
      </c>
      <c r="F3" s="86"/>
      <c r="G3" s="93" t="s">
        <v>35</v>
      </c>
      <c r="H3" s="94" t="s">
        <v>37</v>
      </c>
      <c r="I3" s="95" t="s">
        <v>38</v>
      </c>
      <c r="J3" s="96" t="s">
        <v>39</v>
      </c>
      <c r="K3" s="97" t="s">
        <v>45</v>
      </c>
      <c r="L3" s="98" t="s">
        <v>41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8.0" customHeight="1">
      <c r="A4" s="99" t="s">
        <v>42</v>
      </c>
      <c r="B4" s="131" t="str">
        <f t="shared" ref="B4:C4" si="1">SUM(B5:B10)</f>
        <v>£17,738,737</v>
      </c>
      <c r="C4" s="155" t="str">
        <f t="shared" si="1"/>
        <v>£7,325,027</v>
      </c>
      <c r="D4" s="156" t="str">
        <f t="shared" ref="D4:D10" si="3">C4/B4</f>
        <v>41%</v>
      </c>
      <c r="E4" s="155" t="str">
        <f>SUM(E5:E10)</f>
        <v>£11,467,922</v>
      </c>
      <c r="F4" s="156" t="str">
        <f t="shared" ref="F4:F10" si="4">E4/B4</f>
        <v>65%</v>
      </c>
      <c r="G4" s="158" t="str">
        <f t="shared" ref="G4:I4" si="2">SUM(G5:G10)</f>
        <v>£10,012,292</v>
      </c>
      <c r="H4" s="176" t="str">
        <f t="shared" si="2"/>
        <v>£4,142,895</v>
      </c>
      <c r="I4" s="177" t="str">
        <f t="shared" si="2"/>
        <v>£5,869,397</v>
      </c>
      <c r="J4" s="178">
        <v>1.491111E7</v>
      </c>
      <c r="K4" s="211">
        <v>1.0143602E7</v>
      </c>
      <c r="L4" s="219" t="str">
        <f t="shared" ref="L4:L9" si="5">K4/J4</f>
        <v>68%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6.5" customHeight="1">
      <c r="A5" s="220" t="s">
        <v>73</v>
      </c>
      <c r="B5" s="222" t="str">
        <f>Africa!I2</f>
        <v>£8,312,976</v>
      </c>
      <c r="C5" s="248" t="str">
        <f>Africa!J36</f>
        <v>£4,274,137</v>
      </c>
      <c r="D5" s="277" t="str">
        <f t="shared" si="3"/>
        <v>51%</v>
      </c>
      <c r="E5" s="248" t="str">
        <f>Africa!J52</f>
        <v>£5,183,399</v>
      </c>
      <c r="F5" s="277" t="str">
        <f t="shared" si="4"/>
        <v>62%</v>
      </c>
      <c r="G5" s="304" t="str">
        <f>Africa!J50</f>
        <v>£3,373,591</v>
      </c>
      <c r="H5" s="320" t="str">
        <f>Africa!J51</f>
        <v>£909,262</v>
      </c>
      <c r="I5" s="322" t="str">
        <f t="shared" ref="I5:I10" si="6">G5-H5</f>
        <v>£2,464,329</v>
      </c>
      <c r="J5" s="324" t="str">
        <f>'2015 Summary'!B5</f>
        <v>£6,337,784</v>
      </c>
      <c r="K5" s="325">
        <v>6314277.0</v>
      </c>
      <c r="L5" s="349" t="str">
        <f t="shared" si="5"/>
        <v>100%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350" t="s">
        <v>144</v>
      </c>
      <c r="B6" s="372" t="str">
        <f>PIP!I2</f>
        <v>£1,630,824</v>
      </c>
      <c r="C6" s="393" t="str">
        <f>PIP!J41</f>
        <v>£634,002</v>
      </c>
      <c r="D6" s="395" t="str">
        <f t="shared" si="3"/>
        <v>39%</v>
      </c>
      <c r="E6" s="393" t="str">
        <f>PIP!J65</f>
        <v>£670,502</v>
      </c>
      <c r="F6" s="395" t="str">
        <f t="shared" si="4"/>
        <v>41%</v>
      </c>
      <c r="G6" s="424" t="str">
        <f>PIP!J63</f>
        <v>£305,500</v>
      </c>
      <c r="H6" s="426" t="str">
        <f>PIP!J64</f>
        <v>£36,500</v>
      </c>
      <c r="I6" s="322" t="str">
        <f t="shared" si="6"/>
        <v>£269,000</v>
      </c>
      <c r="J6" s="428" t="str">
        <f>'2015 Summary'!B6</f>
        <v>£1,282,661</v>
      </c>
      <c r="K6" s="429">
        <v>1076838.0</v>
      </c>
      <c r="L6" s="349" t="str">
        <f t="shared" si="5"/>
        <v>84%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350" t="s">
        <v>217</v>
      </c>
      <c r="B7" s="372" t="str">
        <f>Eurasia!I2</f>
        <v>£2,130,097</v>
      </c>
      <c r="C7" s="393" t="str">
        <f>Eurasia!J22</f>
        <v>£1,558,516</v>
      </c>
      <c r="D7" s="395" t="str">
        <f t="shared" si="3"/>
        <v>73%</v>
      </c>
      <c r="E7" s="393" t="str">
        <f>Eurasia!J32</f>
        <v>£2,708,516</v>
      </c>
      <c r="F7" s="395" t="str">
        <f t="shared" si="4"/>
        <v>127%</v>
      </c>
      <c r="G7" s="424" t="str">
        <f>Eurasia!J30</f>
        <v>£2,221,261</v>
      </c>
      <c r="H7" s="426" t="str">
        <f>Eurasia!J31</f>
        <v>£1,150,000</v>
      </c>
      <c r="I7" s="322" t="str">
        <f t="shared" si="6"/>
        <v>£1,071,261</v>
      </c>
      <c r="J7" s="428" t="str">
        <f>'2015 Summary'!B7</f>
        <v>£2,406,527</v>
      </c>
      <c r="K7" s="429">
        <v>1016989.0</v>
      </c>
      <c r="L7" s="349" t="str">
        <f t="shared" si="5"/>
        <v>42%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432" t="s">
        <v>219</v>
      </c>
      <c r="B8" s="372" t="str">
        <f>Asia!I3</f>
        <v>£3,526,640</v>
      </c>
      <c r="C8" s="393" t="str">
        <f>Asia!J35</f>
        <v>£652,979</v>
      </c>
      <c r="D8" s="395" t="str">
        <f t="shared" si="3"/>
        <v>19%</v>
      </c>
      <c r="E8" s="393" t="str">
        <f>Asia!J59</f>
        <v>£1,198,612</v>
      </c>
      <c r="F8" s="395" t="str">
        <f t="shared" si="4"/>
        <v>34%</v>
      </c>
      <c r="G8" s="424" t="str">
        <f>Asia!J57</f>
        <v>£1,684,940</v>
      </c>
      <c r="H8" s="426" t="str">
        <f>Asia!J58</f>
        <v>£545,633</v>
      </c>
      <c r="I8" s="322" t="str">
        <f t="shared" si="6"/>
        <v>£1,139,307</v>
      </c>
      <c r="J8" s="428" t="str">
        <f>'2015 Summary'!B8</f>
        <v>£2,122,774</v>
      </c>
      <c r="K8" s="429">
        <v>920828.0</v>
      </c>
      <c r="L8" s="349" t="str">
        <f t="shared" si="5"/>
        <v>43%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447" t="s">
        <v>222</v>
      </c>
      <c r="B9" s="451" t="str">
        <f>MENA!I2</f>
        <v>£1,875,000</v>
      </c>
      <c r="C9" s="519" t="str">
        <f>MENA!J20</f>
        <v>£205,392</v>
      </c>
      <c r="D9" s="520" t="str">
        <f t="shared" si="3"/>
        <v>11%</v>
      </c>
      <c r="E9" s="519" t="str">
        <f>MENA!J42</f>
        <v>£1,659,392</v>
      </c>
      <c r="F9" s="520" t="str">
        <f t="shared" si="4"/>
        <v>89%</v>
      </c>
      <c r="G9" s="533" t="str">
        <f>MENA!J40</f>
        <v>£2,110,000</v>
      </c>
      <c r="H9" s="541" t="str">
        <f>MENA!J41</f>
        <v>£1,454,000</v>
      </c>
      <c r="I9" s="322" t="str">
        <f t="shared" si="6"/>
        <v>£656,000</v>
      </c>
      <c r="J9" s="577">
        <v>2567287.0</v>
      </c>
      <c r="K9" s="578">
        <v>814670.0</v>
      </c>
      <c r="L9" s="586" t="str">
        <f t="shared" si="5"/>
        <v>32%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603" t="s">
        <v>343</v>
      </c>
      <c r="B10" s="606" t="str">
        <f>EP!I2</f>
        <v>£263,200</v>
      </c>
      <c r="C10" s="608" t="str">
        <f>EP!J11</f>
        <v>£0</v>
      </c>
      <c r="D10" s="609" t="str">
        <f t="shared" si="3"/>
        <v>0%</v>
      </c>
      <c r="E10" s="608" t="str">
        <f>EP!J27</f>
        <v>£47,500</v>
      </c>
      <c r="F10" s="609" t="str">
        <f t="shared" si="4"/>
        <v>18%</v>
      </c>
      <c r="G10" s="611" t="str">
        <f>EP!J25</f>
        <v>£317,000</v>
      </c>
      <c r="H10" s="647" t="str">
        <f>EP!J26</f>
        <v>£47,500</v>
      </c>
      <c r="I10" s="322" t="str">
        <f t="shared" si="6"/>
        <v>£269,500</v>
      </c>
      <c r="J10" s="648"/>
      <c r="K10" s="649"/>
      <c r="L10" s="67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67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671"/>
      <c r="C12" s="20"/>
      <c r="D12" s="698" t="s">
        <v>454</v>
      </c>
      <c r="H12" s="20"/>
      <c r="I12" s="20"/>
      <c r="J12" s="20"/>
      <c r="K12" s="20"/>
      <c r="L12" s="20"/>
      <c r="M12" s="67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22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37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2">
    <mergeCell ref="C2:F2"/>
    <mergeCell ref="C3:D3"/>
    <mergeCell ref="E3:F3"/>
    <mergeCell ref="K9:K10"/>
    <mergeCell ref="L9:L10"/>
    <mergeCell ref="A1:I1"/>
    <mergeCell ref="J1:L1"/>
    <mergeCell ref="A2:B2"/>
    <mergeCell ref="G2:I2"/>
    <mergeCell ref="J2:L2"/>
    <mergeCell ref="J9:J10"/>
    <mergeCell ref="D12:G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88"/>
    <col customWidth="1" min="2" max="2" width="45.75"/>
    <col customWidth="1" min="3" max="3" width="15.13"/>
    <col customWidth="1" min="4" max="4" width="18.38"/>
    <col customWidth="1" min="5" max="5" width="19.63"/>
    <col customWidth="1" min="6" max="6" width="17.0"/>
    <col customWidth="1" min="7" max="7" width="15.75"/>
    <col customWidth="1" min="8" max="8" width="11.13"/>
    <col customWidth="1" min="9" max="9" width="11.75"/>
    <col customWidth="1" min="10" max="26" width="8.0"/>
  </cols>
  <sheetData>
    <row r="1" ht="25.5" customHeight="1">
      <c r="A1" s="37"/>
      <c r="B1" s="39"/>
      <c r="C1" s="39"/>
      <c r="D1" s="39"/>
      <c r="E1" s="41"/>
      <c r="F1" s="43"/>
      <c r="G1" s="43"/>
      <c r="H1" s="45" t="s">
        <v>21</v>
      </c>
      <c r="I1" s="56" t="s">
        <v>22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25.5" customHeight="1">
      <c r="A2" s="112" t="s">
        <v>24</v>
      </c>
      <c r="B2" s="112" t="s">
        <v>25</v>
      </c>
      <c r="C2" s="112" t="s">
        <v>47</v>
      </c>
      <c r="D2" s="112" t="s">
        <v>48</v>
      </c>
      <c r="E2" s="113" t="s">
        <v>50</v>
      </c>
      <c r="F2" s="112" t="s">
        <v>52</v>
      </c>
      <c r="G2" s="112" t="s">
        <v>53</v>
      </c>
      <c r="H2" s="45"/>
      <c r="I2" s="56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2.75" customHeight="1">
      <c r="A3" s="58"/>
      <c r="B3" s="58"/>
      <c r="C3" s="58"/>
      <c r="D3" s="58"/>
      <c r="E3" s="58"/>
      <c r="F3" s="58"/>
      <c r="G3" s="58"/>
      <c r="H3" s="116"/>
      <c r="I3" s="117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2.75" customHeight="1">
      <c r="A4" s="189" t="s">
        <v>54</v>
      </c>
      <c r="B4" s="190" t="s">
        <v>56</v>
      </c>
      <c r="C4" s="190" t="s">
        <v>57</v>
      </c>
      <c r="D4" s="190" t="s">
        <v>58</v>
      </c>
      <c r="E4" s="191">
        <v>1422755.4078167651</v>
      </c>
      <c r="F4" s="191">
        <v>459462.51127916155</v>
      </c>
      <c r="G4" s="191">
        <v>0.0</v>
      </c>
      <c r="H4" s="116"/>
      <c r="I4" s="117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2.75" customHeight="1">
      <c r="A5" s="189" t="s">
        <v>59</v>
      </c>
      <c r="B5" s="190" t="s">
        <v>60</v>
      </c>
      <c r="C5" s="190" t="s">
        <v>61</v>
      </c>
      <c r="D5" s="190" t="s">
        <v>58</v>
      </c>
      <c r="E5" s="196">
        <v>833333.0</v>
      </c>
      <c r="F5" s="191">
        <v>297691.37</v>
      </c>
      <c r="G5" s="191" t="str">
        <f>F5</f>
        <v>297,691</v>
      </c>
      <c r="H5" s="116"/>
      <c r="I5" s="117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2.75" customHeight="1">
      <c r="A6" s="198" t="s">
        <v>62</v>
      </c>
      <c r="B6" s="199" t="s">
        <v>67</v>
      </c>
      <c r="C6" s="200" t="s">
        <v>68</v>
      </c>
      <c r="D6" s="200" t="s">
        <v>70</v>
      </c>
      <c r="E6" s="201">
        <v>6000.0</v>
      </c>
      <c r="F6" s="202">
        <v>6000.0</v>
      </c>
      <c r="G6" s="202">
        <v>0.0</v>
      </c>
      <c r="H6" s="116"/>
      <c r="I6" s="117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2.75" customHeight="1">
      <c r="A7" s="203"/>
      <c r="B7" s="204"/>
      <c r="C7" s="204"/>
      <c r="D7" s="205" t="s">
        <v>71</v>
      </c>
      <c r="E7" s="253" t="str">
        <f t="shared" ref="E7:G7" si="1">SUM(E4:E6)</f>
        <v>2,262,088</v>
      </c>
      <c r="F7" s="253" t="str">
        <f t="shared" si="1"/>
        <v>763,154</v>
      </c>
      <c r="G7" s="253" t="str">
        <f t="shared" si="1"/>
        <v>297,691</v>
      </c>
      <c r="H7" s="255" t="str">
        <f t="shared" ref="H7:I7" si="2">E7/E152*100</f>
        <v>  5.68 </v>
      </c>
      <c r="I7" s="257" t="str">
        <f t="shared" si="2"/>
        <v>  5.86 </v>
      </c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</row>
    <row r="8" ht="12.75" customHeight="1">
      <c r="A8" s="203"/>
      <c r="B8" s="204"/>
      <c r="C8" s="204"/>
      <c r="D8" s="204"/>
      <c r="E8" s="258"/>
      <c r="F8" s="258"/>
      <c r="G8" s="258"/>
      <c r="H8" s="255"/>
      <c r="I8" s="257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</row>
    <row r="9" ht="12.75" customHeight="1">
      <c r="A9" s="189" t="s">
        <v>54</v>
      </c>
      <c r="B9" s="190" t="s">
        <v>88</v>
      </c>
      <c r="C9" s="190" t="s">
        <v>89</v>
      </c>
      <c r="D9" s="190" t="s">
        <v>90</v>
      </c>
      <c r="E9" s="191">
        <v>1961681.158928382</v>
      </c>
      <c r="F9" s="191">
        <v>275090.72</v>
      </c>
      <c r="G9" s="191">
        <v>0.0</v>
      </c>
      <c r="H9" s="116"/>
      <c r="I9" s="117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2.75" customHeight="1">
      <c r="A10" s="189" t="s">
        <v>54</v>
      </c>
      <c r="B10" s="259" t="s">
        <v>91</v>
      </c>
      <c r="C10" s="190" t="s">
        <v>92</v>
      </c>
      <c r="D10" s="260" t="s">
        <v>90</v>
      </c>
      <c r="E10" s="191">
        <v>6490660.0</v>
      </c>
      <c r="F10" s="191">
        <v>531582.4898333333</v>
      </c>
      <c r="G10" s="191" t="str">
        <f>E10/4</f>
        <v>1,622,665</v>
      </c>
      <c r="H10" s="116"/>
      <c r="I10" s="11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2.75" customHeight="1">
      <c r="A11" s="189" t="s">
        <v>93</v>
      </c>
      <c r="B11" s="262" t="s">
        <v>94</v>
      </c>
      <c r="C11" s="190" t="s">
        <v>95</v>
      </c>
      <c r="D11" s="190" t="s">
        <v>90</v>
      </c>
      <c r="E11" s="196">
        <v>1259763.1646757994</v>
      </c>
      <c r="F11" s="191">
        <v>299924.4591229778</v>
      </c>
      <c r="G11" s="191">
        <v>0.0</v>
      </c>
      <c r="H11" s="116"/>
      <c r="I11" s="117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2.75" customHeight="1">
      <c r="A12" s="189" t="s">
        <v>96</v>
      </c>
      <c r="B12" s="262" t="s">
        <v>97</v>
      </c>
      <c r="C12" s="190" t="s">
        <v>98</v>
      </c>
      <c r="D12" s="190" t="s">
        <v>90</v>
      </c>
      <c r="E12" s="191">
        <v>1188108.0</v>
      </c>
      <c r="F12" s="191">
        <v>397136.2</v>
      </c>
      <c r="G12" s="191">
        <v>400000.0</v>
      </c>
      <c r="H12" s="116"/>
      <c r="I12" s="117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2.75" customHeight="1">
      <c r="A13" s="203"/>
      <c r="B13" s="333"/>
      <c r="C13" s="204"/>
      <c r="D13" s="205" t="s">
        <v>90</v>
      </c>
      <c r="E13" s="335" t="str">
        <f t="shared" ref="E13:G13" si="3">SUM(E9:E12)</f>
        <v>10,900,212</v>
      </c>
      <c r="F13" s="335" t="str">
        <f t="shared" si="3"/>
        <v>1,503,734</v>
      </c>
      <c r="G13" s="335" t="str">
        <f t="shared" si="3"/>
        <v>2,022,665</v>
      </c>
      <c r="H13" s="255" t="str">
        <f t="shared" ref="H13:I13" si="4">E13/E152*100</f>
        <v>  27.38 </v>
      </c>
      <c r="I13" s="257" t="str">
        <f t="shared" si="4"/>
        <v>  11.54 </v>
      </c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</row>
    <row r="14" ht="12.75" customHeight="1">
      <c r="A14" s="58"/>
      <c r="B14" s="58"/>
      <c r="C14" s="58"/>
      <c r="D14" s="58"/>
      <c r="E14" s="58"/>
      <c r="F14" s="58"/>
      <c r="G14" s="58"/>
      <c r="H14" s="116"/>
      <c r="I14" s="11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27.75" customHeight="1">
      <c r="A15" s="189" t="s">
        <v>54</v>
      </c>
      <c r="B15" s="262" t="s">
        <v>128</v>
      </c>
      <c r="C15" s="190" t="s">
        <v>129</v>
      </c>
      <c r="D15" s="190" t="s">
        <v>130</v>
      </c>
      <c r="E15" s="191">
        <v>876179.0</v>
      </c>
      <c r="F15" s="191">
        <v>453912.83962499996</v>
      </c>
      <c r="G15" s="191">
        <v>0.0</v>
      </c>
      <c r="H15" s="116"/>
      <c r="I15" s="117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2.75" customHeight="1">
      <c r="A16" s="338" t="s">
        <v>131</v>
      </c>
      <c r="B16" s="339" t="s">
        <v>132</v>
      </c>
      <c r="C16" s="340" t="s">
        <v>133</v>
      </c>
      <c r="D16" s="340" t="s">
        <v>134</v>
      </c>
      <c r="E16" s="341">
        <v>36257.0</v>
      </c>
      <c r="F16" s="343" t="str">
        <f>E16</f>
        <v>36,257</v>
      </c>
      <c r="G16" s="343">
        <v>0.0</v>
      </c>
      <c r="H16" s="116"/>
      <c r="I16" s="117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2.75" customHeight="1">
      <c r="A17" s="198" t="s">
        <v>135</v>
      </c>
      <c r="B17" s="200" t="s">
        <v>136</v>
      </c>
      <c r="C17" s="200" t="s">
        <v>137</v>
      </c>
      <c r="D17" s="200" t="s">
        <v>130</v>
      </c>
      <c r="E17" s="202">
        <v>26000.0</v>
      </c>
      <c r="F17" s="202">
        <v>24685.0</v>
      </c>
      <c r="G17" s="200">
        <v>0.0</v>
      </c>
      <c r="H17" s="116"/>
      <c r="I17" s="117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2.75" customHeight="1">
      <c r="A18" s="198" t="s">
        <v>135</v>
      </c>
      <c r="B18" s="200" t="s">
        <v>138</v>
      </c>
      <c r="C18" s="200" t="s">
        <v>139</v>
      </c>
      <c r="D18" s="200" t="s">
        <v>140</v>
      </c>
      <c r="E18" s="202">
        <v>70000.0</v>
      </c>
      <c r="F18" s="202">
        <v>67700.0</v>
      </c>
      <c r="G18" s="200">
        <v>0.0</v>
      </c>
      <c r="H18" s="116"/>
      <c r="I18" s="117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2.75" customHeight="1">
      <c r="A19" s="345" t="s">
        <v>74</v>
      </c>
      <c r="B19" s="346" t="s">
        <v>141</v>
      </c>
      <c r="C19" s="346" t="s">
        <v>142</v>
      </c>
      <c r="D19" s="346" t="s">
        <v>143</v>
      </c>
      <c r="E19" s="383">
        <v>428250.0</v>
      </c>
      <c r="F19" s="383">
        <v>249207.0</v>
      </c>
      <c r="G19" s="383" t="str">
        <f>E19-F19</f>
        <v>179,043</v>
      </c>
      <c r="H19" s="116"/>
      <c r="I19" s="117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2.75" customHeight="1">
      <c r="A20" s="203"/>
      <c r="B20" s="204"/>
      <c r="C20" s="204"/>
      <c r="D20" s="205" t="s">
        <v>150</v>
      </c>
      <c r="E20" s="253" t="str">
        <f t="shared" ref="E20:G20" si="5">SUM(E15:E19)</f>
        <v>1,436,686</v>
      </c>
      <c r="F20" s="253" t="str">
        <f t="shared" si="5"/>
        <v>831,762</v>
      </c>
      <c r="G20" s="253" t="str">
        <f t="shared" si="5"/>
        <v>179,043</v>
      </c>
      <c r="H20" s="255" t="str">
        <f t="shared" ref="H20:I20" si="6">E20/E152*100</f>
        <v>  3.61 </v>
      </c>
      <c r="I20" s="257" t="str">
        <f t="shared" si="6"/>
        <v>  6.39 </v>
      </c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</row>
    <row r="21" ht="12.75" customHeight="1">
      <c r="A21" s="203"/>
      <c r="B21" s="204"/>
      <c r="C21" s="204"/>
      <c r="D21" s="204"/>
      <c r="E21" s="258"/>
      <c r="F21" s="258"/>
      <c r="G21" s="204"/>
      <c r="H21" s="255"/>
      <c r="I21" s="257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</row>
    <row r="22" ht="25.5" customHeight="1">
      <c r="A22" s="189" t="s">
        <v>54</v>
      </c>
      <c r="B22" s="259" t="s">
        <v>124</v>
      </c>
      <c r="C22" s="190" t="s">
        <v>125</v>
      </c>
      <c r="D22" s="190" t="s">
        <v>126</v>
      </c>
      <c r="E22" s="191">
        <v>1249971.51</v>
      </c>
      <c r="F22" s="191">
        <v>390093.2356770833</v>
      </c>
      <c r="G22" s="191" t="str">
        <f>E22/3</f>
        <v>416,657</v>
      </c>
      <c r="H22" s="116"/>
      <c r="I22" s="117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2.75" customHeight="1">
      <c r="A23" s="189" t="s">
        <v>151</v>
      </c>
      <c r="B23" s="262" t="s">
        <v>152</v>
      </c>
      <c r="C23" s="190" t="s">
        <v>153</v>
      </c>
      <c r="D23" s="190" t="s">
        <v>154</v>
      </c>
      <c r="E23" s="191">
        <v>223000.0</v>
      </c>
      <c r="F23" s="191">
        <v>75485.03666666667</v>
      </c>
      <c r="G23" s="191">
        <v>0.0</v>
      </c>
      <c r="H23" s="116"/>
      <c r="I23" s="117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25.5" customHeight="1">
      <c r="A24" s="386" t="s">
        <v>155</v>
      </c>
      <c r="B24" s="340" t="s">
        <v>156</v>
      </c>
      <c r="C24" s="340" t="s">
        <v>157</v>
      </c>
      <c r="D24" s="340" t="s">
        <v>158</v>
      </c>
      <c r="E24" s="343">
        <v>5478260.0</v>
      </c>
      <c r="F24" s="343">
        <v>1450000.0</v>
      </c>
      <c r="G24" s="343" t="str">
        <f>F24/12*2</f>
        <v>241,667</v>
      </c>
      <c r="H24" s="116"/>
      <c r="I24" s="117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2.75" customHeight="1">
      <c r="A25" s="338" t="s">
        <v>159</v>
      </c>
      <c r="B25" s="340" t="s">
        <v>160</v>
      </c>
      <c r="C25" s="340" t="s">
        <v>161</v>
      </c>
      <c r="D25" s="340" t="s">
        <v>162</v>
      </c>
      <c r="E25" s="343">
        <v>538698.0</v>
      </c>
      <c r="F25" s="343" t="str">
        <f>E25/30*12</f>
        <v>215,479</v>
      </c>
      <c r="G25" s="343" t="str">
        <f>E25/30*5</f>
        <v>89,783</v>
      </c>
      <c r="H25" s="116"/>
      <c r="I25" s="117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2.75" customHeight="1">
      <c r="A26" s="338" t="s">
        <v>163</v>
      </c>
      <c r="B26" s="339" t="s">
        <v>164</v>
      </c>
      <c r="C26" s="340" t="s">
        <v>165</v>
      </c>
      <c r="D26" s="340" t="s">
        <v>162</v>
      </c>
      <c r="E26" s="341">
        <v>25000.0</v>
      </c>
      <c r="F26" s="343">
        <v>0.0</v>
      </c>
      <c r="G26" s="343" t="str">
        <f t="shared" ref="G26:G27" si="7">E26-F26</f>
        <v>25,000</v>
      </c>
      <c r="H26" s="116"/>
      <c r="I26" s="117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2.75" customHeight="1">
      <c r="A27" s="389" t="s">
        <v>163</v>
      </c>
      <c r="B27" s="340" t="s">
        <v>166</v>
      </c>
      <c r="C27" s="340" t="s">
        <v>167</v>
      </c>
      <c r="D27" s="340" t="s">
        <v>168</v>
      </c>
      <c r="E27" s="343">
        <v>331650.0</v>
      </c>
      <c r="F27" s="343" t="str">
        <f>E27/24*12</f>
        <v>165,825</v>
      </c>
      <c r="G27" s="343" t="str">
        <f t="shared" si="7"/>
        <v>165,825</v>
      </c>
      <c r="H27" s="116"/>
      <c r="I27" s="117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2.75" customHeight="1">
      <c r="A28" s="198" t="s">
        <v>135</v>
      </c>
      <c r="B28" s="199" t="s">
        <v>169</v>
      </c>
      <c r="C28" s="200" t="s">
        <v>170</v>
      </c>
      <c r="D28" s="200" t="s">
        <v>171</v>
      </c>
      <c r="E28" s="202">
        <v>204376.0</v>
      </c>
      <c r="F28" s="202">
        <v>63000.0</v>
      </c>
      <c r="G28" s="202">
        <v>0.0</v>
      </c>
      <c r="H28" s="116"/>
      <c r="I28" s="117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2.75" customHeight="1">
      <c r="A29" s="198" t="s">
        <v>135</v>
      </c>
      <c r="B29" s="200" t="s">
        <v>172</v>
      </c>
      <c r="C29" s="200" t="s">
        <v>173</v>
      </c>
      <c r="D29" s="200" t="s">
        <v>174</v>
      </c>
      <c r="E29" s="202">
        <v>579115.0</v>
      </c>
      <c r="F29" s="202">
        <v>127982.0</v>
      </c>
      <c r="G29" s="202">
        <v>42000.0</v>
      </c>
      <c r="H29" s="116"/>
      <c r="I29" s="11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2.75" customHeight="1">
      <c r="A30" s="198" t="s">
        <v>175</v>
      </c>
      <c r="B30" s="200" t="s">
        <v>176</v>
      </c>
      <c r="C30" s="200" t="s">
        <v>177</v>
      </c>
      <c r="D30" s="200" t="s">
        <v>158</v>
      </c>
      <c r="E30" s="202">
        <v>492303.0</v>
      </c>
      <c r="F30" s="202">
        <v>205897.0</v>
      </c>
      <c r="G30" s="202">
        <v>0.0</v>
      </c>
      <c r="H30" s="116"/>
      <c r="I30" s="11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2.75" customHeight="1">
      <c r="A31" s="198" t="s">
        <v>178</v>
      </c>
      <c r="B31" s="199" t="s">
        <v>179</v>
      </c>
      <c r="C31" s="200" t="s">
        <v>180</v>
      </c>
      <c r="D31" s="200" t="s">
        <v>181</v>
      </c>
      <c r="E31" s="202">
        <v>502947.0</v>
      </c>
      <c r="F31" s="202">
        <v>184503.0</v>
      </c>
      <c r="G31" s="202">
        <v>0.0</v>
      </c>
      <c r="H31" s="116"/>
      <c r="I31" s="11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2.75" customHeight="1">
      <c r="A32" s="345" t="s">
        <v>182</v>
      </c>
      <c r="B32" s="391" t="s">
        <v>183</v>
      </c>
      <c r="C32" s="346" t="s">
        <v>184</v>
      </c>
      <c r="D32" s="346" t="s">
        <v>185</v>
      </c>
      <c r="E32" s="383" t="str">
        <f>613995/1.18*75%</f>
        <v>390,251</v>
      </c>
      <c r="F32" s="383">
        <v>0.0</v>
      </c>
      <c r="G32" s="383">
        <v>0.0</v>
      </c>
      <c r="H32" s="116"/>
      <c r="I32" s="11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2.75" customHeight="1">
      <c r="A33" s="345" t="s">
        <v>74</v>
      </c>
      <c r="B33" s="346" t="s">
        <v>103</v>
      </c>
      <c r="C33" s="346" t="s">
        <v>112</v>
      </c>
      <c r="D33" s="346" t="s">
        <v>80</v>
      </c>
      <c r="E33" s="383" t="str">
        <f>739992.04/1.18</f>
        <v>627,112</v>
      </c>
      <c r="F33" s="383">
        <v>277681.0</v>
      </c>
      <c r="G33" s="383">
        <v>0.0</v>
      </c>
      <c r="H33" s="116"/>
      <c r="I33" s="11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2.75" customHeight="1">
      <c r="A34" s="345" t="s">
        <v>74</v>
      </c>
      <c r="B34" s="346" t="s">
        <v>115</v>
      </c>
      <c r="C34" s="346" t="s">
        <v>116</v>
      </c>
      <c r="D34" s="346" t="s">
        <v>117</v>
      </c>
      <c r="E34" s="383">
        <v>83850.0</v>
      </c>
      <c r="F34" s="383">
        <v>29050.0</v>
      </c>
      <c r="G34" s="383">
        <v>0.0</v>
      </c>
      <c r="H34" s="116"/>
      <c r="I34" s="117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2.75" customHeight="1">
      <c r="A35" s="345" t="s">
        <v>74</v>
      </c>
      <c r="B35" s="346" t="s">
        <v>148</v>
      </c>
      <c r="C35" s="346" t="s">
        <v>149</v>
      </c>
      <c r="D35" s="346" t="s">
        <v>80</v>
      </c>
      <c r="E35" s="383">
        <v>295135.0</v>
      </c>
      <c r="F35" s="383">
        <v>150391.0</v>
      </c>
      <c r="G35" s="383" t="str">
        <f>E35-F35</f>
        <v>144,744</v>
      </c>
      <c r="H35" s="116"/>
      <c r="I35" s="117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2.75" customHeight="1">
      <c r="A36" s="203"/>
      <c r="B36" s="204"/>
      <c r="C36" s="204"/>
      <c r="D36" s="205" t="s">
        <v>186</v>
      </c>
      <c r="E36" s="253" t="str">
        <f t="shared" ref="E36:G36" si="8">SUM(E22:E35)</f>
        <v>11,021,668</v>
      </c>
      <c r="F36" s="253" t="str">
        <f t="shared" si="8"/>
        <v>3,335,386</v>
      </c>
      <c r="G36" s="253" t="str">
        <f t="shared" si="8"/>
        <v>1,125,676</v>
      </c>
      <c r="H36" s="255" t="str">
        <f t="shared" ref="H36:I36" si="9">E36/E152*100</f>
        <v>  27.69 </v>
      </c>
      <c r="I36" s="257" t="str">
        <f t="shared" si="9"/>
        <v>  25.61 </v>
      </c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</row>
    <row r="37" ht="12.75" customHeight="1">
      <c r="A37" s="203"/>
      <c r="B37" s="204"/>
      <c r="C37" s="204"/>
      <c r="D37" s="204"/>
      <c r="E37" s="258"/>
      <c r="F37" s="258"/>
      <c r="G37" s="258"/>
      <c r="H37" s="255"/>
      <c r="I37" s="257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</row>
    <row r="38" ht="25.5" customHeight="1">
      <c r="A38" s="189" t="s">
        <v>54</v>
      </c>
      <c r="B38" s="259" t="s">
        <v>187</v>
      </c>
      <c r="C38" s="190" t="s">
        <v>188</v>
      </c>
      <c r="D38" s="190" t="s">
        <v>189</v>
      </c>
      <c r="E38" s="191">
        <v>1687546.0</v>
      </c>
      <c r="F38" s="191">
        <v>341979.73197569925</v>
      </c>
      <c r="G38" s="191" t="str">
        <f>(12/36)*E38</f>
        <v>562,515</v>
      </c>
      <c r="H38" s="116"/>
      <c r="I38" s="117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2.75" customHeight="1">
      <c r="A39" s="189" t="s">
        <v>93</v>
      </c>
      <c r="B39" s="262" t="s">
        <v>190</v>
      </c>
      <c r="C39" s="190" t="s">
        <v>191</v>
      </c>
      <c r="D39" s="190" t="s">
        <v>189</v>
      </c>
      <c r="E39" s="196">
        <v>990265.0</v>
      </c>
      <c r="F39" s="191">
        <v>313056.0705</v>
      </c>
      <c r="G39" s="191">
        <v>98662.0</v>
      </c>
      <c r="H39" s="116"/>
      <c r="I39" s="117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2.75" customHeight="1">
      <c r="A40" s="189" t="s">
        <v>93</v>
      </c>
      <c r="B40" s="262" t="s">
        <v>192</v>
      </c>
      <c r="C40" s="190" t="s">
        <v>193</v>
      </c>
      <c r="D40" s="190" t="s">
        <v>194</v>
      </c>
      <c r="E40" s="196">
        <v>1322180.0</v>
      </c>
      <c r="F40" s="191">
        <v>379597.6949803528</v>
      </c>
      <c r="G40" s="191" t="str">
        <f>E40/2</f>
        <v>661,090</v>
      </c>
      <c r="H40" s="116"/>
      <c r="I40" s="117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2.75" customHeight="1">
      <c r="A41" s="189" t="s">
        <v>195</v>
      </c>
      <c r="B41" s="262" t="s">
        <v>196</v>
      </c>
      <c r="C41" s="190" t="s">
        <v>197</v>
      </c>
      <c r="D41" s="190" t="s">
        <v>198</v>
      </c>
      <c r="E41" s="191">
        <v>794831.0</v>
      </c>
      <c r="F41" s="191">
        <v>222351.09</v>
      </c>
      <c r="G41" s="191" t="str">
        <f>F41</f>
        <v>222,351</v>
      </c>
      <c r="H41" s="116"/>
      <c r="I41" s="11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2.75" customHeight="1">
      <c r="A42" s="189" t="s">
        <v>199</v>
      </c>
      <c r="B42" s="262" t="s">
        <v>200</v>
      </c>
      <c r="C42" s="190" t="s">
        <v>201</v>
      </c>
      <c r="D42" s="190" t="s">
        <v>202</v>
      </c>
      <c r="E42" s="191">
        <v>251749.0</v>
      </c>
      <c r="F42" s="191">
        <v>199505.50249999997</v>
      </c>
      <c r="G42" s="191" t="str">
        <f>E42-F42</f>
        <v>52,243</v>
      </c>
      <c r="H42" s="116"/>
      <c r="I42" s="11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2.75" customHeight="1">
      <c r="A43" s="397" t="s">
        <v>203</v>
      </c>
      <c r="B43" s="399" t="s">
        <v>145</v>
      </c>
      <c r="C43" s="399" t="s">
        <v>146</v>
      </c>
      <c r="D43" s="399" t="s">
        <v>147</v>
      </c>
      <c r="E43" s="400">
        <v>170270.0</v>
      </c>
      <c r="F43" s="400">
        <v>101510.0</v>
      </c>
      <c r="G43" s="400">
        <v>101510.0</v>
      </c>
      <c r="H43" s="116"/>
      <c r="I43" s="117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2.75" customHeight="1">
      <c r="A44" s="397" t="s">
        <v>204</v>
      </c>
      <c r="B44" s="439" t="s">
        <v>205</v>
      </c>
      <c r="C44" s="399" t="s">
        <v>227</v>
      </c>
      <c r="D44" s="399" t="s">
        <v>147</v>
      </c>
      <c r="E44" s="400">
        <v>304662.5</v>
      </c>
      <c r="F44" s="400">
        <v>88037.0</v>
      </c>
      <c r="G44" s="400">
        <v>88097.0</v>
      </c>
      <c r="H44" s="116"/>
      <c r="I44" s="117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2.75" customHeight="1">
      <c r="A45" s="487" t="s">
        <v>228</v>
      </c>
      <c r="B45" s="439" t="s">
        <v>239</v>
      </c>
      <c r="C45" s="399" t="s">
        <v>240</v>
      </c>
      <c r="D45" s="399" t="s">
        <v>147</v>
      </c>
      <c r="E45" s="400">
        <v>408318.98</v>
      </c>
      <c r="F45" s="400">
        <v>106873.0</v>
      </c>
      <c r="G45" s="400">
        <v>106873.0</v>
      </c>
      <c r="H45" s="116"/>
      <c r="I45" s="117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2.75" customHeight="1">
      <c r="A46" s="397" t="s">
        <v>241</v>
      </c>
      <c r="B46" s="399" t="s">
        <v>242</v>
      </c>
      <c r="C46" s="399" t="s">
        <v>243</v>
      </c>
      <c r="D46" s="399" t="s">
        <v>147</v>
      </c>
      <c r="E46" s="400">
        <v>173801.2625</v>
      </c>
      <c r="F46" s="400">
        <v>51512.0</v>
      </c>
      <c r="G46" s="400">
        <v>51512.0</v>
      </c>
      <c r="H46" s="116"/>
      <c r="I46" s="11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2.75" customHeight="1">
      <c r="A47" s="487" t="s">
        <v>244</v>
      </c>
      <c r="B47" s="439" t="s">
        <v>242</v>
      </c>
      <c r="C47" s="399" t="s">
        <v>243</v>
      </c>
      <c r="D47" s="399" t="s">
        <v>147</v>
      </c>
      <c r="E47" s="400">
        <v>173801.0</v>
      </c>
      <c r="F47" s="400">
        <v>33902.0</v>
      </c>
      <c r="G47" s="400">
        <v>33902.0</v>
      </c>
      <c r="H47" s="116"/>
      <c r="I47" s="11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2.75" customHeight="1">
      <c r="A48" s="198" t="s">
        <v>135</v>
      </c>
      <c r="B48" s="200" t="s">
        <v>245</v>
      </c>
      <c r="C48" s="200" t="s">
        <v>246</v>
      </c>
      <c r="D48" s="200" t="s">
        <v>189</v>
      </c>
      <c r="E48" s="202">
        <v>24745.0</v>
      </c>
      <c r="F48" s="202">
        <v>12373.0</v>
      </c>
      <c r="G48" s="200">
        <v>0.0</v>
      </c>
      <c r="H48" s="116"/>
      <c r="I48" s="11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25.5" customHeight="1">
      <c r="A49" s="487" t="s">
        <v>247</v>
      </c>
      <c r="B49" s="399" t="s">
        <v>248</v>
      </c>
      <c r="C49" s="399" t="s">
        <v>249</v>
      </c>
      <c r="D49" s="399" t="s">
        <v>147</v>
      </c>
      <c r="E49" s="400">
        <v>136927.88998311257</v>
      </c>
      <c r="F49" s="400">
        <v>54765.0</v>
      </c>
      <c r="G49" s="400">
        <v>54765.0</v>
      </c>
      <c r="H49" s="116"/>
      <c r="I49" s="11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2.75" customHeight="1">
      <c r="A50" s="203"/>
      <c r="B50" s="333"/>
      <c r="C50" s="39"/>
      <c r="D50" s="41" t="s">
        <v>189</v>
      </c>
      <c r="E50" s="335" t="str">
        <f t="shared" ref="E50:G50" si="10">SUM(E38:E49)</f>
        <v>6,439,098</v>
      </c>
      <c r="F50" s="335" t="str">
        <f t="shared" si="10"/>
        <v>1,905,462</v>
      </c>
      <c r="G50" s="335" t="str">
        <f t="shared" si="10"/>
        <v>2,033,521</v>
      </c>
      <c r="H50" s="255" t="str">
        <f t="shared" ref="H50:I50" si="11">E50/E152*100</f>
        <v>  16.18 </v>
      </c>
      <c r="I50" s="257" t="str">
        <f t="shared" si="11"/>
        <v>  14.63 </v>
      </c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</row>
    <row r="51" ht="12.75" customHeight="1">
      <c r="A51" s="203"/>
      <c r="B51" s="333"/>
      <c r="C51" s="39"/>
      <c r="D51" s="39"/>
      <c r="E51" s="523"/>
      <c r="F51" s="523"/>
      <c r="G51" s="523"/>
      <c r="H51" s="255"/>
      <c r="I51" s="257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</row>
    <row r="52" ht="12.75" customHeight="1">
      <c r="A52" s="338" t="s">
        <v>159</v>
      </c>
      <c r="B52" s="340" t="s">
        <v>285</v>
      </c>
      <c r="C52" s="524" t="s">
        <v>286</v>
      </c>
      <c r="D52" s="340" t="s">
        <v>287</v>
      </c>
      <c r="E52" s="343">
        <v>510901.0</v>
      </c>
      <c r="F52" s="343">
        <v>100000.0</v>
      </c>
      <c r="G52" s="343" t="str">
        <f>100000/12*3</f>
        <v>25,000</v>
      </c>
      <c r="H52" s="116"/>
      <c r="I52" s="117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2.75" customHeight="1">
      <c r="A53" s="338" t="s">
        <v>159</v>
      </c>
      <c r="B53" s="340" t="s">
        <v>288</v>
      </c>
      <c r="C53" s="545"/>
      <c r="D53" s="340" t="s">
        <v>287</v>
      </c>
      <c r="E53" s="343">
        <v>18711.0</v>
      </c>
      <c r="F53" s="343" t="str">
        <f>E53</f>
        <v>18,711</v>
      </c>
      <c r="G53" s="343">
        <v>0.0</v>
      </c>
      <c r="H53" s="116"/>
      <c r="I53" s="117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2.75" customHeight="1">
      <c r="A54" s="338" t="s">
        <v>159</v>
      </c>
      <c r="B54" s="340" t="s">
        <v>301</v>
      </c>
      <c r="C54" s="547" t="s">
        <v>302</v>
      </c>
      <c r="D54" s="340" t="s">
        <v>287</v>
      </c>
      <c r="E54" s="343" t="str">
        <f>399988-40000</f>
        <v>359,988</v>
      </c>
      <c r="F54" s="343" t="str">
        <f>(100000/12*3)+(50000/12*9)</f>
        <v>62,500</v>
      </c>
      <c r="G54" s="343" t="str">
        <f>50000/12*3</f>
        <v>12,500</v>
      </c>
      <c r="H54" s="116"/>
      <c r="I54" s="117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2.75" customHeight="1">
      <c r="A55" s="338" t="s">
        <v>159</v>
      </c>
      <c r="B55" s="340" t="s">
        <v>304</v>
      </c>
      <c r="C55" s="545"/>
      <c r="D55" s="340" t="s">
        <v>287</v>
      </c>
      <c r="E55" s="343">
        <v>64890.0</v>
      </c>
      <c r="F55" s="343" t="str">
        <f>E55/12*3</f>
        <v>16,223</v>
      </c>
      <c r="G55" s="343">
        <v>0.0</v>
      </c>
      <c r="H55" s="116"/>
      <c r="I55" s="11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2.75" customHeight="1">
      <c r="A56" s="338" t="s">
        <v>305</v>
      </c>
      <c r="B56" s="340" t="s">
        <v>306</v>
      </c>
      <c r="C56" s="340" t="s">
        <v>307</v>
      </c>
      <c r="D56" s="340" t="s">
        <v>287</v>
      </c>
      <c r="E56" s="343">
        <v>389998.0</v>
      </c>
      <c r="F56" s="343">
        <v>100000.0</v>
      </c>
      <c r="G56" s="343" t="str">
        <f>100000/12*3</f>
        <v>25,000</v>
      </c>
      <c r="H56" s="116"/>
      <c r="I56" s="117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2.75" customHeight="1">
      <c r="A57" s="198" t="s">
        <v>62</v>
      </c>
      <c r="B57" s="200" t="s">
        <v>232</v>
      </c>
      <c r="C57" s="200" t="s">
        <v>233</v>
      </c>
      <c r="D57" s="200" t="s">
        <v>308</v>
      </c>
      <c r="E57" s="202">
        <v>200000.0</v>
      </c>
      <c r="F57" s="202">
        <v>100000.0</v>
      </c>
      <c r="G57" s="202">
        <v>100000.0</v>
      </c>
      <c r="H57" s="116"/>
      <c r="I57" s="117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2.75" customHeight="1">
      <c r="A58" s="198" t="s">
        <v>62</v>
      </c>
      <c r="B58" s="200" t="s">
        <v>309</v>
      </c>
      <c r="C58" s="200" t="s">
        <v>310</v>
      </c>
      <c r="D58" s="200" t="s">
        <v>308</v>
      </c>
      <c r="E58" s="202">
        <v>300000.0</v>
      </c>
      <c r="F58" s="202">
        <v>89927.0</v>
      </c>
      <c r="G58" s="202">
        <v>0.0</v>
      </c>
      <c r="H58" s="116"/>
      <c r="I58" s="117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2.75" customHeight="1">
      <c r="A59" s="198" t="s">
        <v>135</v>
      </c>
      <c r="B59" s="200" t="s">
        <v>311</v>
      </c>
      <c r="C59" s="200" t="s">
        <v>312</v>
      </c>
      <c r="D59" s="200" t="s">
        <v>266</v>
      </c>
      <c r="E59" s="202">
        <v>16000.0</v>
      </c>
      <c r="F59" s="202">
        <v>13959.0</v>
      </c>
      <c r="G59" s="202">
        <v>0.0</v>
      </c>
      <c r="H59" s="116"/>
      <c r="I59" s="117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2.75" customHeight="1">
      <c r="A60" s="397" t="s">
        <v>204</v>
      </c>
      <c r="B60" s="439" t="s">
        <v>264</v>
      </c>
      <c r="C60" s="399" t="s">
        <v>265</v>
      </c>
      <c r="D60" s="399" t="s">
        <v>266</v>
      </c>
      <c r="E60" s="400" t="str">
        <f>F60</f>
        <v>23,693</v>
      </c>
      <c r="F60" s="400">
        <v>23693.0</v>
      </c>
      <c r="G60" s="400">
        <v>0.0</v>
      </c>
      <c r="H60" s="116"/>
      <c r="I60" s="11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2.75" customHeight="1">
      <c r="A61" s="198" t="s">
        <v>175</v>
      </c>
      <c r="B61" s="200" t="s">
        <v>303</v>
      </c>
      <c r="C61" s="200" t="s">
        <v>313</v>
      </c>
      <c r="D61" s="200" t="s">
        <v>266</v>
      </c>
      <c r="E61" s="202">
        <v>263361.0</v>
      </c>
      <c r="F61" s="202">
        <v>195168.0</v>
      </c>
      <c r="G61" s="202">
        <v>68862.0</v>
      </c>
      <c r="H61" s="116"/>
      <c r="I61" s="117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2.75" customHeight="1">
      <c r="A62" s="198" t="s">
        <v>314</v>
      </c>
      <c r="B62" s="579" t="s">
        <v>315</v>
      </c>
      <c r="C62" s="200" t="s">
        <v>335</v>
      </c>
      <c r="D62" s="200" t="s">
        <v>336</v>
      </c>
      <c r="E62" s="202">
        <v>70000.0</v>
      </c>
      <c r="F62" s="202">
        <v>33365.0</v>
      </c>
      <c r="G62" s="202">
        <v>0.0</v>
      </c>
      <c r="H62" s="116"/>
      <c r="I62" s="117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2.75" customHeight="1">
      <c r="A63" s="345" t="s">
        <v>332</v>
      </c>
      <c r="B63" s="346" t="s">
        <v>337</v>
      </c>
      <c r="C63" s="346" t="s">
        <v>338</v>
      </c>
      <c r="D63" s="346" t="s">
        <v>266</v>
      </c>
      <c r="E63" s="383">
        <v>75029.0</v>
      </c>
      <c r="F63" s="383">
        <v>75029.0</v>
      </c>
      <c r="G63" s="383">
        <v>0.0</v>
      </c>
      <c r="H63" s="116"/>
      <c r="I63" s="117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25.5" customHeight="1">
      <c r="A64" s="345" t="s">
        <v>339</v>
      </c>
      <c r="B64" s="346" t="s">
        <v>340</v>
      </c>
      <c r="C64" s="346" t="s">
        <v>341</v>
      </c>
      <c r="D64" s="346" t="s">
        <v>266</v>
      </c>
      <c r="E64" s="383">
        <v>299970.0</v>
      </c>
      <c r="F64" s="383">
        <v>160342.0</v>
      </c>
      <c r="G64" s="346">
        <v>139628.0</v>
      </c>
      <c r="H64" s="116"/>
      <c r="I64" s="11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2.75" customHeight="1">
      <c r="A65" s="604" t="s">
        <v>314</v>
      </c>
      <c r="B65" s="346" t="s">
        <v>350</v>
      </c>
      <c r="C65" s="346" t="s">
        <v>351</v>
      </c>
      <c r="D65" s="346" t="s">
        <v>266</v>
      </c>
      <c r="E65" s="383">
        <v>41800.0</v>
      </c>
      <c r="F65" s="383" t="str">
        <f>E65</f>
        <v>41,800</v>
      </c>
      <c r="G65" s="346">
        <v>0.0</v>
      </c>
      <c r="H65" s="116"/>
      <c r="I65" s="117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2.75" customHeight="1">
      <c r="A66" s="58"/>
      <c r="B66" s="58"/>
      <c r="C66" s="58"/>
      <c r="D66" s="605" t="s">
        <v>266</v>
      </c>
      <c r="E66" s="607" t="str">
        <f t="shared" ref="E66:G66" si="12">SUM(E52:E65)</f>
        <v>2,634,341</v>
      </c>
      <c r="F66" s="607" t="str">
        <f t="shared" si="12"/>
        <v>1,030,717</v>
      </c>
      <c r="G66" s="607" t="str">
        <f t="shared" si="12"/>
        <v>370,990</v>
      </c>
      <c r="H66" s="116" t="str">
        <f t="shared" ref="H66:I66" si="13">E66/E152*100</f>
        <v>  6.62 </v>
      </c>
      <c r="I66" s="117" t="str">
        <f t="shared" si="13"/>
        <v>  7.91 </v>
      </c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2.75" customHeight="1">
      <c r="A67" s="58"/>
      <c r="B67" s="58"/>
      <c r="C67" s="58"/>
      <c r="D67" s="605"/>
      <c r="E67" s="607"/>
      <c r="F67" s="607"/>
      <c r="G67" s="607"/>
      <c r="H67" s="116"/>
      <c r="I67" s="117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2.75" customHeight="1">
      <c r="A68" s="397" t="s">
        <v>72</v>
      </c>
      <c r="B68" s="610" t="s">
        <v>84</v>
      </c>
      <c r="C68" s="610" t="s">
        <v>85</v>
      </c>
      <c r="D68" s="610" t="s">
        <v>86</v>
      </c>
      <c r="E68" s="400">
        <v>104380.0</v>
      </c>
      <c r="F68" s="400">
        <v>48000.0</v>
      </c>
      <c r="G68" s="400" t="str">
        <f>E68-F68</f>
        <v>56,380</v>
      </c>
      <c r="H68" s="116"/>
      <c r="I68" s="117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2.75" customHeight="1">
      <c r="A69" s="397" t="s">
        <v>203</v>
      </c>
      <c r="B69" s="399" t="s">
        <v>278</v>
      </c>
      <c r="C69" s="399" t="s">
        <v>225</v>
      </c>
      <c r="D69" s="399" t="s">
        <v>279</v>
      </c>
      <c r="E69" s="400" t="str">
        <f>F69</f>
        <v>4,768</v>
      </c>
      <c r="F69" s="400">
        <v>4768.0</v>
      </c>
      <c r="G69" s="400">
        <v>0.0</v>
      </c>
      <c r="H69" s="116"/>
      <c r="I69" s="11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2.75" customHeight="1">
      <c r="A70" s="397" t="s">
        <v>203</v>
      </c>
      <c r="B70" s="399" t="s">
        <v>210</v>
      </c>
      <c r="C70" s="399" t="s">
        <v>225</v>
      </c>
      <c r="D70" s="399" t="s">
        <v>226</v>
      </c>
      <c r="E70" s="400">
        <v>9500.0</v>
      </c>
      <c r="F70" s="400">
        <v>9400.0</v>
      </c>
      <c r="G70" s="400">
        <v>0.0</v>
      </c>
      <c r="H70" s="116"/>
      <c r="I70" s="11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2.75" customHeight="1">
      <c r="A71" s="487" t="s">
        <v>294</v>
      </c>
      <c r="B71" s="399" t="s">
        <v>250</v>
      </c>
      <c r="C71" s="399" t="s">
        <v>251</v>
      </c>
      <c r="D71" s="399" t="s">
        <v>252</v>
      </c>
      <c r="E71" s="400" t="str">
        <f>50000+10000</f>
        <v>60,000</v>
      </c>
      <c r="F71" s="400">
        <v>61671.0</v>
      </c>
      <c r="G71" s="400">
        <v>0.0</v>
      </c>
      <c r="H71" s="116"/>
      <c r="I71" s="11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2.75" customHeight="1">
      <c r="A72" s="487" t="s">
        <v>294</v>
      </c>
      <c r="B72" s="399" t="s">
        <v>254</v>
      </c>
      <c r="C72" s="399" t="s">
        <v>255</v>
      </c>
      <c r="D72" s="399" t="s">
        <v>256</v>
      </c>
      <c r="E72" s="400" t="str">
        <f t="shared" ref="E72:E74" si="14">F72</f>
        <v>14,500</v>
      </c>
      <c r="F72" s="400">
        <v>14500.0</v>
      </c>
      <c r="G72" s="400">
        <v>0.0</v>
      </c>
      <c r="H72" s="116"/>
      <c r="I72" s="11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2.75" customHeight="1">
      <c r="A73" s="487" t="s">
        <v>294</v>
      </c>
      <c r="B73" s="399" t="s">
        <v>257</v>
      </c>
      <c r="C73" s="399" t="s">
        <v>255</v>
      </c>
      <c r="D73" s="399" t="s">
        <v>258</v>
      </c>
      <c r="E73" s="400" t="str">
        <f t="shared" si="14"/>
        <v>12,000</v>
      </c>
      <c r="F73" s="400">
        <v>12000.0</v>
      </c>
      <c r="G73" s="400">
        <v>0.0</v>
      </c>
      <c r="H73" s="116"/>
      <c r="I73" s="11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2.75" customHeight="1">
      <c r="A74" s="487" t="s">
        <v>294</v>
      </c>
      <c r="B74" s="399" t="s">
        <v>259</v>
      </c>
      <c r="C74" s="399" t="s">
        <v>255</v>
      </c>
      <c r="D74" s="399" t="s">
        <v>260</v>
      </c>
      <c r="E74" s="400" t="str">
        <f t="shared" si="14"/>
        <v>10,000</v>
      </c>
      <c r="F74" s="400">
        <v>10000.0</v>
      </c>
      <c r="G74" s="400">
        <v>0.0</v>
      </c>
      <c r="H74" s="116"/>
      <c r="I74" s="11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2.75" customHeight="1">
      <c r="A75" s="487" t="s">
        <v>294</v>
      </c>
      <c r="B75" s="399" t="s">
        <v>261</v>
      </c>
      <c r="C75" s="399" t="s">
        <v>262</v>
      </c>
      <c r="D75" s="399" t="s">
        <v>263</v>
      </c>
      <c r="E75" s="400">
        <v>44000.0</v>
      </c>
      <c r="F75" s="400">
        <v>7478.68</v>
      </c>
      <c r="G75" s="400">
        <v>0.0</v>
      </c>
      <c r="H75" s="116"/>
      <c r="I75" s="117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2.75" customHeight="1">
      <c r="A76" s="487" t="s">
        <v>294</v>
      </c>
      <c r="B76" s="399" t="s">
        <v>353</v>
      </c>
      <c r="C76" s="399" t="s">
        <v>68</v>
      </c>
      <c r="D76" s="399" t="s">
        <v>354</v>
      </c>
      <c r="E76" s="400">
        <v>21000.0</v>
      </c>
      <c r="F76" s="400" t="s">
        <v>355</v>
      </c>
      <c r="G76" s="400">
        <v>0.0</v>
      </c>
      <c r="H76" s="116"/>
      <c r="I76" s="117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2.75" customHeight="1">
      <c r="A77" s="189" t="s">
        <v>54</v>
      </c>
      <c r="B77" s="190" t="s">
        <v>206</v>
      </c>
      <c r="C77" s="190" t="s">
        <v>207</v>
      </c>
      <c r="D77" s="190" t="s">
        <v>208</v>
      </c>
      <c r="E77" s="191">
        <v>13535.84</v>
      </c>
      <c r="F77" s="191">
        <v>13535.84</v>
      </c>
      <c r="G77" s="191">
        <v>0.0</v>
      </c>
      <c r="H77" s="116"/>
      <c r="I77" s="117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2.75" customHeight="1">
      <c r="A78" s="487" t="s">
        <v>244</v>
      </c>
      <c r="B78" s="439" t="s">
        <v>275</v>
      </c>
      <c r="C78" s="399" t="s">
        <v>276</v>
      </c>
      <c r="D78" s="399" t="s">
        <v>277</v>
      </c>
      <c r="E78" s="400">
        <v>27448.0</v>
      </c>
      <c r="F78" s="400">
        <v>27448.0</v>
      </c>
      <c r="G78" s="400">
        <v>0.0</v>
      </c>
      <c r="H78" s="116"/>
      <c r="I78" s="117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2.75" customHeight="1">
      <c r="A79" s="487" t="s">
        <v>244</v>
      </c>
      <c r="B79" s="439" t="s">
        <v>267</v>
      </c>
      <c r="C79" s="399" t="s">
        <v>268</v>
      </c>
      <c r="D79" s="399" t="s">
        <v>269</v>
      </c>
      <c r="E79" s="400" t="str">
        <f>F79</f>
        <v>12,600</v>
      </c>
      <c r="F79" s="400" t="str">
        <f>7000+1000+4600</f>
        <v>12,600</v>
      </c>
      <c r="G79" s="400">
        <v>0.0</v>
      </c>
      <c r="H79" s="116"/>
      <c r="I79" s="117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2.75" customHeight="1">
      <c r="A80" s="487" t="s">
        <v>244</v>
      </c>
      <c r="B80" s="439" t="s">
        <v>272</v>
      </c>
      <c r="C80" s="399" t="s">
        <v>273</v>
      </c>
      <c r="D80" s="399" t="s">
        <v>274</v>
      </c>
      <c r="E80" s="400" t="str">
        <f>1.1*F80</f>
        <v>27,926</v>
      </c>
      <c r="F80" s="400">
        <v>25387.0</v>
      </c>
      <c r="G80" s="400">
        <v>0.0</v>
      </c>
      <c r="H80" s="116"/>
      <c r="I80" s="117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2.75" customHeight="1">
      <c r="A81" s="203"/>
      <c r="B81" s="39"/>
      <c r="C81" s="39"/>
      <c r="D81" s="41" t="s">
        <v>357</v>
      </c>
      <c r="E81" s="335" t="str">
        <f t="shared" ref="E81:G81" si="15">SUM(E68:E80)</f>
        <v>361,658</v>
      </c>
      <c r="F81" s="335" t="str">
        <f t="shared" si="15"/>
        <v>246,789</v>
      </c>
      <c r="G81" s="335" t="str">
        <f t="shared" si="15"/>
        <v>56,380</v>
      </c>
      <c r="H81" s="116" t="str">
        <f t="shared" ref="H81:I81" si="16">E81/E152*100</f>
        <v>  0.91 </v>
      </c>
      <c r="I81" s="117" t="str">
        <f t="shared" si="16"/>
        <v>  1.89 </v>
      </c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2.75" customHeight="1">
      <c r="A82" s="58"/>
      <c r="B82" s="58"/>
      <c r="C82" s="58"/>
      <c r="D82" s="58"/>
      <c r="E82" s="58"/>
      <c r="F82" s="58"/>
      <c r="G82" s="58"/>
      <c r="H82" s="116"/>
      <c r="I82" s="117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2.75" customHeight="1">
      <c r="A83" s="397" t="s">
        <v>72</v>
      </c>
      <c r="B83" s="610" t="s">
        <v>358</v>
      </c>
      <c r="C83" s="610" t="s">
        <v>68</v>
      </c>
      <c r="D83" s="610" t="s">
        <v>359</v>
      </c>
      <c r="E83" s="400">
        <v>100000.0</v>
      </c>
      <c r="F83" s="400">
        <v>0.0</v>
      </c>
      <c r="G83" s="400">
        <v>0.0</v>
      </c>
      <c r="H83" s="116"/>
      <c r="I83" s="117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2.75" customHeight="1">
      <c r="A84" s="487" t="s">
        <v>244</v>
      </c>
      <c r="B84" s="439" t="s">
        <v>270</v>
      </c>
      <c r="C84" s="399" t="s">
        <v>268</v>
      </c>
      <c r="D84" s="399" t="s">
        <v>271</v>
      </c>
      <c r="E84" s="400">
        <v>10927.0</v>
      </c>
      <c r="F84" s="400">
        <v>10927.0</v>
      </c>
      <c r="G84" s="400">
        <v>0.0</v>
      </c>
      <c r="H84" s="116"/>
      <c r="I84" s="117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2.75" customHeight="1">
      <c r="A85" s="397" t="s">
        <v>72</v>
      </c>
      <c r="B85" s="610" t="s">
        <v>78</v>
      </c>
      <c r="C85" s="610" t="s">
        <v>79</v>
      </c>
      <c r="D85" s="610" t="s">
        <v>80</v>
      </c>
      <c r="E85" s="400">
        <v>60000.0</v>
      </c>
      <c r="F85" s="400">
        <v>18700.0</v>
      </c>
      <c r="G85" s="400">
        <v>0.0</v>
      </c>
      <c r="H85" s="116"/>
      <c r="I85" s="117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2.75" customHeight="1">
      <c r="A86" s="41"/>
      <c r="B86" s="645"/>
      <c r="C86" s="645"/>
      <c r="D86" s="646" t="s">
        <v>368</v>
      </c>
      <c r="E86" s="335" t="str">
        <f t="shared" ref="E86:G86" si="17">SUM(E83:E85)</f>
        <v>170,927</v>
      </c>
      <c r="F86" s="335" t="str">
        <f t="shared" si="17"/>
        <v>29,627</v>
      </c>
      <c r="G86" s="335" t="str">
        <f t="shared" si="17"/>
        <v>0</v>
      </c>
      <c r="H86" s="255" t="str">
        <f t="shared" ref="H86:I86" si="18">E86/E152*100</f>
        <v>  0.43 </v>
      </c>
      <c r="I86" s="257" t="str">
        <f t="shared" si="18"/>
        <v>  0.23 </v>
      </c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</row>
    <row r="87" ht="12.75" customHeight="1">
      <c r="A87" s="203"/>
      <c r="B87" s="39"/>
      <c r="C87" s="39"/>
      <c r="D87" s="41"/>
      <c r="E87" s="335"/>
      <c r="F87" s="335"/>
      <c r="G87" s="335"/>
      <c r="H87" s="116"/>
      <c r="I87" s="117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25.5" customHeight="1">
      <c r="A88" s="198" t="s">
        <v>175</v>
      </c>
      <c r="B88" s="199" t="s">
        <v>369</v>
      </c>
      <c r="C88" s="200" t="s">
        <v>370</v>
      </c>
      <c r="D88" s="200" t="s">
        <v>371</v>
      </c>
      <c r="E88" s="202">
        <v>334386.0</v>
      </c>
      <c r="F88" s="202">
        <v>228041.0</v>
      </c>
      <c r="G88" s="202">
        <v>0.0</v>
      </c>
      <c r="H88" s="116"/>
      <c r="I88" s="117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2.75" customHeight="1">
      <c r="A89" s="58"/>
      <c r="B89" s="58"/>
      <c r="C89" s="58"/>
      <c r="D89" s="605" t="s">
        <v>372</v>
      </c>
      <c r="E89" s="607" t="str">
        <f t="shared" ref="E89:G89" si="19">E88</f>
        <v>334,386</v>
      </c>
      <c r="F89" s="607" t="str">
        <f t="shared" si="19"/>
        <v>228,041</v>
      </c>
      <c r="G89" s="607" t="str">
        <f t="shared" si="19"/>
        <v>0</v>
      </c>
      <c r="H89" s="116" t="str">
        <f t="shared" ref="H89:I89" si="20">E89/E152*100</f>
        <v>  0.84 </v>
      </c>
      <c r="I89" s="117" t="str">
        <f t="shared" si="20"/>
        <v>  1.75 </v>
      </c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2.75" customHeight="1">
      <c r="A90" s="203"/>
      <c r="B90" s="39"/>
      <c r="C90" s="39"/>
      <c r="D90" s="41"/>
      <c r="E90" s="335"/>
      <c r="F90" s="335"/>
      <c r="G90" s="335"/>
      <c r="H90" s="255"/>
      <c r="I90" s="257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</row>
    <row r="91" ht="12.75" customHeight="1">
      <c r="A91" s="487" t="s">
        <v>228</v>
      </c>
      <c r="B91" s="399" t="s">
        <v>373</v>
      </c>
      <c r="C91" s="650" t="s">
        <v>374</v>
      </c>
      <c r="D91" s="399" t="s">
        <v>375</v>
      </c>
      <c r="E91" s="651">
        <v>12179.0</v>
      </c>
      <c r="F91" s="400">
        <v>12179.0</v>
      </c>
      <c r="G91" s="400">
        <v>0.0</v>
      </c>
      <c r="H91" s="116"/>
      <c r="I91" s="117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38.25" customHeight="1">
      <c r="A92" s="487" t="s">
        <v>294</v>
      </c>
      <c r="B92" s="399" t="s">
        <v>376</v>
      </c>
      <c r="C92" s="399" t="s">
        <v>68</v>
      </c>
      <c r="D92" s="399" t="s">
        <v>324</v>
      </c>
      <c r="E92" s="400">
        <v>14842.0</v>
      </c>
      <c r="F92" s="400">
        <v>2827.0</v>
      </c>
      <c r="G92" s="400">
        <v>12015.0</v>
      </c>
      <c r="H92" s="116"/>
      <c r="I92" s="117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2.75" customHeight="1">
      <c r="A93" s="198" t="s">
        <v>135</v>
      </c>
      <c r="B93" s="200" t="s">
        <v>377</v>
      </c>
      <c r="C93" s="200" t="s">
        <v>378</v>
      </c>
      <c r="D93" s="200" t="s">
        <v>379</v>
      </c>
      <c r="E93" s="202">
        <v>4300.0</v>
      </c>
      <c r="F93" s="202">
        <v>3768.0</v>
      </c>
      <c r="G93" s="200">
        <v>0.0</v>
      </c>
      <c r="H93" s="116"/>
      <c r="I93" s="117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2.75" customHeight="1">
      <c r="A94" s="198" t="s">
        <v>178</v>
      </c>
      <c r="B94" s="199" t="s">
        <v>380</v>
      </c>
      <c r="C94" s="200" t="s">
        <v>381</v>
      </c>
      <c r="D94" s="200" t="s">
        <v>382</v>
      </c>
      <c r="E94" s="202">
        <v>229118.0</v>
      </c>
      <c r="F94" s="202">
        <v>130199.0</v>
      </c>
      <c r="G94" s="202">
        <v>0.0</v>
      </c>
      <c r="H94" s="116"/>
      <c r="I94" s="117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2.75" customHeight="1">
      <c r="A95" s="58"/>
      <c r="B95" s="58"/>
      <c r="C95" s="58"/>
      <c r="D95" s="605" t="s">
        <v>383</v>
      </c>
      <c r="E95" s="607" t="str">
        <f t="shared" ref="E95:G95" si="21">SUM(E91:E94)</f>
        <v>260,439</v>
      </c>
      <c r="F95" s="607" t="str">
        <f t="shared" si="21"/>
        <v>148,973</v>
      </c>
      <c r="G95" s="607" t="str">
        <f t="shared" si="21"/>
        <v>12,015</v>
      </c>
      <c r="H95" s="116" t="str">
        <f t="shared" ref="H95:I95" si="22">E95/E152*100</f>
        <v>  0.65 </v>
      </c>
      <c r="I95" s="117" t="str">
        <f t="shared" si="22"/>
        <v>  1.14 </v>
      </c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2.75" customHeight="1">
      <c r="A96" s="58"/>
      <c r="B96" s="58"/>
      <c r="C96" s="58"/>
      <c r="D96" s="58"/>
      <c r="E96" s="58"/>
      <c r="F96" s="58"/>
      <c r="G96" s="58"/>
      <c r="H96" s="116"/>
      <c r="I96" s="117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2.75" customHeight="1">
      <c r="A97" s="338" t="s">
        <v>131</v>
      </c>
      <c r="B97" s="339" t="s">
        <v>384</v>
      </c>
      <c r="C97" s="340" t="s">
        <v>385</v>
      </c>
      <c r="D97" s="340" t="s">
        <v>386</v>
      </c>
      <c r="E97" s="341">
        <v>69775.0</v>
      </c>
      <c r="F97" s="343" t="str">
        <f t="shared" ref="F97:F98" si="23">E97/12*7</f>
        <v>40,702</v>
      </c>
      <c r="G97" s="343" t="str">
        <f t="shared" ref="G97:G98" si="24">E97-F97</f>
        <v>29,073</v>
      </c>
      <c r="H97" s="116"/>
      <c r="I97" s="11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2.75" customHeight="1">
      <c r="A98" s="338" t="s">
        <v>131</v>
      </c>
      <c r="B98" s="339" t="s">
        <v>367</v>
      </c>
      <c r="C98" s="340" t="s">
        <v>387</v>
      </c>
      <c r="D98" s="340" t="s">
        <v>386</v>
      </c>
      <c r="E98" s="341">
        <v>69775.0</v>
      </c>
      <c r="F98" s="343" t="str">
        <f t="shared" si="23"/>
        <v>40,702</v>
      </c>
      <c r="G98" s="343" t="str">
        <f t="shared" si="24"/>
        <v>29,073</v>
      </c>
      <c r="H98" s="116"/>
      <c r="I98" s="117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2.75" customHeight="1">
      <c r="A99" s="58"/>
      <c r="B99" s="58"/>
      <c r="C99" s="58"/>
      <c r="D99" s="605" t="s">
        <v>386</v>
      </c>
      <c r="E99" s="607" t="str">
        <f t="shared" ref="E99:G99" si="25">SUM(E97:E98)</f>
        <v>139,550</v>
      </c>
      <c r="F99" s="607" t="str">
        <f t="shared" si="25"/>
        <v>81,404</v>
      </c>
      <c r="G99" s="607" t="str">
        <f t="shared" si="25"/>
        <v>58,146</v>
      </c>
      <c r="H99" s="116" t="str">
        <f t="shared" ref="H99:I99" si="26">E99/E152*100</f>
        <v>  0.35 </v>
      </c>
      <c r="I99" s="117" t="str">
        <f t="shared" si="26"/>
        <v>  0.62 </v>
      </c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2.75" customHeight="1">
      <c r="A100" s="58"/>
      <c r="B100" s="58"/>
      <c r="C100" s="58"/>
      <c r="D100" s="58"/>
      <c r="E100" s="58"/>
      <c r="F100" s="58"/>
      <c r="G100" s="58"/>
      <c r="H100" s="116"/>
      <c r="I100" s="117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25.5" customHeight="1">
      <c r="A101" s="198" t="s">
        <v>178</v>
      </c>
      <c r="B101" s="579" t="s">
        <v>390</v>
      </c>
      <c r="C101" s="200" t="s">
        <v>391</v>
      </c>
      <c r="D101" s="200" t="s">
        <v>392</v>
      </c>
      <c r="E101" s="202">
        <v>71464.0</v>
      </c>
      <c r="F101" s="202">
        <v>17098.0</v>
      </c>
      <c r="G101" s="202">
        <v>0.0</v>
      </c>
      <c r="H101" s="116"/>
      <c r="I101" s="117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2.75" customHeight="1">
      <c r="A102" s="198" t="s">
        <v>135</v>
      </c>
      <c r="B102" s="200" t="s">
        <v>238</v>
      </c>
      <c r="C102" s="200" t="s">
        <v>289</v>
      </c>
      <c r="D102" s="200" t="s">
        <v>290</v>
      </c>
      <c r="E102" s="202">
        <v>32000.0</v>
      </c>
      <c r="F102" s="202">
        <v>14594.0</v>
      </c>
      <c r="G102" s="202">
        <v>14594.0</v>
      </c>
      <c r="H102" s="116"/>
      <c r="I102" s="117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2.75" customHeight="1">
      <c r="A103" s="198" t="s">
        <v>175</v>
      </c>
      <c r="B103" s="200" t="s">
        <v>342</v>
      </c>
      <c r="C103" s="200" t="s">
        <v>344</v>
      </c>
      <c r="D103" s="199" t="s">
        <v>393</v>
      </c>
      <c r="E103" s="202">
        <v>54000.0</v>
      </c>
      <c r="F103" s="202">
        <v>40000.0</v>
      </c>
      <c r="G103" s="202">
        <v>14000.0</v>
      </c>
      <c r="H103" s="116"/>
      <c r="I103" s="117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2.75" customHeight="1">
      <c r="A104" s="658" t="s">
        <v>93</v>
      </c>
      <c r="B104" s="262" t="s">
        <v>394</v>
      </c>
      <c r="C104" s="190" t="s">
        <v>395</v>
      </c>
      <c r="D104" s="190" t="s">
        <v>396</v>
      </c>
      <c r="E104" s="196">
        <v>217391.0</v>
      </c>
      <c r="F104" s="191">
        <v>166800.19</v>
      </c>
      <c r="G104" s="191">
        <v>0.0</v>
      </c>
      <c r="H104" s="116"/>
      <c r="I104" s="117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2.75" customHeight="1">
      <c r="A105" s="189" t="s">
        <v>397</v>
      </c>
      <c r="B105" s="262" t="s">
        <v>398</v>
      </c>
      <c r="C105" s="190" t="s">
        <v>399</v>
      </c>
      <c r="D105" s="190" t="s">
        <v>400</v>
      </c>
      <c r="E105" s="191">
        <v>91188.0</v>
      </c>
      <c r="F105" s="191">
        <v>30388.0</v>
      </c>
      <c r="G105" s="191">
        <v>0.0</v>
      </c>
      <c r="H105" s="116"/>
      <c r="I105" s="117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2.75" customHeight="1">
      <c r="A106" s="397" t="s">
        <v>72</v>
      </c>
      <c r="B106" s="399" t="s">
        <v>99</v>
      </c>
      <c r="C106" s="610" t="s">
        <v>68</v>
      </c>
      <c r="D106" s="610" t="s">
        <v>120</v>
      </c>
      <c r="E106" s="400">
        <v>450000.0</v>
      </c>
      <c r="F106" s="400">
        <v>37500.0</v>
      </c>
      <c r="G106" s="400">
        <v>150000.0</v>
      </c>
      <c r="H106" s="116"/>
      <c r="I106" s="117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2.75" customHeight="1">
      <c r="A107" s="41"/>
      <c r="B107" s="39"/>
      <c r="C107" s="645"/>
      <c r="D107" s="646" t="s">
        <v>401</v>
      </c>
      <c r="E107" s="335" t="str">
        <f t="shared" ref="E107:G107" si="27">SUM(E102:E106)</f>
        <v>844,579</v>
      </c>
      <c r="F107" s="335" t="str">
        <f t="shared" si="27"/>
        <v>289,282</v>
      </c>
      <c r="G107" s="335" t="str">
        <f t="shared" si="27"/>
        <v>178,594</v>
      </c>
      <c r="H107" s="255" t="str">
        <f t="shared" ref="H107:I107" si="28">E107/E152*100</f>
        <v>  2.12 </v>
      </c>
      <c r="I107" s="257" t="str">
        <f t="shared" si="28"/>
        <v>  2.22 </v>
      </c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</row>
    <row r="108" ht="12.75" customHeight="1">
      <c r="A108" s="58"/>
      <c r="B108" s="58"/>
      <c r="C108" s="58"/>
      <c r="D108" s="58"/>
      <c r="E108" s="58"/>
      <c r="F108" s="58"/>
      <c r="G108" s="58"/>
      <c r="H108" s="116"/>
      <c r="I108" s="117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2.75" customHeight="1">
      <c r="A109" s="658" t="s">
        <v>151</v>
      </c>
      <c r="B109" s="262" t="s">
        <v>405</v>
      </c>
      <c r="C109" s="190" t="s">
        <v>406</v>
      </c>
      <c r="D109" s="190" t="s">
        <v>407</v>
      </c>
      <c r="E109" s="191">
        <v>30530.62</v>
      </c>
      <c r="F109" s="191">
        <v>31116.119999999995</v>
      </c>
      <c r="G109" s="191">
        <v>0.0</v>
      </c>
      <c r="H109" s="116"/>
      <c r="I109" s="117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2.75" customHeight="1">
      <c r="A110" s="189" t="s">
        <v>59</v>
      </c>
      <c r="B110" s="190" t="s">
        <v>402</v>
      </c>
      <c r="C110" s="190" t="s">
        <v>403</v>
      </c>
      <c r="D110" s="190" t="s">
        <v>404</v>
      </c>
      <c r="E110" s="196">
        <v>275691.0</v>
      </c>
      <c r="F110" s="191">
        <v>97124.03</v>
      </c>
      <c r="G110" s="191" t="str">
        <f>F110</f>
        <v>97,124</v>
      </c>
      <c r="H110" s="116"/>
      <c r="I110" s="117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2.75" customHeight="1">
      <c r="A111" s="189" t="s">
        <v>59</v>
      </c>
      <c r="B111" s="190" t="s">
        <v>408</v>
      </c>
      <c r="C111" s="190" t="s">
        <v>409</v>
      </c>
      <c r="D111" s="190" t="s">
        <v>269</v>
      </c>
      <c r="E111" s="196">
        <v>30000.05</v>
      </c>
      <c r="F111" s="191">
        <v>30000.0</v>
      </c>
      <c r="G111" s="191">
        <v>0.0</v>
      </c>
      <c r="H111" s="116"/>
      <c r="I111" s="117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2.75" customHeight="1">
      <c r="A112" s="345" t="s">
        <v>102</v>
      </c>
      <c r="B112" s="346" t="s">
        <v>410</v>
      </c>
      <c r="C112" s="346" t="s">
        <v>411</v>
      </c>
      <c r="D112" s="346" t="s">
        <v>412</v>
      </c>
      <c r="E112" s="383" t="str">
        <f>49929/1.65</f>
        <v>30,260</v>
      </c>
      <c r="F112" s="383" t="str">
        <f>E112</f>
        <v>30,260</v>
      </c>
      <c r="G112" s="346">
        <v>0.0</v>
      </c>
      <c r="H112" s="116"/>
      <c r="I112" s="117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25.5" customHeight="1">
      <c r="A113" s="345" t="s">
        <v>182</v>
      </c>
      <c r="B113" s="391" t="s">
        <v>413</v>
      </c>
      <c r="C113" s="346" t="s">
        <v>414</v>
      </c>
      <c r="D113" s="346" t="s">
        <v>415</v>
      </c>
      <c r="E113" s="383" t="str">
        <f>12648+9996</f>
        <v>22,644</v>
      </c>
      <c r="F113" s="383">
        <v>11814.0</v>
      </c>
      <c r="G113" s="383">
        <v>0.0</v>
      </c>
      <c r="H113" s="116"/>
      <c r="I113" s="117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2.75" customHeight="1">
      <c r="A114" s="198" t="s">
        <v>175</v>
      </c>
      <c r="B114" s="200" t="s">
        <v>416</v>
      </c>
      <c r="C114" s="200" t="s">
        <v>417</v>
      </c>
      <c r="D114" s="200" t="s">
        <v>418</v>
      </c>
      <c r="E114" s="202">
        <v>41000.0</v>
      </c>
      <c r="F114" s="202">
        <v>41000.0</v>
      </c>
      <c r="G114" s="202">
        <v>0.0</v>
      </c>
      <c r="H114" s="116"/>
      <c r="I114" s="117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2.75" customHeight="1">
      <c r="A115" s="203"/>
      <c r="B115" s="204"/>
      <c r="C115" s="204"/>
      <c r="D115" s="205" t="s">
        <v>419</v>
      </c>
      <c r="E115" s="253" t="str">
        <f t="shared" ref="E115:G115" si="29">SUM(E109:E114)</f>
        <v>430,126</v>
      </c>
      <c r="F115" s="253" t="str">
        <f t="shared" si="29"/>
        <v>241,314</v>
      </c>
      <c r="G115" s="253" t="str">
        <f t="shared" si="29"/>
        <v>97,124</v>
      </c>
      <c r="H115" s="255" t="str">
        <f t="shared" ref="H115:I115" si="30">E115/E152*100</f>
        <v>  1.08 </v>
      </c>
      <c r="I115" s="257" t="str">
        <f t="shared" si="30"/>
        <v>  1.85 </v>
      </c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</row>
    <row r="116" ht="12.75" customHeight="1">
      <c r="A116" s="58"/>
      <c r="B116" s="58"/>
      <c r="C116" s="58"/>
      <c r="D116" s="58"/>
      <c r="E116" s="58"/>
      <c r="F116" s="58"/>
      <c r="G116" s="58"/>
      <c r="H116" s="116"/>
      <c r="I116" s="117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2.75" customHeight="1">
      <c r="A117" s="345" t="s">
        <v>74</v>
      </c>
      <c r="B117" s="346" t="s">
        <v>420</v>
      </c>
      <c r="C117" s="346" t="s">
        <v>421</v>
      </c>
      <c r="D117" s="346" t="s">
        <v>77</v>
      </c>
      <c r="E117" s="383" t="str">
        <f>153564+10047</f>
        <v>163,611</v>
      </c>
      <c r="F117" s="383" t="str">
        <f t="shared" ref="F117:F118" si="31">E117</f>
        <v>163,611</v>
      </c>
      <c r="G117" s="383">
        <v>0.0</v>
      </c>
      <c r="H117" s="116"/>
      <c r="I117" s="117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2.75" customHeight="1">
      <c r="A118" s="345" t="s">
        <v>332</v>
      </c>
      <c r="B118" s="346" t="s">
        <v>422</v>
      </c>
      <c r="C118" s="346" t="s">
        <v>338</v>
      </c>
      <c r="D118" s="346" t="s">
        <v>77</v>
      </c>
      <c r="E118" s="383" t="str">
        <f>93901+6143</f>
        <v>100,044</v>
      </c>
      <c r="F118" s="383" t="str">
        <f t="shared" si="31"/>
        <v>100,044</v>
      </c>
      <c r="G118" s="346">
        <v>0.0</v>
      </c>
      <c r="H118" s="116"/>
      <c r="I118" s="117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2.75" customHeight="1">
      <c r="A119" s="345" t="s">
        <v>423</v>
      </c>
      <c r="B119" s="346" t="s">
        <v>424</v>
      </c>
      <c r="C119" s="346" t="s">
        <v>425</v>
      </c>
      <c r="D119" s="346" t="s">
        <v>77</v>
      </c>
      <c r="E119" s="383">
        <v>21250.0</v>
      </c>
      <c r="F119" s="383">
        <v>21250.0</v>
      </c>
      <c r="G119" s="346">
        <v>0.0</v>
      </c>
      <c r="H119" s="116"/>
      <c r="I119" s="117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25.5" customHeight="1">
      <c r="A120" s="604" t="s">
        <v>426</v>
      </c>
      <c r="B120" s="346" t="s">
        <v>427</v>
      </c>
      <c r="C120" s="346" t="s">
        <v>351</v>
      </c>
      <c r="D120" s="346" t="s">
        <v>77</v>
      </c>
      <c r="E120" s="383">
        <v>21250.0</v>
      </c>
      <c r="F120" s="383">
        <v>21250.0</v>
      </c>
      <c r="G120" s="346">
        <v>0.0</v>
      </c>
      <c r="H120" s="116"/>
      <c r="I120" s="117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2.75" customHeight="1">
      <c r="A121" s="397" t="s">
        <v>241</v>
      </c>
      <c r="B121" s="399" t="s">
        <v>428</v>
      </c>
      <c r="C121" s="399" t="s">
        <v>429</v>
      </c>
      <c r="D121" s="399" t="s">
        <v>430</v>
      </c>
      <c r="E121" s="400" t="str">
        <f>F121+G121+7000</f>
        <v>233,579</v>
      </c>
      <c r="F121" s="400">
        <v>139079.0</v>
      </c>
      <c r="G121" s="400">
        <v>87500.0</v>
      </c>
      <c r="H121" s="116"/>
      <c r="I121" s="117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2.75" customHeight="1">
      <c r="A122" s="198" t="s">
        <v>178</v>
      </c>
      <c r="B122" s="199" t="s">
        <v>431</v>
      </c>
      <c r="C122" s="200" t="s">
        <v>432</v>
      </c>
      <c r="D122" s="200" t="s">
        <v>77</v>
      </c>
      <c r="E122" s="202">
        <v>207341.0</v>
      </c>
      <c r="F122" s="202">
        <v>207341.0</v>
      </c>
      <c r="G122" s="200">
        <v>0.0</v>
      </c>
      <c r="H122" s="116"/>
      <c r="I122" s="117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2.75" customHeight="1">
      <c r="A123" s="58"/>
      <c r="B123" s="58"/>
      <c r="C123" s="58"/>
      <c r="D123" s="605" t="s">
        <v>77</v>
      </c>
      <c r="E123" s="607" t="str">
        <f t="shared" ref="E123:G123" si="32">SUM(E117:E122)</f>
        <v>747,075</v>
      </c>
      <c r="F123" s="607" t="str">
        <f t="shared" si="32"/>
        <v>652,575</v>
      </c>
      <c r="G123" s="607" t="str">
        <f t="shared" si="32"/>
        <v>87,500</v>
      </c>
      <c r="H123" s="116" t="str">
        <f t="shared" ref="H123:I123" si="33">E123/E152*100</f>
        <v>  1.88 </v>
      </c>
      <c r="I123" s="117" t="str">
        <f t="shared" si="33"/>
        <v>  5.01 </v>
      </c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2.75" customHeight="1">
      <c r="A124" s="58"/>
      <c r="B124" s="58"/>
      <c r="C124" s="58"/>
      <c r="D124" s="58"/>
      <c r="E124" s="58"/>
      <c r="F124" s="58"/>
      <c r="G124" s="58"/>
      <c r="H124" s="116"/>
      <c r="I124" s="117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2.75" customHeight="1">
      <c r="A125" s="389" t="s">
        <v>105</v>
      </c>
      <c r="B125" s="340" t="s">
        <v>433</v>
      </c>
      <c r="C125" s="340" t="s">
        <v>434</v>
      </c>
      <c r="D125" s="340" t="s">
        <v>237</v>
      </c>
      <c r="E125" s="343">
        <v>222729.0</v>
      </c>
      <c r="F125" s="343">
        <v>236092.0</v>
      </c>
      <c r="G125" s="343">
        <v>236092.0</v>
      </c>
      <c r="H125" s="116"/>
      <c r="I125" s="117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2.75" customHeight="1">
      <c r="A126" s="338" t="s">
        <v>159</v>
      </c>
      <c r="B126" s="340" t="s">
        <v>435</v>
      </c>
      <c r="C126" s="340" t="s">
        <v>436</v>
      </c>
      <c r="D126" s="340" t="s">
        <v>237</v>
      </c>
      <c r="E126" s="343">
        <v>60000.0</v>
      </c>
      <c r="F126" s="343">
        <v>35000.0</v>
      </c>
      <c r="G126" s="343" t="str">
        <f>E126-F126</f>
        <v>25,000</v>
      </c>
      <c r="H126" s="116"/>
      <c r="I126" s="117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2.75" customHeight="1">
      <c r="A127" s="198" t="s">
        <v>135</v>
      </c>
      <c r="B127" s="200" t="s">
        <v>235</v>
      </c>
      <c r="C127" s="200" t="s">
        <v>236</v>
      </c>
      <c r="D127" s="200" t="s">
        <v>437</v>
      </c>
      <c r="E127" s="202">
        <v>29977.0</v>
      </c>
      <c r="F127" s="202">
        <v>29977.0</v>
      </c>
      <c r="G127" s="200">
        <v>0.0</v>
      </c>
      <c r="H127" s="116"/>
      <c r="I127" s="117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2.75" customHeight="1">
      <c r="A128" s="198" t="s">
        <v>135</v>
      </c>
      <c r="B128" s="200" t="s">
        <v>438</v>
      </c>
      <c r="C128" s="200" t="s">
        <v>236</v>
      </c>
      <c r="D128" s="200" t="s">
        <v>439</v>
      </c>
      <c r="E128" s="202">
        <v>16600.0</v>
      </c>
      <c r="F128" s="202">
        <v>16600.0</v>
      </c>
      <c r="G128" s="200">
        <v>0.0</v>
      </c>
      <c r="H128" s="116"/>
      <c r="I128" s="117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2.75" customHeight="1">
      <c r="A129" s="397" t="s">
        <v>440</v>
      </c>
      <c r="B129" s="399" t="s">
        <v>441</v>
      </c>
      <c r="C129" s="399" t="s">
        <v>442</v>
      </c>
      <c r="D129" s="399" t="s">
        <v>439</v>
      </c>
      <c r="E129" s="400">
        <v>195584.0</v>
      </c>
      <c r="F129" s="400">
        <v>195584.0</v>
      </c>
      <c r="G129" s="400">
        <v>195584.0</v>
      </c>
      <c r="H129" s="116"/>
      <c r="I129" s="117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2.75" customHeight="1">
      <c r="A130" s="487" t="s">
        <v>228</v>
      </c>
      <c r="B130" s="439" t="s">
        <v>443</v>
      </c>
      <c r="C130" s="399" t="s">
        <v>444</v>
      </c>
      <c r="D130" s="399" t="s">
        <v>439</v>
      </c>
      <c r="E130" s="400" t="str">
        <f>F130</f>
        <v>57,792</v>
      </c>
      <c r="F130" s="400">
        <v>57792.0</v>
      </c>
      <c r="G130" s="400">
        <v>0.0</v>
      </c>
      <c r="H130" s="116"/>
      <c r="I130" s="117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2.75" customHeight="1">
      <c r="A131" s="198" t="s">
        <v>175</v>
      </c>
      <c r="B131" s="200" t="s">
        <v>445</v>
      </c>
      <c r="C131" s="200" t="s">
        <v>446</v>
      </c>
      <c r="D131" s="199" t="s">
        <v>437</v>
      </c>
      <c r="E131" s="202">
        <v>30000.0</v>
      </c>
      <c r="F131" s="202">
        <v>30000.0</v>
      </c>
      <c r="G131" s="202">
        <v>106345.0</v>
      </c>
      <c r="H131" s="116"/>
      <c r="I131" s="117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2.75" customHeight="1">
      <c r="A132" s="708" t="s">
        <v>450</v>
      </c>
      <c r="B132" s="200" t="s">
        <v>471</v>
      </c>
      <c r="C132" s="200" t="s">
        <v>472</v>
      </c>
      <c r="D132" s="200" t="s">
        <v>237</v>
      </c>
      <c r="E132" s="202">
        <v>54200.0</v>
      </c>
      <c r="F132" s="202">
        <v>67435.0</v>
      </c>
      <c r="G132" s="202">
        <v>0.0</v>
      </c>
      <c r="H132" s="116"/>
      <c r="I132" s="117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2.75" customHeight="1">
      <c r="A133" s="545"/>
      <c r="B133" s="579" t="s">
        <v>471</v>
      </c>
      <c r="C133" s="200" t="s">
        <v>473</v>
      </c>
      <c r="D133" s="200" t="s">
        <v>237</v>
      </c>
      <c r="E133" s="202">
        <v>169240.0</v>
      </c>
      <c r="F133" s="202">
        <v>183922.0</v>
      </c>
      <c r="G133" s="202">
        <v>0.0</v>
      </c>
      <c r="H133" s="116"/>
      <c r="I133" s="117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2.75" customHeight="1">
      <c r="A134" s="345" t="s">
        <v>182</v>
      </c>
      <c r="B134" s="346" t="s">
        <v>182</v>
      </c>
      <c r="C134" s="346" t="s">
        <v>104</v>
      </c>
      <c r="D134" s="346" t="s">
        <v>105</v>
      </c>
      <c r="E134" s="383">
        <v>21000.0</v>
      </c>
      <c r="F134" s="383">
        <v>21000.0</v>
      </c>
      <c r="G134" s="346">
        <v>0.0</v>
      </c>
      <c r="H134" s="116"/>
      <c r="I134" s="117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2.75" customHeight="1">
      <c r="A135" s="345" t="s">
        <v>182</v>
      </c>
      <c r="B135" s="346" t="s">
        <v>474</v>
      </c>
      <c r="C135" s="346" t="s">
        <v>104</v>
      </c>
      <c r="D135" s="346" t="s">
        <v>105</v>
      </c>
      <c r="E135" s="383">
        <v>130000.0</v>
      </c>
      <c r="F135" s="383" t="str">
        <f>80000-10000</f>
        <v>70,000</v>
      </c>
      <c r="G135" s="346">
        <v>0.0</v>
      </c>
      <c r="H135" s="116"/>
      <c r="I135" s="117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2.75" customHeight="1">
      <c r="A136" s="345" t="s">
        <v>74</v>
      </c>
      <c r="B136" s="346" t="s">
        <v>74</v>
      </c>
      <c r="C136" s="346" t="s">
        <v>475</v>
      </c>
      <c r="D136" s="346" t="s">
        <v>105</v>
      </c>
      <c r="E136" s="383">
        <v>15000.0</v>
      </c>
      <c r="F136" s="383">
        <v>15000.0</v>
      </c>
      <c r="G136" s="383">
        <v>0.0</v>
      </c>
      <c r="H136" s="116"/>
      <c r="I136" s="117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2.75" customHeight="1">
      <c r="A137" s="345" t="s">
        <v>332</v>
      </c>
      <c r="B137" s="346" t="s">
        <v>332</v>
      </c>
      <c r="C137" s="346" t="s">
        <v>476</v>
      </c>
      <c r="D137" s="346" t="s">
        <v>105</v>
      </c>
      <c r="E137" s="383">
        <v>15000.0</v>
      </c>
      <c r="F137" s="383">
        <v>15000.0</v>
      </c>
      <c r="G137" s="346">
        <v>0.0</v>
      </c>
      <c r="H137" s="116"/>
      <c r="I137" s="117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2.75" customHeight="1">
      <c r="A138" s="711" t="s">
        <v>450</v>
      </c>
      <c r="B138" s="262" t="s">
        <v>439</v>
      </c>
      <c r="C138" s="190" t="s">
        <v>477</v>
      </c>
      <c r="D138" s="190" t="s">
        <v>478</v>
      </c>
      <c r="E138" s="191">
        <v>126452.0</v>
      </c>
      <c r="F138" s="191">
        <v>126452.0</v>
      </c>
      <c r="G138" s="191">
        <v>0.0</v>
      </c>
      <c r="H138" s="116"/>
      <c r="I138" s="117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2.75" customHeight="1">
      <c r="A139" s="545"/>
      <c r="B139" s="190" t="s">
        <v>479</v>
      </c>
      <c r="C139" s="190" t="s">
        <v>480</v>
      </c>
      <c r="D139" s="190" t="s">
        <v>478</v>
      </c>
      <c r="E139" s="191">
        <v>180751.0</v>
      </c>
      <c r="F139" s="191">
        <v>180751.0</v>
      </c>
      <c r="G139" s="191">
        <v>0.0</v>
      </c>
      <c r="H139" s="116"/>
      <c r="I139" s="117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2.75" customHeight="1">
      <c r="A140" s="711" t="s">
        <v>481</v>
      </c>
      <c r="B140" s="262" t="s">
        <v>482</v>
      </c>
      <c r="C140" s="190" t="s">
        <v>483</v>
      </c>
      <c r="D140" s="190" t="s">
        <v>484</v>
      </c>
      <c r="E140" s="191">
        <v>34200.0</v>
      </c>
      <c r="F140" s="191">
        <v>12974.619999999999</v>
      </c>
      <c r="G140" s="191" t="str">
        <f t="shared" ref="G140:G141" si="34">E140-F140</f>
        <v>21,225</v>
      </c>
      <c r="H140" s="116"/>
      <c r="I140" s="117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2.75" customHeight="1">
      <c r="A141" s="545"/>
      <c r="B141" s="262" t="s">
        <v>485</v>
      </c>
      <c r="C141" s="190" t="s">
        <v>486</v>
      </c>
      <c r="D141" s="190" t="s">
        <v>484</v>
      </c>
      <c r="E141" s="191">
        <v>41915.0</v>
      </c>
      <c r="F141" s="191">
        <v>19200.32</v>
      </c>
      <c r="G141" s="191" t="str">
        <f t="shared" si="34"/>
        <v>22,715</v>
      </c>
      <c r="H141" s="116"/>
      <c r="I141" s="117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2.75" customHeight="1">
      <c r="A142" s="760" t="s">
        <v>487</v>
      </c>
      <c r="B142" s="346" t="s">
        <v>106</v>
      </c>
      <c r="C142" s="346" t="s">
        <v>107</v>
      </c>
      <c r="D142" s="761" t="s">
        <v>105</v>
      </c>
      <c r="E142" s="770">
        <v>50000.0</v>
      </c>
      <c r="F142" s="383" t="str">
        <f t="shared" ref="F142:F143" si="35">E142</f>
        <v>50,000</v>
      </c>
      <c r="G142" s="383">
        <v>0.0</v>
      </c>
      <c r="H142" s="116"/>
      <c r="I142" s="117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2.75" customHeight="1">
      <c r="A143" s="545"/>
      <c r="B143" s="346" t="s">
        <v>521</v>
      </c>
      <c r="C143" s="346" t="s">
        <v>522</v>
      </c>
      <c r="D143" s="346" t="s">
        <v>105</v>
      </c>
      <c r="E143" s="383">
        <v>10000.0</v>
      </c>
      <c r="F143" s="383" t="str">
        <f t="shared" si="35"/>
        <v>10,000</v>
      </c>
      <c r="G143" s="346">
        <v>0.0</v>
      </c>
      <c r="H143" s="116"/>
      <c r="I143" s="117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25.5" customHeight="1">
      <c r="A144" s="604" t="s">
        <v>426</v>
      </c>
      <c r="B144" s="346" t="s">
        <v>497</v>
      </c>
      <c r="C144" s="346" t="s">
        <v>498</v>
      </c>
      <c r="D144" s="346" t="s">
        <v>105</v>
      </c>
      <c r="E144" s="383">
        <v>30000.0</v>
      </c>
      <c r="F144" s="383">
        <v>30000.0</v>
      </c>
      <c r="G144" s="346">
        <v>0.0</v>
      </c>
      <c r="H144" s="116"/>
      <c r="I144" s="117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25.5" customHeight="1">
      <c r="A145" s="604" t="s">
        <v>426</v>
      </c>
      <c r="B145" s="346" t="s">
        <v>110</v>
      </c>
      <c r="C145" s="346" t="s">
        <v>111</v>
      </c>
      <c r="D145" s="346" t="s">
        <v>105</v>
      </c>
      <c r="E145" s="383" t="str">
        <f>175000+40000</f>
        <v>215,000</v>
      </c>
      <c r="F145" s="383" t="str">
        <f t="shared" ref="F145:F148" si="36">E145</f>
        <v>215,000</v>
      </c>
      <c r="G145" s="346">
        <v>0.0</v>
      </c>
      <c r="H145" s="116"/>
      <c r="I145" s="117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25.5" customHeight="1">
      <c r="A146" s="604" t="s">
        <v>426</v>
      </c>
      <c r="B146" s="346" t="s">
        <v>523</v>
      </c>
      <c r="C146" s="346" t="s">
        <v>524</v>
      </c>
      <c r="D146" s="346" t="s">
        <v>105</v>
      </c>
      <c r="E146" s="383">
        <v>30000.0</v>
      </c>
      <c r="F146" s="383" t="str">
        <f t="shared" si="36"/>
        <v>30,000</v>
      </c>
      <c r="G146" s="346">
        <v>0.0</v>
      </c>
      <c r="H146" s="116"/>
      <c r="I146" s="117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25.5" customHeight="1">
      <c r="A147" s="604" t="s">
        <v>426</v>
      </c>
      <c r="B147" s="346" t="s">
        <v>525</v>
      </c>
      <c r="C147" s="346" t="s">
        <v>351</v>
      </c>
      <c r="D147" s="346" t="s">
        <v>105</v>
      </c>
      <c r="E147" s="383">
        <v>34360.0</v>
      </c>
      <c r="F147" s="383" t="str">
        <f t="shared" si="36"/>
        <v>34,360</v>
      </c>
      <c r="G147" s="346">
        <v>0.0</v>
      </c>
      <c r="H147" s="116"/>
      <c r="I147" s="117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25.5" customHeight="1">
      <c r="A148" s="604" t="s">
        <v>426</v>
      </c>
      <c r="B148" s="346" t="s">
        <v>526</v>
      </c>
      <c r="C148" s="346" t="s">
        <v>351</v>
      </c>
      <c r="D148" s="346" t="s">
        <v>105</v>
      </c>
      <c r="E148" s="383">
        <v>55000.0</v>
      </c>
      <c r="F148" s="383" t="str">
        <f t="shared" si="36"/>
        <v>55,000</v>
      </c>
      <c r="G148" s="346">
        <v>0.0</v>
      </c>
      <c r="H148" s="116"/>
      <c r="I148" s="117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2.75" customHeight="1">
      <c r="A149" s="58"/>
      <c r="B149" s="58"/>
      <c r="C149" s="58"/>
      <c r="D149" s="605" t="s">
        <v>527</v>
      </c>
      <c r="E149" s="607" t="str">
        <f t="shared" ref="E149:G149" si="37">SUM(E125:E148)</f>
        <v>1,824,800</v>
      </c>
      <c r="F149" s="607" t="str">
        <f t="shared" si="37"/>
        <v>1,737,140</v>
      </c>
      <c r="G149" s="607" t="str">
        <f t="shared" si="37"/>
        <v>606,961</v>
      </c>
      <c r="H149" s="116" t="str">
        <f t="shared" ref="H149:I149" si="38">E149/E152*100</f>
        <v>  4.58 </v>
      </c>
      <c r="I149" s="117" t="str">
        <f t="shared" si="38"/>
        <v>  13.34 </v>
      </c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2.75" customHeight="1">
      <c r="A150" s="58"/>
      <c r="B150" s="58"/>
      <c r="C150" s="58"/>
      <c r="D150" s="58"/>
      <c r="E150" s="58"/>
      <c r="F150" s="58"/>
      <c r="G150" s="58"/>
      <c r="H150" s="116"/>
      <c r="I150" s="117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2.75" customHeight="1">
      <c r="A151" s="58"/>
      <c r="B151" s="58"/>
      <c r="C151" s="58"/>
      <c r="D151" s="58"/>
      <c r="E151" s="58"/>
      <c r="F151" s="58"/>
      <c r="G151" s="58"/>
      <c r="H151" s="116"/>
      <c r="I151" s="117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2.75" customHeight="1">
      <c r="A152" s="58"/>
      <c r="B152" s="58"/>
      <c r="C152" s="58"/>
      <c r="D152" s="58"/>
      <c r="E152" s="802" t="str">
        <f t="shared" ref="E152:I152" si="39">E149+E123+E115+E107+E99+E95+E89+E86+E81+E66+E50+E36+E20+E13+E7</f>
        <v>  39,807,633.0 </v>
      </c>
      <c r="F152" s="802" t="str">
        <f t="shared" si="39"/>
        <v>  13,025,359.6 </v>
      </c>
      <c r="G152" s="802" t="str">
        <f t="shared" si="39"/>
        <v>  7,126,306.1 </v>
      </c>
      <c r="H152" s="802" t="str">
        <f t="shared" si="39"/>
        <v>  100.0 </v>
      </c>
      <c r="I152" s="802" t="str">
        <f t="shared" si="39"/>
        <v>  100.0 </v>
      </c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2.75" customHeight="1">
      <c r="A153" s="58"/>
      <c r="B153" s="58"/>
      <c r="C153" s="58"/>
      <c r="D153" s="58"/>
      <c r="E153" s="58"/>
      <c r="F153" s="58"/>
      <c r="G153" s="58"/>
      <c r="H153" s="116"/>
      <c r="I153" s="117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2.75" customHeight="1">
      <c r="A154" s="58"/>
      <c r="B154" s="58"/>
      <c r="C154" s="58"/>
      <c r="D154" s="58"/>
      <c r="E154" s="58"/>
      <c r="F154" s="58"/>
      <c r="G154" s="58"/>
      <c r="H154" s="116"/>
      <c r="I154" s="117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2.75" customHeight="1">
      <c r="A155" s="58"/>
      <c r="B155" s="58"/>
      <c r="C155" s="58"/>
      <c r="D155" s="58"/>
      <c r="E155" s="58"/>
      <c r="F155" s="58"/>
      <c r="G155" s="58"/>
      <c r="H155" s="116"/>
      <c r="I155" s="117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2.75" customHeight="1">
      <c r="A156" s="58"/>
      <c r="B156" s="58"/>
      <c r="C156" s="58"/>
      <c r="D156" s="58"/>
      <c r="E156" s="58"/>
      <c r="F156" s="58"/>
      <c r="G156" s="58"/>
      <c r="H156" s="116"/>
      <c r="I156" s="117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2.75" customHeight="1">
      <c r="A157" s="58"/>
      <c r="B157" s="58"/>
      <c r="C157" s="58"/>
      <c r="D157" s="58"/>
      <c r="E157" s="58"/>
      <c r="F157" s="58"/>
      <c r="G157" s="58"/>
      <c r="H157" s="116"/>
      <c r="I157" s="117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2.75" customHeight="1">
      <c r="A158" s="58"/>
      <c r="B158" s="58"/>
      <c r="C158" s="58"/>
      <c r="D158" s="58"/>
      <c r="E158" s="58"/>
      <c r="F158" s="58"/>
      <c r="G158" s="58"/>
      <c r="H158" s="116"/>
      <c r="I158" s="117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2.75" customHeight="1">
      <c r="A159" s="58"/>
      <c r="B159" s="58"/>
      <c r="C159" s="58"/>
      <c r="D159" s="58"/>
      <c r="E159" s="58"/>
      <c r="F159" s="58"/>
      <c r="G159" s="58"/>
      <c r="H159" s="116"/>
      <c r="I159" s="117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2.75" customHeight="1">
      <c r="A160" s="58"/>
      <c r="B160" s="58"/>
      <c r="C160" s="58"/>
      <c r="D160" s="58"/>
      <c r="E160" s="58"/>
      <c r="F160" s="58"/>
      <c r="G160" s="58"/>
      <c r="H160" s="116"/>
      <c r="I160" s="117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2.75" customHeight="1">
      <c r="A161" s="58"/>
      <c r="B161" s="58"/>
      <c r="C161" s="58"/>
      <c r="D161" s="58"/>
      <c r="E161" s="58"/>
      <c r="F161" s="58"/>
      <c r="G161" s="58"/>
      <c r="H161" s="116"/>
      <c r="I161" s="117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2.75" customHeight="1">
      <c r="A162" s="58"/>
      <c r="B162" s="58"/>
      <c r="C162" s="58"/>
      <c r="D162" s="58"/>
      <c r="E162" s="58"/>
      <c r="F162" s="58"/>
      <c r="G162" s="58"/>
      <c r="H162" s="116"/>
      <c r="I162" s="117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2.75" customHeight="1">
      <c r="A163" s="58"/>
      <c r="B163" s="58"/>
      <c r="C163" s="58"/>
      <c r="D163" s="58"/>
      <c r="E163" s="58"/>
      <c r="F163" s="58"/>
      <c r="G163" s="58"/>
      <c r="H163" s="116"/>
      <c r="I163" s="117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2.75" customHeight="1">
      <c r="A164" s="58"/>
      <c r="B164" s="58"/>
      <c r="C164" s="58"/>
      <c r="D164" s="58"/>
      <c r="E164" s="58"/>
      <c r="F164" s="58"/>
      <c r="G164" s="58"/>
      <c r="H164" s="116"/>
      <c r="I164" s="117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2.75" customHeight="1">
      <c r="A165" s="58"/>
      <c r="B165" s="58"/>
      <c r="C165" s="58"/>
      <c r="D165" s="58"/>
      <c r="E165" s="58"/>
      <c r="F165" s="58"/>
      <c r="G165" s="58"/>
      <c r="H165" s="116"/>
      <c r="I165" s="117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2.75" customHeight="1">
      <c r="A166" s="58"/>
      <c r="B166" s="58"/>
      <c r="C166" s="58"/>
      <c r="D166" s="58"/>
      <c r="E166" s="58"/>
      <c r="F166" s="58"/>
      <c r="G166" s="58"/>
      <c r="H166" s="116"/>
      <c r="I166" s="117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2.75" customHeight="1">
      <c r="A167" s="58"/>
      <c r="B167" s="58"/>
      <c r="C167" s="58"/>
      <c r="D167" s="58"/>
      <c r="E167" s="58"/>
      <c r="F167" s="58"/>
      <c r="G167" s="58"/>
      <c r="H167" s="116"/>
      <c r="I167" s="117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2.75" customHeight="1">
      <c r="A168" s="58"/>
      <c r="B168" s="58"/>
      <c r="C168" s="58"/>
      <c r="D168" s="58"/>
      <c r="E168" s="58"/>
      <c r="F168" s="58"/>
      <c r="G168" s="58"/>
      <c r="H168" s="116"/>
      <c r="I168" s="117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2.75" customHeight="1">
      <c r="A169" s="58"/>
      <c r="B169" s="58"/>
      <c r="C169" s="58"/>
      <c r="D169" s="58"/>
      <c r="E169" s="58"/>
      <c r="F169" s="58"/>
      <c r="G169" s="58"/>
      <c r="H169" s="116"/>
      <c r="I169" s="117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2.75" customHeight="1">
      <c r="A170" s="58"/>
      <c r="B170" s="58"/>
      <c r="C170" s="58"/>
      <c r="D170" s="58"/>
      <c r="E170" s="58"/>
      <c r="F170" s="58"/>
      <c r="G170" s="58"/>
      <c r="H170" s="116"/>
      <c r="I170" s="117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2.75" customHeight="1">
      <c r="A171" s="58"/>
      <c r="B171" s="58"/>
      <c r="C171" s="58"/>
      <c r="D171" s="58"/>
      <c r="E171" s="58"/>
      <c r="F171" s="58"/>
      <c r="G171" s="58"/>
      <c r="H171" s="116"/>
      <c r="I171" s="117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2.75" customHeight="1">
      <c r="A172" s="58"/>
      <c r="B172" s="58"/>
      <c r="C172" s="58"/>
      <c r="D172" s="58"/>
      <c r="E172" s="58"/>
      <c r="F172" s="58"/>
      <c r="G172" s="58"/>
      <c r="H172" s="116"/>
      <c r="I172" s="117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2.75" customHeight="1">
      <c r="A173" s="58"/>
      <c r="B173" s="58"/>
      <c r="C173" s="58"/>
      <c r="D173" s="58"/>
      <c r="E173" s="58"/>
      <c r="F173" s="58"/>
      <c r="G173" s="58"/>
      <c r="H173" s="116"/>
      <c r="I173" s="117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2.75" customHeight="1">
      <c r="A174" s="58"/>
      <c r="B174" s="58"/>
      <c r="C174" s="58"/>
      <c r="D174" s="58"/>
      <c r="E174" s="58"/>
      <c r="F174" s="58"/>
      <c r="G174" s="58"/>
      <c r="H174" s="116"/>
      <c r="I174" s="117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2.75" customHeight="1">
      <c r="A175" s="58"/>
      <c r="B175" s="58"/>
      <c r="C175" s="58"/>
      <c r="D175" s="58"/>
      <c r="E175" s="58"/>
      <c r="F175" s="58"/>
      <c r="G175" s="58"/>
      <c r="H175" s="116"/>
      <c r="I175" s="117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2.75" customHeight="1">
      <c r="A176" s="58"/>
      <c r="B176" s="58"/>
      <c r="C176" s="58"/>
      <c r="D176" s="58"/>
      <c r="E176" s="58"/>
      <c r="F176" s="58"/>
      <c r="G176" s="58"/>
      <c r="H176" s="116"/>
      <c r="I176" s="117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2.75" customHeight="1">
      <c r="A177" s="58"/>
      <c r="B177" s="58"/>
      <c r="C177" s="58"/>
      <c r="D177" s="58"/>
      <c r="E177" s="58"/>
      <c r="F177" s="58"/>
      <c r="G177" s="58"/>
      <c r="H177" s="116"/>
      <c r="I177" s="117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2.75" customHeight="1">
      <c r="A178" s="58"/>
      <c r="B178" s="58"/>
      <c r="C178" s="58"/>
      <c r="D178" s="58"/>
      <c r="E178" s="58"/>
      <c r="F178" s="58"/>
      <c r="G178" s="58"/>
      <c r="H178" s="116"/>
      <c r="I178" s="117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2.75" customHeight="1">
      <c r="A179" s="58"/>
      <c r="B179" s="58"/>
      <c r="C179" s="58"/>
      <c r="D179" s="58"/>
      <c r="E179" s="58"/>
      <c r="F179" s="58"/>
      <c r="G179" s="58"/>
      <c r="H179" s="116"/>
      <c r="I179" s="117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2.75" customHeight="1">
      <c r="A180" s="58"/>
      <c r="B180" s="58"/>
      <c r="C180" s="58"/>
      <c r="D180" s="58"/>
      <c r="E180" s="58"/>
      <c r="F180" s="58"/>
      <c r="G180" s="58"/>
      <c r="H180" s="116"/>
      <c r="I180" s="117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2.75" customHeight="1">
      <c r="A181" s="58"/>
      <c r="B181" s="58"/>
      <c r="C181" s="58"/>
      <c r="D181" s="58"/>
      <c r="E181" s="58"/>
      <c r="F181" s="58"/>
      <c r="G181" s="58"/>
      <c r="H181" s="116"/>
      <c r="I181" s="117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2.75" customHeight="1">
      <c r="A182" s="58"/>
      <c r="B182" s="58"/>
      <c r="C182" s="58"/>
      <c r="D182" s="58"/>
      <c r="E182" s="58"/>
      <c r="F182" s="58"/>
      <c r="G182" s="58"/>
      <c r="H182" s="116"/>
      <c r="I182" s="117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2.75" customHeight="1">
      <c r="A183" s="58"/>
      <c r="B183" s="58"/>
      <c r="C183" s="58"/>
      <c r="D183" s="58"/>
      <c r="E183" s="58"/>
      <c r="F183" s="58"/>
      <c r="G183" s="58"/>
      <c r="H183" s="116"/>
      <c r="I183" s="117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2.75" customHeight="1">
      <c r="A184" s="58"/>
      <c r="B184" s="58"/>
      <c r="C184" s="58"/>
      <c r="D184" s="58"/>
      <c r="E184" s="58"/>
      <c r="F184" s="58"/>
      <c r="G184" s="58"/>
      <c r="H184" s="116"/>
      <c r="I184" s="117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2.75" customHeight="1">
      <c r="A185" s="58"/>
      <c r="B185" s="58"/>
      <c r="C185" s="58"/>
      <c r="D185" s="58"/>
      <c r="E185" s="58"/>
      <c r="F185" s="58"/>
      <c r="G185" s="58"/>
      <c r="H185" s="116"/>
      <c r="I185" s="117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2.75" customHeight="1">
      <c r="A186" s="58"/>
      <c r="B186" s="58"/>
      <c r="C186" s="58"/>
      <c r="D186" s="58"/>
      <c r="E186" s="58"/>
      <c r="F186" s="58"/>
      <c r="G186" s="58"/>
      <c r="H186" s="116"/>
      <c r="I186" s="117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2.75" customHeight="1">
      <c r="A187" s="58"/>
      <c r="B187" s="58"/>
      <c r="C187" s="58"/>
      <c r="D187" s="58"/>
      <c r="E187" s="58"/>
      <c r="F187" s="58"/>
      <c r="G187" s="58"/>
      <c r="H187" s="116"/>
      <c r="I187" s="117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2.75" customHeight="1">
      <c r="A188" s="58"/>
      <c r="B188" s="58"/>
      <c r="C188" s="58"/>
      <c r="D188" s="58"/>
      <c r="E188" s="58"/>
      <c r="F188" s="58"/>
      <c r="G188" s="58"/>
      <c r="H188" s="116"/>
      <c r="I188" s="117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2.75" customHeight="1">
      <c r="A189" s="58"/>
      <c r="B189" s="58"/>
      <c r="C189" s="58"/>
      <c r="D189" s="58"/>
      <c r="E189" s="58"/>
      <c r="F189" s="58"/>
      <c r="G189" s="58"/>
      <c r="H189" s="116"/>
      <c r="I189" s="117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2.75" customHeight="1">
      <c r="A190" s="58"/>
      <c r="B190" s="58"/>
      <c r="C190" s="58"/>
      <c r="D190" s="58"/>
      <c r="E190" s="58"/>
      <c r="F190" s="58"/>
      <c r="G190" s="58"/>
      <c r="H190" s="116"/>
      <c r="I190" s="117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2.75" customHeight="1">
      <c r="A191" s="58"/>
      <c r="B191" s="58"/>
      <c r="C191" s="58"/>
      <c r="D191" s="58"/>
      <c r="E191" s="58"/>
      <c r="F191" s="58"/>
      <c r="G191" s="58"/>
      <c r="H191" s="116"/>
      <c r="I191" s="117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2.75" customHeight="1">
      <c r="A192" s="58"/>
      <c r="B192" s="58"/>
      <c r="C192" s="58"/>
      <c r="D192" s="58"/>
      <c r="E192" s="58"/>
      <c r="F192" s="58"/>
      <c r="G192" s="58"/>
      <c r="H192" s="116"/>
      <c r="I192" s="117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2.75" customHeight="1">
      <c r="A193" s="58"/>
      <c r="B193" s="58"/>
      <c r="C193" s="58"/>
      <c r="D193" s="58"/>
      <c r="E193" s="58"/>
      <c r="F193" s="58"/>
      <c r="G193" s="58"/>
      <c r="H193" s="116"/>
      <c r="I193" s="117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2.75" customHeight="1">
      <c r="A194" s="58"/>
      <c r="B194" s="58"/>
      <c r="C194" s="58"/>
      <c r="D194" s="58"/>
      <c r="E194" s="58"/>
      <c r="F194" s="58"/>
      <c r="G194" s="58"/>
      <c r="H194" s="116"/>
      <c r="I194" s="117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2.75" customHeight="1">
      <c r="A195" s="58"/>
      <c r="B195" s="58"/>
      <c r="C195" s="58"/>
      <c r="D195" s="58"/>
      <c r="E195" s="58"/>
      <c r="F195" s="58"/>
      <c r="G195" s="58"/>
      <c r="H195" s="116"/>
      <c r="I195" s="117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2.75" customHeight="1">
      <c r="A196" s="58"/>
      <c r="B196" s="58"/>
      <c r="C196" s="58"/>
      <c r="D196" s="58"/>
      <c r="E196" s="58"/>
      <c r="F196" s="58"/>
      <c r="G196" s="58"/>
      <c r="H196" s="116"/>
      <c r="I196" s="117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2.75" customHeight="1">
      <c r="A197" s="58"/>
      <c r="B197" s="58"/>
      <c r="C197" s="58"/>
      <c r="D197" s="58"/>
      <c r="E197" s="58"/>
      <c r="F197" s="58"/>
      <c r="G197" s="58"/>
      <c r="H197" s="116"/>
      <c r="I197" s="117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2.75" customHeight="1">
      <c r="A198" s="58"/>
      <c r="B198" s="58"/>
      <c r="C198" s="58"/>
      <c r="D198" s="58"/>
      <c r="E198" s="58"/>
      <c r="F198" s="58"/>
      <c r="G198" s="58"/>
      <c r="H198" s="116"/>
      <c r="I198" s="117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2.75" customHeight="1">
      <c r="A199" s="58"/>
      <c r="B199" s="58"/>
      <c r="C199" s="58"/>
      <c r="D199" s="58"/>
      <c r="E199" s="58"/>
      <c r="F199" s="58"/>
      <c r="G199" s="58"/>
      <c r="H199" s="116"/>
      <c r="I199" s="117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2.75" customHeight="1">
      <c r="A200" s="58"/>
      <c r="B200" s="58"/>
      <c r="C200" s="58"/>
      <c r="D200" s="58"/>
      <c r="E200" s="58"/>
      <c r="F200" s="58"/>
      <c r="G200" s="58"/>
      <c r="H200" s="116"/>
      <c r="I200" s="117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2.75" customHeight="1">
      <c r="A201" s="58"/>
      <c r="B201" s="58"/>
      <c r="C201" s="58"/>
      <c r="D201" s="58"/>
      <c r="E201" s="58"/>
      <c r="F201" s="58"/>
      <c r="G201" s="58"/>
      <c r="H201" s="116"/>
      <c r="I201" s="117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2.75" customHeight="1">
      <c r="A202" s="58"/>
      <c r="B202" s="58"/>
      <c r="C202" s="58"/>
      <c r="D202" s="58"/>
      <c r="E202" s="58"/>
      <c r="F202" s="58"/>
      <c r="G202" s="58"/>
      <c r="H202" s="116"/>
      <c r="I202" s="117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2.75" customHeight="1">
      <c r="A203" s="58"/>
      <c r="B203" s="58"/>
      <c r="C203" s="58"/>
      <c r="D203" s="58"/>
      <c r="E203" s="58"/>
      <c r="F203" s="58"/>
      <c r="G203" s="58"/>
      <c r="H203" s="116"/>
      <c r="I203" s="117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2.75" customHeight="1">
      <c r="A204" s="58"/>
      <c r="B204" s="58"/>
      <c r="C204" s="58"/>
      <c r="D204" s="58"/>
      <c r="E204" s="58"/>
      <c r="F204" s="58"/>
      <c r="G204" s="58"/>
      <c r="H204" s="116"/>
      <c r="I204" s="117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2.75" customHeight="1">
      <c r="A205" s="58"/>
      <c r="B205" s="58"/>
      <c r="C205" s="58"/>
      <c r="D205" s="58"/>
      <c r="E205" s="58"/>
      <c r="F205" s="58"/>
      <c r="G205" s="58"/>
      <c r="H205" s="116"/>
      <c r="I205" s="117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2.75" customHeight="1">
      <c r="A206" s="58"/>
      <c r="B206" s="58"/>
      <c r="C206" s="58"/>
      <c r="D206" s="58"/>
      <c r="E206" s="58"/>
      <c r="F206" s="58"/>
      <c r="G206" s="58"/>
      <c r="H206" s="116"/>
      <c r="I206" s="117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2.75" customHeight="1">
      <c r="A207" s="58"/>
      <c r="B207" s="58"/>
      <c r="C207" s="58"/>
      <c r="D207" s="58"/>
      <c r="E207" s="58"/>
      <c r="F207" s="58"/>
      <c r="G207" s="58"/>
      <c r="H207" s="116"/>
      <c r="I207" s="117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2.75" customHeight="1">
      <c r="A208" s="58"/>
      <c r="B208" s="58"/>
      <c r="C208" s="58"/>
      <c r="D208" s="58"/>
      <c r="E208" s="58"/>
      <c r="F208" s="58"/>
      <c r="G208" s="58"/>
      <c r="H208" s="116"/>
      <c r="I208" s="117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2.75" customHeight="1">
      <c r="A209" s="58"/>
      <c r="B209" s="58"/>
      <c r="C209" s="58"/>
      <c r="D209" s="58"/>
      <c r="E209" s="58"/>
      <c r="F209" s="58"/>
      <c r="G209" s="58"/>
      <c r="H209" s="116"/>
      <c r="I209" s="117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2.75" customHeight="1">
      <c r="A210" s="58"/>
      <c r="B210" s="58"/>
      <c r="C210" s="58"/>
      <c r="D210" s="58"/>
      <c r="E210" s="58"/>
      <c r="F210" s="58"/>
      <c r="G210" s="58"/>
      <c r="H210" s="116"/>
      <c r="I210" s="117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2.75" customHeight="1">
      <c r="A211" s="58"/>
      <c r="B211" s="58"/>
      <c r="C211" s="58"/>
      <c r="D211" s="58"/>
      <c r="E211" s="58"/>
      <c r="F211" s="58"/>
      <c r="G211" s="58"/>
      <c r="H211" s="116"/>
      <c r="I211" s="117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2.75" customHeight="1">
      <c r="A212" s="58"/>
      <c r="B212" s="58"/>
      <c r="C212" s="58"/>
      <c r="D212" s="58"/>
      <c r="E212" s="58"/>
      <c r="F212" s="58"/>
      <c r="G212" s="58"/>
      <c r="H212" s="116"/>
      <c r="I212" s="117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2.75" customHeight="1">
      <c r="A213" s="58"/>
      <c r="B213" s="58"/>
      <c r="C213" s="58"/>
      <c r="D213" s="58"/>
      <c r="E213" s="58"/>
      <c r="F213" s="58"/>
      <c r="G213" s="58"/>
      <c r="H213" s="116"/>
      <c r="I213" s="117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2.75" customHeight="1">
      <c r="A214" s="58"/>
      <c r="B214" s="58"/>
      <c r="C214" s="58"/>
      <c r="D214" s="58"/>
      <c r="E214" s="58"/>
      <c r="F214" s="58"/>
      <c r="G214" s="58"/>
      <c r="H214" s="116"/>
      <c r="I214" s="117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2.75" customHeight="1">
      <c r="A215" s="58"/>
      <c r="B215" s="58"/>
      <c r="C215" s="58"/>
      <c r="D215" s="58"/>
      <c r="E215" s="58"/>
      <c r="F215" s="58"/>
      <c r="G215" s="58"/>
      <c r="H215" s="116"/>
      <c r="I215" s="117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2.75" customHeight="1">
      <c r="A216" s="58"/>
      <c r="B216" s="58"/>
      <c r="C216" s="58"/>
      <c r="D216" s="58"/>
      <c r="E216" s="58"/>
      <c r="F216" s="58"/>
      <c r="G216" s="58"/>
      <c r="H216" s="116"/>
      <c r="I216" s="117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2.75" customHeight="1">
      <c r="A217" s="58"/>
      <c r="B217" s="58"/>
      <c r="C217" s="58"/>
      <c r="D217" s="58"/>
      <c r="E217" s="58"/>
      <c r="F217" s="58"/>
      <c r="G217" s="58"/>
      <c r="H217" s="116"/>
      <c r="I217" s="117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2.75" customHeight="1">
      <c r="A218" s="58"/>
      <c r="B218" s="58"/>
      <c r="C218" s="58"/>
      <c r="D218" s="58"/>
      <c r="E218" s="58"/>
      <c r="F218" s="58"/>
      <c r="G218" s="58"/>
      <c r="H218" s="116"/>
      <c r="I218" s="117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2.75" customHeight="1">
      <c r="A219" s="58"/>
      <c r="B219" s="58"/>
      <c r="C219" s="58"/>
      <c r="D219" s="58"/>
      <c r="E219" s="58"/>
      <c r="F219" s="58"/>
      <c r="G219" s="58"/>
      <c r="H219" s="116"/>
      <c r="I219" s="117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2.75" customHeight="1">
      <c r="A220" s="58"/>
      <c r="B220" s="58"/>
      <c r="C220" s="58"/>
      <c r="D220" s="58"/>
      <c r="E220" s="58"/>
      <c r="F220" s="58"/>
      <c r="G220" s="58"/>
      <c r="H220" s="116"/>
      <c r="I220" s="117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2.75" customHeight="1">
      <c r="A221" s="58"/>
      <c r="B221" s="58"/>
      <c r="C221" s="58"/>
      <c r="D221" s="58"/>
      <c r="E221" s="58"/>
      <c r="F221" s="58"/>
      <c r="G221" s="58"/>
      <c r="H221" s="116"/>
      <c r="I221" s="117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2.75" customHeight="1">
      <c r="A222" s="58"/>
      <c r="B222" s="58"/>
      <c r="C222" s="58"/>
      <c r="D222" s="58"/>
      <c r="E222" s="58"/>
      <c r="F222" s="58"/>
      <c r="G222" s="58"/>
      <c r="H222" s="116"/>
      <c r="I222" s="117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2.75" customHeight="1">
      <c r="A223" s="58"/>
      <c r="B223" s="58"/>
      <c r="C223" s="58"/>
      <c r="D223" s="58"/>
      <c r="E223" s="58"/>
      <c r="F223" s="58"/>
      <c r="G223" s="58"/>
      <c r="H223" s="116"/>
      <c r="I223" s="117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2.75" customHeight="1">
      <c r="A224" s="58"/>
      <c r="B224" s="58"/>
      <c r="C224" s="58"/>
      <c r="D224" s="58"/>
      <c r="E224" s="58"/>
      <c r="F224" s="58"/>
      <c r="G224" s="58"/>
      <c r="H224" s="116"/>
      <c r="I224" s="117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2.75" customHeight="1">
      <c r="A225" s="58"/>
      <c r="B225" s="58"/>
      <c r="C225" s="58"/>
      <c r="D225" s="58"/>
      <c r="E225" s="58"/>
      <c r="F225" s="58"/>
      <c r="G225" s="58"/>
      <c r="H225" s="116"/>
      <c r="I225" s="117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2.75" customHeight="1">
      <c r="A226" s="58"/>
      <c r="B226" s="58"/>
      <c r="C226" s="58"/>
      <c r="D226" s="58"/>
      <c r="E226" s="58"/>
      <c r="F226" s="58"/>
      <c r="G226" s="58"/>
      <c r="H226" s="116"/>
      <c r="I226" s="117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2.75" customHeight="1">
      <c r="A227" s="58"/>
      <c r="B227" s="58"/>
      <c r="C227" s="58"/>
      <c r="D227" s="58"/>
      <c r="E227" s="58"/>
      <c r="F227" s="58"/>
      <c r="G227" s="58"/>
      <c r="H227" s="116"/>
      <c r="I227" s="117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2.75" customHeight="1">
      <c r="A228" s="58"/>
      <c r="B228" s="58"/>
      <c r="C228" s="58"/>
      <c r="D228" s="58"/>
      <c r="E228" s="58"/>
      <c r="F228" s="58"/>
      <c r="G228" s="58"/>
      <c r="H228" s="116"/>
      <c r="I228" s="117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2.75" customHeight="1">
      <c r="A229" s="58"/>
      <c r="B229" s="58"/>
      <c r="C229" s="58"/>
      <c r="D229" s="58"/>
      <c r="E229" s="58"/>
      <c r="F229" s="58"/>
      <c r="G229" s="58"/>
      <c r="H229" s="116"/>
      <c r="I229" s="117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2.75" customHeight="1">
      <c r="A230" s="58"/>
      <c r="B230" s="58"/>
      <c r="C230" s="58"/>
      <c r="D230" s="58"/>
      <c r="E230" s="58"/>
      <c r="F230" s="58"/>
      <c r="G230" s="58"/>
      <c r="H230" s="116"/>
      <c r="I230" s="117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2.75" customHeight="1">
      <c r="A231" s="58"/>
      <c r="B231" s="58"/>
      <c r="C231" s="58"/>
      <c r="D231" s="58"/>
      <c r="E231" s="58"/>
      <c r="F231" s="58"/>
      <c r="G231" s="58"/>
      <c r="H231" s="116"/>
      <c r="I231" s="117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2.75" customHeight="1">
      <c r="A232" s="58"/>
      <c r="B232" s="58"/>
      <c r="C232" s="58"/>
      <c r="D232" s="58"/>
      <c r="E232" s="58"/>
      <c r="F232" s="58"/>
      <c r="G232" s="58"/>
      <c r="H232" s="116"/>
      <c r="I232" s="117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2.75" customHeight="1">
      <c r="A233" s="58"/>
      <c r="B233" s="58"/>
      <c r="C233" s="58"/>
      <c r="D233" s="58"/>
      <c r="E233" s="58"/>
      <c r="F233" s="58"/>
      <c r="G233" s="58"/>
      <c r="H233" s="116"/>
      <c r="I233" s="117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2.75" customHeight="1">
      <c r="A234" s="58"/>
      <c r="B234" s="58"/>
      <c r="C234" s="58"/>
      <c r="D234" s="58"/>
      <c r="E234" s="58"/>
      <c r="F234" s="58"/>
      <c r="G234" s="58"/>
      <c r="H234" s="116"/>
      <c r="I234" s="117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2.75" customHeight="1">
      <c r="A235" s="58"/>
      <c r="B235" s="58"/>
      <c r="C235" s="58"/>
      <c r="D235" s="58"/>
      <c r="E235" s="58"/>
      <c r="F235" s="58"/>
      <c r="G235" s="58"/>
      <c r="H235" s="116"/>
      <c r="I235" s="117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2.75" customHeight="1">
      <c r="A236" s="58"/>
      <c r="B236" s="58"/>
      <c r="C236" s="58"/>
      <c r="D236" s="58"/>
      <c r="E236" s="58"/>
      <c r="F236" s="58"/>
      <c r="G236" s="58"/>
      <c r="H236" s="116"/>
      <c r="I236" s="117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2.75" customHeight="1">
      <c r="A237" s="58"/>
      <c r="B237" s="58"/>
      <c r="C237" s="58"/>
      <c r="D237" s="58"/>
      <c r="E237" s="58"/>
      <c r="F237" s="58"/>
      <c r="G237" s="58"/>
      <c r="H237" s="116"/>
      <c r="I237" s="117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2.75" customHeight="1">
      <c r="A238" s="58"/>
      <c r="B238" s="58"/>
      <c r="C238" s="58"/>
      <c r="D238" s="58"/>
      <c r="E238" s="58"/>
      <c r="F238" s="58"/>
      <c r="G238" s="58"/>
      <c r="H238" s="116"/>
      <c r="I238" s="117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2.75" customHeight="1">
      <c r="A239" s="58"/>
      <c r="B239" s="58"/>
      <c r="C239" s="58"/>
      <c r="D239" s="58"/>
      <c r="E239" s="58"/>
      <c r="F239" s="58"/>
      <c r="G239" s="58"/>
      <c r="H239" s="116"/>
      <c r="I239" s="117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2.75" customHeight="1">
      <c r="A240" s="58"/>
      <c r="B240" s="58"/>
      <c r="C240" s="58"/>
      <c r="D240" s="58"/>
      <c r="E240" s="58"/>
      <c r="F240" s="58"/>
      <c r="G240" s="58"/>
      <c r="H240" s="116"/>
      <c r="I240" s="117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2.75" customHeight="1">
      <c r="A241" s="58"/>
      <c r="B241" s="58"/>
      <c r="C241" s="58"/>
      <c r="D241" s="58"/>
      <c r="E241" s="58"/>
      <c r="F241" s="58"/>
      <c r="G241" s="58"/>
      <c r="H241" s="116"/>
      <c r="I241" s="117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2.75" customHeight="1">
      <c r="A242" s="58"/>
      <c r="B242" s="58"/>
      <c r="C242" s="58"/>
      <c r="D242" s="58"/>
      <c r="E242" s="58"/>
      <c r="F242" s="58"/>
      <c r="G242" s="58"/>
      <c r="H242" s="116"/>
      <c r="I242" s="117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2.75" customHeight="1">
      <c r="A243" s="58"/>
      <c r="B243" s="58"/>
      <c r="C243" s="58"/>
      <c r="D243" s="58"/>
      <c r="E243" s="58"/>
      <c r="F243" s="58"/>
      <c r="G243" s="58"/>
      <c r="H243" s="116"/>
      <c r="I243" s="117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2.75" customHeight="1">
      <c r="A244" s="58"/>
      <c r="B244" s="58"/>
      <c r="C244" s="58"/>
      <c r="D244" s="58"/>
      <c r="E244" s="58"/>
      <c r="F244" s="58"/>
      <c r="G244" s="58"/>
      <c r="H244" s="116"/>
      <c r="I244" s="117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2.75" customHeight="1">
      <c r="A245" s="58"/>
      <c r="B245" s="58"/>
      <c r="C245" s="58"/>
      <c r="D245" s="58"/>
      <c r="E245" s="58"/>
      <c r="F245" s="58"/>
      <c r="G245" s="58"/>
      <c r="H245" s="116"/>
      <c r="I245" s="117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2.75" customHeight="1">
      <c r="A246" s="58"/>
      <c r="B246" s="58"/>
      <c r="C246" s="58"/>
      <c r="D246" s="58"/>
      <c r="E246" s="58"/>
      <c r="F246" s="58"/>
      <c r="G246" s="58"/>
      <c r="H246" s="116"/>
      <c r="I246" s="117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2.75" customHeight="1">
      <c r="A247" s="58"/>
      <c r="B247" s="58"/>
      <c r="C247" s="58"/>
      <c r="D247" s="58"/>
      <c r="E247" s="58"/>
      <c r="F247" s="58"/>
      <c r="G247" s="58"/>
      <c r="H247" s="116"/>
      <c r="I247" s="117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2.75" customHeight="1">
      <c r="A248" s="58"/>
      <c r="B248" s="58"/>
      <c r="C248" s="58"/>
      <c r="D248" s="58"/>
      <c r="E248" s="58"/>
      <c r="F248" s="58"/>
      <c r="G248" s="58"/>
      <c r="H248" s="116"/>
      <c r="I248" s="117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2.75" customHeight="1">
      <c r="A249" s="58"/>
      <c r="B249" s="58"/>
      <c r="C249" s="58"/>
      <c r="D249" s="58"/>
      <c r="E249" s="58"/>
      <c r="F249" s="58"/>
      <c r="G249" s="58"/>
      <c r="H249" s="116"/>
      <c r="I249" s="117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2.75" customHeight="1">
      <c r="A250" s="58"/>
      <c r="B250" s="58"/>
      <c r="C250" s="58"/>
      <c r="D250" s="58"/>
      <c r="E250" s="58"/>
      <c r="F250" s="58"/>
      <c r="G250" s="58"/>
      <c r="H250" s="116"/>
      <c r="I250" s="117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2.75" customHeight="1">
      <c r="A251" s="58"/>
      <c r="B251" s="58"/>
      <c r="C251" s="58"/>
      <c r="D251" s="58"/>
      <c r="E251" s="58"/>
      <c r="F251" s="58"/>
      <c r="G251" s="58"/>
      <c r="H251" s="116"/>
      <c r="I251" s="117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2.75" customHeight="1">
      <c r="A252" s="58"/>
      <c r="B252" s="58"/>
      <c r="C252" s="58"/>
      <c r="D252" s="58"/>
      <c r="E252" s="58"/>
      <c r="F252" s="58"/>
      <c r="G252" s="58"/>
      <c r="H252" s="116"/>
      <c r="I252" s="117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2.75" customHeight="1">
      <c r="A253" s="58"/>
      <c r="B253" s="58"/>
      <c r="C253" s="58"/>
      <c r="D253" s="58"/>
      <c r="E253" s="58"/>
      <c r="F253" s="58"/>
      <c r="G253" s="58"/>
      <c r="H253" s="116"/>
      <c r="I253" s="117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2.75" customHeight="1">
      <c r="A254" s="58"/>
      <c r="B254" s="58"/>
      <c r="C254" s="58"/>
      <c r="D254" s="58"/>
      <c r="E254" s="58"/>
      <c r="F254" s="58"/>
      <c r="G254" s="58"/>
      <c r="H254" s="116"/>
      <c r="I254" s="117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2.75" customHeight="1">
      <c r="A255" s="58"/>
      <c r="B255" s="58"/>
      <c r="C255" s="58"/>
      <c r="D255" s="58"/>
      <c r="E255" s="58"/>
      <c r="F255" s="58"/>
      <c r="G255" s="58"/>
      <c r="H255" s="116"/>
      <c r="I255" s="117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2.75" customHeight="1">
      <c r="A256" s="58"/>
      <c r="B256" s="58"/>
      <c r="C256" s="58"/>
      <c r="D256" s="58"/>
      <c r="E256" s="58"/>
      <c r="F256" s="58"/>
      <c r="G256" s="58"/>
      <c r="H256" s="116"/>
      <c r="I256" s="117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2.75" customHeight="1">
      <c r="A257" s="58"/>
      <c r="B257" s="58"/>
      <c r="C257" s="58"/>
      <c r="D257" s="58"/>
      <c r="E257" s="58"/>
      <c r="F257" s="58"/>
      <c r="G257" s="58"/>
      <c r="H257" s="116"/>
      <c r="I257" s="117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2.75" customHeight="1">
      <c r="A258" s="58"/>
      <c r="B258" s="58"/>
      <c r="C258" s="58"/>
      <c r="D258" s="58"/>
      <c r="E258" s="58"/>
      <c r="F258" s="58"/>
      <c r="G258" s="58"/>
      <c r="H258" s="116"/>
      <c r="I258" s="117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2.75" customHeight="1">
      <c r="A259" s="58"/>
      <c r="B259" s="58"/>
      <c r="C259" s="58"/>
      <c r="D259" s="58"/>
      <c r="E259" s="58"/>
      <c r="F259" s="58"/>
      <c r="G259" s="58"/>
      <c r="H259" s="116"/>
      <c r="I259" s="117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2.75" customHeight="1">
      <c r="A260" s="58"/>
      <c r="B260" s="58"/>
      <c r="C260" s="58"/>
      <c r="D260" s="58"/>
      <c r="E260" s="58"/>
      <c r="F260" s="58"/>
      <c r="G260" s="58"/>
      <c r="H260" s="116"/>
      <c r="I260" s="117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2.75" customHeight="1">
      <c r="A261" s="58"/>
      <c r="B261" s="58"/>
      <c r="C261" s="58"/>
      <c r="D261" s="58"/>
      <c r="E261" s="58"/>
      <c r="F261" s="58"/>
      <c r="G261" s="58"/>
      <c r="H261" s="116"/>
      <c r="I261" s="117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2.75" customHeight="1">
      <c r="A262" s="58"/>
      <c r="B262" s="58"/>
      <c r="C262" s="58"/>
      <c r="D262" s="58"/>
      <c r="E262" s="58"/>
      <c r="F262" s="58"/>
      <c r="G262" s="58"/>
      <c r="H262" s="116"/>
      <c r="I262" s="117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2.75" customHeight="1">
      <c r="A263" s="58"/>
      <c r="B263" s="58"/>
      <c r="C263" s="58"/>
      <c r="D263" s="58"/>
      <c r="E263" s="58"/>
      <c r="F263" s="58"/>
      <c r="G263" s="58"/>
      <c r="H263" s="116"/>
      <c r="I263" s="117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2.75" customHeight="1">
      <c r="A264" s="58"/>
      <c r="B264" s="58"/>
      <c r="C264" s="58"/>
      <c r="D264" s="58"/>
      <c r="E264" s="58"/>
      <c r="F264" s="58"/>
      <c r="G264" s="58"/>
      <c r="H264" s="116"/>
      <c r="I264" s="117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2.75" customHeight="1">
      <c r="A265" s="58"/>
      <c r="B265" s="58"/>
      <c r="C265" s="58"/>
      <c r="D265" s="58"/>
      <c r="E265" s="58"/>
      <c r="F265" s="58"/>
      <c r="G265" s="58"/>
      <c r="H265" s="116"/>
      <c r="I265" s="117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2.75" customHeight="1">
      <c r="A266" s="58"/>
      <c r="B266" s="58"/>
      <c r="C266" s="58"/>
      <c r="D266" s="58"/>
      <c r="E266" s="58"/>
      <c r="F266" s="58"/>
      <c r="G266" s="58"/>
      <c r="H266" s="116"/>
      <c r="I266" s="117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2.75" customHeight="1">
      <c r="A267" s="58"/>
      <c r="B267" s="58"/>
      <c r="C267" s="58"/>
      <c r="D267" s="58"/>
      <c r="E267" s="58"/>
      <c r="F267" s="58"/>
      <c r="G267" s="58"/>
      <c r="H267" s="116"/>
      <c r="I267" s="117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2.75" customHeight="1">
      <c r="A268" s="58"/>
      <c r="B268" s="58"/>
      <c r="C268" s="58"/>
      <c r="D268" s="58"/>
      <c r="E268" s="58"/>
      <c r="F268" s="58"/>
      <c r="G268" s="58"/>
      <c r="H268" s="116"/>
      <c r="I268" s="117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2.75" customHeight="1">
      <c r="A269" s="58"/>
      <c r="B269" s="58"/>
      <c r="C269" s="58"/>
      <c r="D269" s="58"/>
      <c r="E269" s="58"/>
      <c r="F269" s="58"/>
      <c r="G269" s="58"/>
      <c r="H269" s="116"/>
      <c r="I269" s="117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2.75" customHeight="1">
      <c r="A270" s="58"/>
      <c r="B270" s="58"/>
      <c r="C270" s="58"/>
      <c r="D270" s="58"/>
      <c r="E270" s="58"/>
      <c r="F270" s="58"/>
      <c r="G270" s="58"/>
      <c r="H270" s="116"/>
      <c r="I270" s="117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2.75" customHeight="1">
      <c r="A271" s="58"/>
      <c r="B271" s="58"/>
      <c r="C271" s="58"/>
      <c r="D271" s="58"/>
      <c r="E271" s="58"/>
      <c r="F271" s="58"/>
      <c r="G271" s="58"/>
      <c r="H271" s="116"/>
      <c r="I271" s="117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2.75" customHeight="1">
      <c r="A272" s="58"/>
      <c r="B272" s="58"/>
      <c r="C272" s="58"/>
      <c r="D272" s="58"/>
      <c r="E272" s="58"/>
      <c r="F272" s="58"/>
      <c r="G272" s="58"/>
      <c r="H272" s="116"/>
      <c r="I272" s="117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2.75" customHeight="1">
      <c r="A273" s="58"/>
      <c r="B273" s="58"/>
      <c r="C273" s="58"/>
      <c r="D273" s="58"/>
      <c r="E273" s="58"/>
      <c r="F273" s="58"/>
      <c r="G273" s="58"/>
      <c r="H273" s="116"/>
      <c r="I273" s="117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2.75" customHeight="1">
      <c r="A274" s="58"/>
      <c r="B274" s="58"/>
      <c r="C274" s="58"/>
      <c r="D274" s="58"/>
      <c r="E274" s="58"/>
      <c r="F274" s="58"/>
      <c r="G274" s="58"/>
      <c r="H274" s="116"/>
      <c r="I274" s="117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2.75" customHeight="1">
      <c r="A275" s="58"/>
      <c r="B275" s="58"/>
      <c r="C275" s="58"/>
      <c r="D275" s="58"/>
      <c r="E275" s="58"/>
      <c r="F275" s="58"/>
      <c r="G275" s="58"/>
      <c r="H275" s="116"/>
      <c r="I275" s="117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2.75" customHeight="1">
      <c r="A276" s="58"/>
      <c r="B276" s="58"/>
      <c r="C276" s="58"/>
      <c r="D276" s="58"/>
      <c r="E276" s="58"/>
      <c r="F276" s="58"/>
      <c r="G276" s="58"/>
      <c r="H276" s="116"/>
      <c r="I276" s="117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2.75" customHeight="1">
      <c r="A277" s="58"/>
      <c r="B277" s="58"/>
      <c r="C277" s="58"/>
      <c r="D277" s="58"/>
      <c r="E277" s="58"/>
      <c r="F277" s="58"/>
      <c r="G277" s="58"/>
      <c r="H277" s="116"/>
      <c r="I277" s="117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2.75" customHeight="1">
      <c r="A278" s="58"/>
      <c r="B278" s="58"/>
      <c r="C278" s="58"/>
      <c r="D278" s="58"/>
      <c r="E278" s="58"/>
      <c r="F278" s="58"/>
      <c r="G278" s="58"/>
      <c r="H278" s="116"/>
      <c r="I278" s="117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2.75" customHeight="1">
      <c r="A279" s="58"/>
      <c r="B279" s="58"/>
      <c r="C279" s="58"/>
      <c r="D279" s="58"/>
      <c r="E279" s="58"/>
      <c r="F279" s="58"/>
      <c r="G279" s="58"/>
      <c r="H279" s="116"/>
      <c r="I279" s="117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2.75" customHeight="1">
      <c r="A280" s="58"/>
      <c r="B280" s="58"/>
      <c r="C280" s="58"/>
      <c r="D280" s="58"/>
      <c r="E280" s="58"/>
      <c r="F280" s="58"/>
      <c r="G280" s="58"/>
      <c r="H280" s="116"/>
      <c r="I280" s="117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2.75" customHeight="1">
      <c r="A281" s="58"/>
      <c r="B281" s="58"/>
      <c r="C281" s="58"/>
      <c r="D281" s="58"/>
      <c r="E281" s="58"/>
      <c r="F281" s="58"/>
      <c r="G281" s="58"/>
      <c r="H281" s="116"/>
      <c r="I281" s="117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2.75" customHeight="1">
      <c r="A282" s="58"/>
      <c r="B282" s="58"/>
      <c r="C282" s="58"/>
      <c r="D282" s="58"/>
      <c r="E282" s="58"/>
      <c r="F282" s="58"/>
      <c r="G282" s="58"/>
      <c r="H282" s="116"/>
      <c r="I282" s="117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2.75" customHeight="1">
      <c r="A283" s="58"/>
      <c r="B283" s="58"/>
      <c r="C283" s="58"/>
      <c r="D283" s="58"/>
      <c r="E283" s="58"/>
      <c r="F283" s="58"/>
      <c r="G283" s="58"/>
      <c r="H283" s="116"/>
      <c r="I283" s="117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2.75" customHeight="1">
      <c r="A284" s="58"/>
      <c r="B284" s="58"/>
      <c r="C284" s="58"/>
      <c r="D284" s="58"/>
      <c r="E284" s="58"/>
      <c r="F284" s="58"/>
      <c r="G284" s="58"/>
      <c r="H284" s="116"/>
      <c r="I284" s="117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2.75" customHeight="1">
      <c r="A285" s="58"/>
      <c r="B285" s="58"/>
      <c r="C285" s="58"/>
      <c r="D285" s="58"/>
      <c r="E285" s="58"/>
      <c r="F285" s="58"/>
      <c r="G285" s="58"/>
      <c r="H285" s="116"/>
      <c r="I285" s="117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2.75" customHeight="1">
      <c r="A286" s="58"/>
      <c r="B286" s="58"/>
      <c r="C286" s="58"/>
      <c r="D286" s="58"/>
      <c r="E286" s="58"/>
      <c r="F286" s="58"/>
      <c r="G286" s="58"/>
      <c r="H286" s="116"/>
      <c r="I286" s="117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2.75" customHeight="1">
      <c r="A287" s="58"/>
      <c r="B287" s="58"/>
      <c r="C287" s="58"/>
      <c r="D287" s="58"/>
      <c r="E287" s="58"/>
      <c r="F287" s="58"/>
      <c r="G287" s="58"/>
      <c r="H287" s="116"/>
      <c r="I287" s="117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2.75" customHeight="1">
      <c r="A288" s="58"/>
      <c r="B288" s="58"/>
      <c r="C288" s="58"/>
      <c r="D288" s="58"/>
      <c r="E288" s="58"/>
      <c r="F288" s="58"/>
      <c r="G288" s="58"/>
      <c r="H288" s="116"/>
      <c r="I288" s="117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2.75" customHeight="1">
      <c r="A289" s="58"/>
      <c r="B289" s="58"/>
      <c r="C289" s="58"/>
      <c r="D289" s="58"/>
      <c r="E289" s="58"/>
      <c r="F289" s="58"/>
      <c r="G289" s="58"/>
      <c r="H289" s="116"/>
      <c r="I289" s="117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2.75" customHeight="1">
      <c r="A290" s="58"/>
      <c r="B290" s="58"/>
      <c r="C290" s="58"/>
      <c r="D290" s="58"/>
      <c r="E290" s="58"/>
      <c r="F290" s="58"/>
      <c r="G290" s="58"/>
      <c r="H290" s="116"/>
      <c r="I290" s="117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2.75" customHeight="1">
      <c r="A291" s="58"/>
      <c r="B291" s="58"/>
      <c r="C291" s="58"/>
      <c r="D291" s="58"/>
      <c r="E291" s="58"/>
      <c r="F291" s="58"/>
      <c r="G291" s="58"/>
      <c r="H291" s="116"/>
      <c r="I291" s="117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2.75" customHeight="1">
      <c r="A292" s="58"/>
      <c r="B292" s="58"/>
      <c r="C292" s="58"/>
      <c r="D292" s="58"/>
      <c r="E292" s="58"/>
      <c r="F292" s="58"/>
      <c r="G292" s="58"/>
      <c r="H292" s="116"/>
      <c r="I292" s="117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2.75" customHeight="1">
      <c r="A293" s="58"/>
      <c r="B293" s="58"/>
      <c r="C293" s="58"/>
      <c r="D293" s="58"/>
      <c r="E293" s="58"/>
      <c r="F293" s="58"/>
      <c r="G293" s="58"/>
      <c r="H293" s="116"/>
      <c r="I293" s="117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2.75" customHeight="1">
      <c r="A294" s="58"/>
      <c r="B294" s="58"/>
      <c r="C294" s="58"/>
      <c r="D294" s="58"/>
      <c r="E294" s="58"/>
      <c r="F294" s="58"/>
      <c r="G294" s="58"/>
      <c r="H294" s="116"/>
      <c r="I294" s="117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2.75" customHeight="1">
      <c r="A295" s="58"/>
      <c r="B295" s="58"/>
      <c r="C295" s="58"/>
      <c r="D295" s="58"/>
      <c r="E295" s="58"/>
      <c r="F295" s="58"/>
      <c r="G295" s="58"/>
      <c r="H295" s="116"/>
      <c r="I295" s="117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2.75" customHeight="1">
      <c r="A296" s="58"/>
      <c r="B296" s="58"/>
      <c r="C296" s="58"/>
      <c r="D296" s="58"/>
      <c r="E296" s="58"/>
      <c r="F296" s="58"/>
      <c r="G296" s="58"/>
      <c r="H296" s="116"/>
      <c r="I296" s="117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2.75" customHeight="1">
      <c r="A297" s="58"/>
      <c r="B297" s="58"/>
      <c r="C297" s="58"/>
      <c r="D297" s="58"/>
      <c r="E297" s="58"/>
      <c r="F297" s="58"/>
      <c r="G297" s="58"/>
      <c r="H297" s="116"/>
      <c r="I297" s="117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2.75" customHeight="1">
      <c r="A298" s="58"/>
      <c r="B298" s="58"/>
      <c r="C298" s="58"/>
      <c r="D298" s="58"/>
      <c r="E298" s="58"/>
      <c r="F298" s="58"/>
      <c r="G298" s="58"/>
      <c r="H298" s="116"/>
      <c r="I298" s="117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2.75" customHeight="1">
      <c r="A299" s="58"/>
      <c r="B299" s="58"/>
      <c r="C299" s="58"/>
      <c r="D299" s="58"/>
      <c r="E299" s="58"/>
      <c r="F299" s="58"/>
      <c r="G299" s="58"/>
      <c r="H299" s="116"/>
      <c r="I299" s="117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2.75" customHeight="1">
      <c r="A300" s="58"/>
      <c r="B300" s="58"/>
      <c r="C300" s="58"/>
      <c r="D300" s="58"/>
      <c r="E300" s="58"/>
      <c r="F300" s="58"/>
      <c r="G300" s="58"/>
      <c r="H300" s="116"/>
      <c r="I300" s="117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2.75" customHeight="1">
      <c r="A301" s="58"/>
      <c r="B301" s="58"/>
      <c r="C301" s="58"/>
      <c r="D301" s="58"/>
      <c r="E301" s="58"/>
      <c r="F301" s="58"/>
      <c r="G301" s="58"/>
      <c r="H301" s="116"/>
      <c r="I301" s="117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2.75" customHeight="1">
      <c r="A302" s="58"/>
      <c r="B302" s="58"/>
      <c r="C302" s="58"/>
      <c r="D302" s="58"/>
      <c r="E302" s="58"/>
      <c r="F302" s="58"/>
      <c r="G302" s="58"/>
      <c r="H302" s="116"/>
      <c r="I302" s="117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2.75" customHeight="1">
      <c r="A303" s="58"/>
      <c r="B303" s="58"/>
      <c r="C303" s="58"/>
      <c r="D303" s="58"/>
      <c r="E303" s="58"/>
      <c r="F303" s="58"/>
      <c r="G303" s="58"/>
      <c r="H303" s="116"/>
      <c r="I303" s="117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2.75" customHeight="1">
      <c r="A304" s="58"/>
      <c r="B304" s="58"/>
      <c r="C304" s="58"/>
      <c r="D304" s="58"/>
      <c r="E304" s="58"/>
      <c r="F304" s="58"/>
      <c r="G304" s="58"/>
      <c r="H304" s="116"/>
      <c r="I304" s="117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2.75" customHeight="1">
      <c r="A305" s="58"/>
      <c r="B305" s="58"/>
      <c r="C305" s="58"/>
      <c r="D305" s="58"/>
      <c r="E305" s="58"/>
      <c r="F305" s="58"/>
      <c r="G305" s="58"/>
      <c r="H305" s="116"/>
      <c r="I305" s="117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2.75" customHeight="1">
      <c r="A306" s="58"/>
      <c r="B306" s="58"/>
      <c r="C306" s="58"/>
      <c r="D306" s="58"/>
      <c r="E306" s="58"/>
      <c r="F306" s="58"/>
      <c r="G306" s="58"/>
      <c r="H306" s="116"/>
      <c r="I306" s="117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2.75" customHeight="1">
      <c r="A307" s="58"/>
      <c r="B307" s="58"/>
      <c r="C307" s="58"/>
      <c r="D307" s="58"/>
      <c r="E307" s="58"/>
      <c r="F307" s="58"/>
      <c r="G307" s="58"/>
      <c r="H307" s="116"/>
      <c r="I307" s="117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2.75" customHeight="1">
      <c r="A308" s="58"/>
      <c r="B308" s="58"/>
      <c r="C308" s="58"/>
      <c r="D308" s="58"/>
      <c r="E308" s="58"/>
      <c r="F308" s="58"/>
      <c r="G308" s="58"/>
      <c r="H308" s="116"/>
      <c r="I308" s="117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2.75" customHeight="1">
      <c r="A309" s="58"/>
      <c r="B309" s="58"/>
      <c r="C309" s="58"/>
      <c r="D309" s="58"/>
      <c r="E309" s="58"/>
      <c r="F309" s="58"/>
      <c r="G309" s="58"/>
      <c r="H309" s="116"/>
      <c r="I309" s="117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2.75" customHeight="1">
      <c r="A310" s="58"/>
      <c r="B310" s="58"/>
      <c r="C310" s="58"/>
      <c r="D310" s="58"/>
      <c r="E310" s="58"/>
      <c r="F310" s="58"/>
      <c r="G310" s="58"/>
      <c r="H310" s="116"/>
      <c r="I310" s="117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2.75" customHeight="1">
      <c r="A311" s="58"/>
      <c r="B311" s="58"/>
      <c r="C311" s="58"/>
      <c r="D311" s="58"/>
      <c r="E311" s="58"/>
      <c r="F311" s="58"/>
      <c r="G311" s="58"/>
      <c r="H311" s="116"/>
      <c r="I311" s="117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2.75" customHeight="1">
      <c r="A312" s="58"/>
      <c r="B312" s="58"/>
      <c r="C312" s="58"/>
      <c r="D312" s="58"/>
      <c r="E312" s="58"/>
      <c r="F312" s="58"/>
      <c r="G312" s="58"/>
      <c r="H312" s="116"/>
      <c r="I312" s="117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2.75" customHeight="1">
      <c r="A313" s="58"/>
      <c r="B313" s="58"/>
      <c r="C313" s="58"/>
      <c r="D313" s="58"/>
      <c r="E313" s="58"/>
      <c r="F313" s="58"/>
      <c r="G313" s="58"/>
      <c r="H313" s="116"/>
      <c r="I313" s="117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2.75" customHeight="1">
      <c r="A314" s="58"/>
      <c r="B314" s="58"/>
      <c r="C314" s="58"/>
      <c r="D314" s="58"/>
      <c r="E314" s="58"/>
      <c r="F314" s="58"/>
      <c r="G314" s="58"/>
      <c r="H314" s="116"/>
      <c r="I314" s="117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2.75" customHeight="1">
      <c r="A315" s="58"/>
      <c r="B315" s="58"/>
      <c r="C315" s="58"/>
      <c r="D315" s="58"/>
      <c r="E315" s="58"/>
      <c r="F315" s="58"/>
      <c r="G315" s="58"/>
      <c r="H315" s="116"/>
      <c r="I315" s="117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2.75" customHeight="1">
      <c r="A316" s="58"/>
      <c r="B316" s="58"/>
      <c r="C316" s="58"/>
      <c r="D316" s="58"/>
      <c r="E316" s="58"/>
      <c r="F316" s="58"/>
      <c r="G316" s="58"/>
      <c r="H316" s="116"/>
      <c r="I316" s="117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2.75" customHeight="1">
      <c r="A317" s="58"/>
      <c r="B317" s="58"/>
      <c r="C317" s="58"/>
      <c r="D317" s="58"/>
      <c r="E317" s="58"/>
      <c r="F317" s="58"/>
      <c r="G317" s="58"/>
      <c r="H317" s="116"/>
      <c r="I317" s="117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2.75" customHeight="1">
      <c r="A318" s="58"/>
      <c r="B318" s="58"/>
      <c r="C318" s="58"/>
      <c r="D318" s="58"/>
      <c r="E318" s="58"/>
      <c r="F318" s="58"/>
      <c r="G318" s="58"/>
      <c r="H318" s="116"/>
      <c r="I318" s="117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2.75" customHeight="1">
      <c r="A319" s="58"/>
      <c r="B319" s="58"/>
      <c r="C319" s="58"/>
      <c r="D319" s="58"/>
      <c r="E319" s="58"/>
      <c r="F319" s="58"/>
      <c r="G319" s="58"/>
      <c r="H319" s="116"/>
      <c r="I319" s="117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2.75" customHeight="1">
      <c r="A320" s="58"/>
      <c r="B320" s="58"/>
      <c r="C320" s="58"/>
      <c r="D320" s="58"/>
      <c r="E320" s="58"/>
      <c r="F320" s="58"/>
      <c r="G320" s="58"/>
      <c r="H320" s="116"/>
      <c r="I320" s="117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2.75" customHeight="1">
      <c r="A321" s="58"/>
      <c r="B321" s="58"/>
      <c r="C321" s="58"/>
      <c r="D321" s="58"/>
      <c r="E321" s="58"/>
      <c r="F321" s="58"/>
      <c r="G321" s="58"/>
      <c r="H321" s="116"/>
      <c r="I321" s="117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2.75" customHeight="1">
      <c r="A322" s="58"/>
      <c r="B322" s="58"/>
      <c r="C322" s="58"/>
      <c r="D322" s="58"/>
      <c r="E322" s="58"/>
      <c r="F322" s="58"/>
      <c r="G322" s="58"/>
      <c r="H322" s="116"/>
      <c r="I322" s="117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2.75" customHeight="1">
      <c r="A323" s="58"/>
      <c r="B323" s="58"/>
      <c r="C323" s="58"/>
      <c r="D323" s="58"/>
      <c r="E323" s="58"/>
      <c r="F323" s="58"/>
      <c r="G323" s="58"/>
      <c r="H323" s="116"/>
      <c r="I323" s="117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2.75" customHeight="1">
      <c r="A324" s="58"/>
      <c r="B324" s="58"/>
      <c r="C324" s="58"/>
      <c r="D324" s="58"/>
      <c r="E324" s="58"/>
      <c r="F324" s="58"/>
      <c r="G324" s="58"/>
      <c r="H324" s="116"/>
      <c r="I324" s="117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2.75" customHeight="1">
      <c r="A325" s="58"/>
      <c r="B325" s="58"/>
      <c r="C325" s="58"/>
      <c r="D325" s="58"/>
      <c r="E325" s="58"/>
      <c r="F325" s="58"/>
      <c r="G325" s="58"/>
      <c r="H325" s="116"/>
      <c r="I325" s="117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2.75" customHeight="1">
      <c r="A326" s="58"/>
      <c r="B326" s="58"/>
      <c r="C326" s="58"/>
      <c r="D326" s="58"/>
      <c r="E326" s="58"/>
      <c r="F326" s="58"/>
      <c r="G326" s="58"/>
      <c r="H326" s="116"/>
      <c r="I326" s="117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2.75" customHeight="1">
      <c r="A327" s="58"/>
      <c r="B327" s="58"/>
      <c r="C327" s="58"/>
      <c r="D327" s="58"/>
      <c r="E327" s="58"/>
      <c r="F327" s="58"/>
      <c r="G327" s="58"/>
      <c r="H327" s="116"/>
      <c r="I327" s="117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2.75" customHeight="1">
      <c r="A328" s="58"/>
      <c r="B328" s="58"/>
      <c r="C328" s="58"/>
      <c r="D328" s="58"/>
      <c r="E328" s="58"/>
      <c r="F328" s="58"/>
      <c r="G328" s="58"/>
      <c r="H328" s="116"/>
      <c r="I328" s="117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2.75" customHeight="1">
      <c r="A329" s="58"/>
      <c r="B329" s="58"/>
      <c r="C329" s="58"/>
      <c r="D329" s="58"/>
      <c r="E329" s="58"/>
      <c r="F329" s="58"/>
      <c r="G329" s="58"/>
      <c r="H329" s="116"/>
      <c r="I329" s="117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2.75" customHeight="1">
      <c r="A330" s="58"/>
      <c r="B330" s="58"/>
      <c r="C330" s="58"/>
      <c r="D330" s="58"/>
      <c r="E330" s="58"/>
      <c r="F330" s="58"/>
      <c r="G330" s="58"/>
      <c r="H330" s="116"/>
      <c r="I330" s="117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2.75" customHeight="1">
      <c r="A331" s="58"/>
      <c r="B331" s="58"/>
      <c r="C331" s="58"/>
      <c r="D331" s="58"/>
      <c r="E331" s="58"/>
      <c r="F331" s="58"/>
      <c r="G331" s="58"/>
      <c r="H331" s="116"/>
      <c r="I331" s="117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2.75" customHeight="1">
      <c r="A332" s="58"/>
      <c r="B332" s="58"/>
      <c r="C332" s="58"/>
      <c r="D332" s="58"/>
      <c r="E332" s="58"/>
      <c r="F332" s="58"/>
      <c r="G332" s="58"/>
      <c r="H332" s="116"/>
      <c r="I332" s="117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2.75" customHeight="1">
      <c r="A333" s="58"/>
      <c r="B333" s="58"/>
      <c r="C333" s="58"/>
      <c r="D333" s="58"/>
      <c r="E333" s="58"/>
      <c r="F333" s="58"/>
      <c r="G333" s="58"/>
      <c r="H333" s="116"/>
      <c r="I333" s="117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2.75" customHeight="1">
      <c r="A334" s="58"/>
      <c r="B334" s="58"/>
      <c r="C334" s="58"/>
      <c r="D334" s="58"/>
      <c r="E334" s="58"/>
      <c r="F334" s="58"/>
      <c r="G334" s="58"/>
      <c r="H334" s="116"/>
      <c r="I334" s="117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2.75" customHeight="1">
      <c r="A335" s="58"/>
      <c r="B335" s="58"/>
      <c r="C335" s="58"/>
      <c r="D335" s="58"/>
      <c r="E335" s="58"/>
      <c r="F335" s="58"/>
      <c r="G335" s="58"/>
      <c r="H335" s="116"/>
      <c r="I335" s="117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2.75" customHeight="1">
      <c r="A336" s="58"/>
      <c r="B336" s="58"/>
      <c r="C336" s="58"/>
      <c r="D336" s="58"/>
      <c r="E336" s="58"/>
      <c r="F336" s="58"/>
      <c r="G336" s="58"/>
      <c r="H336" s="116"/>
      <c r="I336" s="117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2.75" customHeight="1">
      <c r="A337" s="58"/>
      <c r="B337" s="58"/>
      <c r="C337" s="58"/>
      <c r="D337" s="58"/>
      <c r="E337" s="58"/>
      <c r="F337" s="58"/>
      <c r="G337" s="58"/>
      <c r="H337" s="116"/>
      <c r="I337" s="117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2.75" customHeight="1">
      <c r="A338" s="58"/>
      <c r="B338" s="58"/>
      <c r="C338" s="58"/>
      <c r="D338" s="58"/>
      <c r="E338" s="58"/>
      <c r="F338" s="58"/>
      <c r="G338" s="58"/>
      <c r="H338" s="116"/>
      <c r="I338" s="117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2.75" customHeight="1">
      <c r="A339" s="58"/>
      <c r="B339" s="58"/>
      <c r="C339" s="58"/>
      <c r="D339" s="58"/>
      <c r="E339" s="58"/>
      <c r="F339" s="58"/>
      <c r="G339" s="58"/>
      <c r="H339" s="116"/>
      <c r="I339" s="117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2.75" customHeight="1">
      <c r="A340" s="58"/>
      <c r="B340" s="58"/>
      <c r="C340" s="58"/>
      <c r="D340" s="58"/>
      <c r="E340" s="58"/>
      <c r="F340" s="58"/>
      <c r="G340" s="58"/>
      <c r="H340" s="116"/>
      <c r="I340" s="117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2.75" customHeight="1">
      <c r="A341" s="58"/>
      <c r="B341" s="58"/>
      <c r="C341" s="58"/>
      <c r="D341" s="58"/>
      <c r="E341" s="58"/>
      <c r="F341" s="58"/>
      <c r="G341" s="58"/>
      <c r="H341" s="116"/>
      <c r="I341" s="117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2.75" customHeight="1">
      <c r="A342" s="58"/>
      <c r="B342" s="58"/>
      <c r="C342" s="58"/>
      <c r="D342" s="58"/>
      <c r="E342" s="58"/>
      <c r="F342" s="58"/>
      <c r="G342" s="58"/>
      <c r="H342" s="116"/>
      <c r="I342" s="117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2.75" customHeight="1">
      <c r="A343" s="58"/>
      <c r="B343" s="58"/>
      <c r="C343" s="58"/>
      <c r="D343" s="58"/>
      <c r="E343" s="58"/>
      <c r="F343" s="58"/>
      <c r="G343" s="58"/>
      <c r="H343" s="116"/>
      <c r="I343" s="117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2.75" customHeight="1">
      <c r="A344" s="58"/>
      <c r="B344" s="58"/>
      <c r="C344" s="58"/>
      <c r="D344" s="58"/>
      <c r="E344" s="58"/>
      <c r="F344" s="58"/>
      <c r="G344" s="58"/>
      <c r="H344" s="116"/>
      <c r="I344" s="117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2.75" customHeight="1">
      <c r="A345" s="58"/>
      <c r="B345" s="58"/>
      <c r="C345" s="58"/>
      <c r="D345" s="58"/>
      <c r="E345" s="58"/>
      <c r="F345" s="58"/>
      <c r="G345" s="58"/>
      <c r="H345" s="116"/>
      <c r="I345" s="117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2.75" customHeight="1">
      <c r="A346" s="58"/>
      <c r="B346" s="58"/>
      <c r="C346" s="58"/>
      <c r="D346" s="58"/>
      <c r="E346" s="58"/>
      <c r="F346" s="58"/>
      <c r="G346" s="58"/>
      <c r="H346" s="116"/>
      <c r="I346" s="117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2.75" customHeight="1">
      <c r="A347" s="58"/>
      <c r="B347" s="58"/>
      <c r="C347" s="58"/>
      <c r="D347" s="58"/>
      <c r="E347" s="58"/>
      <c r="F347" s="58"/>
      <c r="G347" s="58"/>
      <c r="H347" s="116"/>
      <c r="I347" s="117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2.75" customHeight="1">
      <c r="A348" s="58"/>
      <c r="B348" s="58"/>
      <c r="C348" s="58"/>
      <c r="D348" s="58"/>
      <c r="E348" s="58"/>
      <c r="F348" s="58"/>
      <c r="G348" s="58"/>
      <c r="H348" s="116"/>
      <c r="I348" s="117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2.75" customHeight="1">
      <c r="A349" s="58"/>
      <c r="B349" s="58"/>
      <c r="C349" s="58"/>
      <c r="D349" s="58"/>
      <c r="E349" s="58"/>
      <c r="F349" s="58"/>
      <c r="G349" s="58"/>
      <c r="H349" s="116"/>
      <c r="I349" s="117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2.75" customHeight="1">
      <c r="A350" s="58"/>
      <c r="B350" s="58"/>
      <c r="C350" s="58"/>
      <c r="D350" s="58"/>
      <c r="E350" s="58"/>
      <c r="F350" s="58"/>
      <c r="G350" s="58"/>
      <c r="H350" s="116"/>
      <c r="I350" s="117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2.75" customHeight="1">
      <c r="A351" s="58"/>
      <c r="B351" s="58"/>
      <c r="C351" s="58"/>
      <c r="D351" s="58"/>
      <c r="E351" s="58"/>
      <c r="F351" s="58"/>
      <c r="G351" s="58"/>
      <c r="H351" s="116"/>
      <c r="I351" s="117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2.75" customHeight="1">
      <c r="A352" s="58"/>
      <c r="B352" s="58"/>
      <c r="C352" s="58"/>
      <c r="D352" s="58"/>
      <c r="E352" s="58"/>
      <c r="F352" s="58"/>
      <c r="G352" s="58"/>
      <c r="H352" s="116"/>
      <c r="I352" s="117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2.75" customHeight="1">
      <c r="A353" s="58"/>
      <c r="B353" s="58"/>
      <c r="C353" s="58"/>
      <c r="D353" s="58"/>
      <c r="E353" s="58"/>
      <c r="F353" s="58"/>
      <c r="G353" s="58"/>
      <c r="H353" s="116"/>
      <c r="I353" s="117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2.75" customHeight="1">
      <c r="A354" s="58"/>
      <c r="B354" s="58"/>
      <c r="C354" s="58"/>
      <c r="D354" s="58"/>
      <c r="E354" s="58"/>
      <c r="F354" s="58"/>
      <c r="G354" s="58"/>
      <c r="H354" s="116"/>
      <c r="I354" s="117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2.75" customHeight="1">
      <c r="A355" s="58"/>
      <c r="B355" s="58"/>
      <c r="C355" s="58"/>
      <c r="D355" s="58"/>
      <c r="E355" s="58"/>
      <c r="F355" s="58"/>
      <c r="G355" s="58"/>
      <c r="H355" s="116"/>
      <c r="I355" s="117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2.75" customHeight="1">
      <c r="A356" s="58"/>
      <c r="B356" s="58"/>
      <c r="C356" s="58"/>
      <c r="D356" s="58"/>
      <c r="E356" s="58"/>
      <c r="F356" s="58"/>
      <c r="G356" s="58"/>
      <c r="H356" s="116"/>
      <c r="I356" s="117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2.75" customHeight="1">
      <c r="A357" s="58"/>
      <c r="B357" s="58"/>
      <c r="C357" s="58"/>
      <c r="D357" s="58"/>
      <c r="E357" s="58"/>
      <c r="F357" s="58"/>
      <c r="G357" s="58"/>
      <c r="H357" s="116"/>
      <c r="I357" s="117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2.75" customHeight="1">
      <c r="A358" s="58"/>
      <c r="B358" s="58"/>
      <c r="C358" s="58"/>
      <c r="D358" s="58"/>
      <c r="E358" s="58"/>
      <c r="F358" s="58"/>
      <c r="G358" s="58"/>
      <c r="H358" s="116"/>
      <c r="I358" s="117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2.75" customHeight="1">
      <c r="A359" s="58"/>
      <c r="B359" s="58"/>
      <c r="C359" s="58"/>
      <c r="D359" s="58"/>
      <c r="E359" s="58"/>
      <c r="F359" s="58"/>
      <c r="G359" s="58"/>
      <c r="H359" s="116"/>
      <c r="I359" s="117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2.75" customHeight="1">
      <c r="A360" s="58"/>
      <c r="B360" s="58"/>
      <c r="C360" s="58"/>
      <c r="D360" s="58"/>
      <c r="E360" s="58"/>
      <c r="F360" s="58"/>
      <c r="G360" s="58"/>
      <c r="H360" s="116"/>
      <c r="I360" s="117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2.75" customHeight="1">
      <c r="A361" s="58"/>
      <c r="B361" s="58"/>
      <c r="C361" s="58"/>
      <c r="D361" s="58"/>
      <c r="E361" s="58"/>
      <c r="F361" s="58"/>
      <c r="G361" s="58"/>
      <c r="H361" s="116"/>
      <c r="I361" s="117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2.75" customHeight="1">
      <c r="A362" s="58"/>
      <c r="B362" s="58"/>
      <c r="C362" s="58"/>
      <c r="D362" s="58"/>
      <c r="E362" s="58"/>
      <c r="F362" s="58"/>
      <c r="G362" s="58"/>
      <c r="H362" s="116"/>
      <c r="I362" s="117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2.75" customHeight="1">
      <c r="A363" s="58"/>
      <c r="B363" s="58"/>
      <c r="C363" s="58"/>
      <c r="D363" s="58"/>
      <c r="E363" s="58"/>
      <c r="F363" s="58"/>
      <c r="G363" s="58"/>
      <c r="H363" s="116"/>
      <c r="I363" s="117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2.75" customHeight="1">
      <c r="A364" s="58"/>
      <c r="B364" s="58"/>
      <c r="C364" s="58"/>
      <c r="D364" s="58"/>
      <c r="E364" s="58"/>
      <c r="F364" s="58"/>
      <c r="G364" s="58"/>
      <c r="H364" s="116"/>
      <c r="I364" s="117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2.75" customHeight="1">
      <c r="A365" s="58"/>
      <c r="B365" s="58"/>
      <c r="C365" s="58"/>
      <c r="D365" s="58"/>
      <c r="E365" s="58"/>
      <c r="F365" s="58"/>
      <c r="G365" s="58"/>
      <c r="H365" s="116"/>
      <c r="I365" s="117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2.75" customHeight="1">
      <c r="A366" s="58"/>
      <c r="B366" s="58"/>
      <c r="C366" s="58"/>
      <c r="D366" s="58"/>
      <c r="E366" s="58"/>
      <c r="F366" s="58"/>
      <c r="G366" s="58"/>
      <c r="H366" s="116"/>
      <c r="I366" s="117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2.75" customHeight="1">
      <c r="A367" s="58"/>
      <c r="B367" s="58"/>
      <c r="C367" s="58"/>
      <c r="D367" s="58"/>
      <c r="E367" s="58"/>
      <c r="F367" s="58"/>
      <c r="G367" s="58"/>
      <c r="H367" s="116"/>
      <c r="I367" s="117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2.75" customHeight="1">
      <c r="A368" s="58"/>
      <c r="B368" s="58"/>
      <c r="C368" s="58"/>
      <c r="D368" s="58"/>
      <c r="E368" s="58"/>
      <c r="F368" s="58"/>
      <c r="G368" s="58"/>
      <c r="H368" s="116"/>
      <c r="I368" s="117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2.75" customHeight="1">
      <c r="A369" s="58"/>
      <c r="B369" s="58"/>
      <c r="C369" s="58"/>
      <c r="D369" s="58"/>
      <c r="E369" s="58"/>
      <c r="F369" s="58"/>
      <c r="G369" s="58"/>
      <c r="H369" s="116"/>
      <c r="I369" s="117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2.75" customHeight="1">
      <c r="A370" s="58"/>
      <c r="B370" s="58"/>
      <c r="C370" s="58"/>
      <c r="D370" s="58"/>
      <c r="E370" s="58"/>
      <c r="F370" s="58"/>
      <c r="G370" s="58"/>
      <c r="H370" s="116"/>
      <c r="I370" s="117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2.75" customHeight="1">
      <c r="A371" s="58"/>
      <c r="B371" s="58"/>
      <c r="C371" s="58"/>
      <c r="D371" s="58"/>
      <c r="E371" s="58"/>
      <c r="F371" s="58"/>
      <c r="G371" s="58"/>
      <c r="H371" s="116"/>
      <c r="I371" s="117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2.75" customHeight="1">
      <c r="A372" s="58"/>
      <c r="B372" s="58"/>
      <c r="C372" s="58"/>
      <c r="D372" s="58"/>
      <c r="E372" s="58"/>
      <c r="F372" s="58"/>
      <c r="G372" s="58"/>
      <c r="H372" s="116"/>
      <c r="I372" s="117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2.75" customHeight="1">
      <c r="A373" s="58"/>
      <c r="B373" s="58"/>
      <c r="C373" s="58"/>
      <c r="D373" s="58"/>
      <c r="E373" s="58"/>
      <c r="F373" s="58"/>
      <c r="G373" s="58"/>
      <c r="H373" s="116"/>
      <c r="I373" s="117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2.75" customHeight="1">
      <c r="A374" s="58"/>
      <c r="B374" s="58"/>
      <c r="C374" s="58"/>
      <c r="D374" s="58"/>
      <c r="E374" s="58"/>
      <c r="F374" s="58"/>
      <c r="G374" s="58"/>
      <c r="H374" s="116"/>
      <c r="I374" s="117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2.75" customHeight="1">
      <c r="A375" s="58"/>
      <c r="B375" s="58"/>
      <c r="C375" s="58"/>
      <c r="D375" s="58"/>
      <c r="E375" s="58"/>
      <c r="F375" s="58"/>
      <c r="G375" s="58"/>
      <c r="H375" s="116"/>
      <c r="I375" s="117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2.75" customHeight="1">
      <c r="A376" s="58"/>
      <c r="B376" s="58"/>
      <c r="C376" s="58"/>
      <c r="D376" s="58"/>
      <c r="E376" s="58"/>
      <c r="F376" s="58"/>
      <c r="G376" s="58"/>
      <c r="H376" s="116"/>
      <c r="I376" s="117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2.75" customHeight="1">
      <c r="A377" s="58"/>
      <c r="B377" s="58"/>
      <c r="C377" s="58"/>
      <c r="D377" s="58"/>
      <c r="E377" s="58"/>
      <c r="F377" s="58"/>
      <c r="G377" s="58"/>
      <c r="H377" s="116"/>
      <c r="I377" s="117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2.75" customHeight="1">
      <c r="A378" s="58"/>
      <c r="B378" s="58"/>
      <c r="C378" s="58"/>
      <c r="D378" s="58"/>
      <c r="E378" s="58"/>
      <c r="F378" s="58"/>
      <c r="G378" s="58"/>
      <c r="H378" s="116"/>
      <c r="I378" s="117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2.75" customHeight="1">
      <c r="A379" s="58"/>
      <c r="B379" s="58"/>
      <c r="C379" s="58"/>
      <c r="D379" s="58"/>
      <c r="E379" s="58"/>
      <c r="F379" s="58"/>
      <c r="G379" s="58"/>
      <c r="H379" s="116"/>
      <c r="I379" s="117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2.75" customHeight="1">
      <c r="A380" s="58"/>
      <c r="B380" s="58"/>
      <c r="C380" s="58"/>
      <c r="D380" s="58"/>
      <c r="E380" s="58"/>
      <c r="F380" s="58"/>
      <c r="G380" s="58"/>
      <c r="H380" s="116"/>
      <c r="I380" s="117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2.75" customHeight="1">
      <c r="A381" s="58"/>
      <c r="B381" s="58"/>
      <c r="C381" s="58"/>
      <c r="D381" s="58"/>
      <c r="E381" s="58"/>
      <c r="F381" s="58"/>
      <c r="G381" s="58"/>
      <c r="H381" s="116"/>
      <c r="I381" s="117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2.75" customHeight="1">
      <c r="A382" s="58"/>
      <c r="B382" s="58"/>
      <c r="C382" s="58"/>
      <c r="D382" s="58"/>
      <c r="E382" s="58"/>
      <c r="F382" s="58"/>
      <c r="G382" s="58"/>
      <c r="H382" s="116"/>
      <c r="I382" s="117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2.75" customHeight="1">
      <c r="A383" s="58"/>
      <c r="B383" s="58"/>
      <c r="C383" s="58"/>
      <c r="D383" s="58"/>
      <c r="E383" s="58"/>
      <c r="F383" s="58"/>
      <c r="G383" s="58"/>
      <c r="H383" s="116"/>
      <c r="I383" s="117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2.75" customHeight="1">
      <c r="A384" s="58"/>
      <c r="B384" s="58"/>
      <c r="C384" s="58"/>
      <c r="D384" s="58"/>
      <c r="E384" s="58"/>
      <c r="F384" s="58"/>
      <c r="G384" s="58"/>
      <c r="H384" s="116"/>
      <c r="I384" s="117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2.75" customHeight="1">
      <c r="A385" s="58"/>
      <c r="B385" s="58"/>
      <c r="C385" s="58"/>
      <c r="D385" s="58"/>
      <c r="E385" s="58"/>
      <c r="F385" s="58"/>
      <c r="G385" s="58"/>
      <c r="H385" s="116"/>
      <c r="I385" s="117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2.75" customHeight="1">
      <c r="A386" s="58"/>
      <c r="B386" s="58"/>
      <c r="C386" s="58"/>
      <c r="D386" s="58"/>
      <c r="E386" s="58"/>
      <c r="F386" s="58"/>
      <c r="G386" s="58"/>
      <c r="H386" s="116"/>
      <c r="I386" s="117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2.75" customHeight="1">
      <c r="A387" s="58"/>
      <c r="B387" s="58"/>
      <c r="C387" s="58"/>
      <c r="D387" s="58"/>
      <c r="E387" s="58"/>
      <c r="F387" s="58"/>
      <c r="G387" s="58"/>
      <c r="H387" s="116"/>
      <c r="I387" s="117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2.75" customHeight="1">
      <c r="A388" s="58"/>
      <c r="B388" s="58"/>
      <c r="C388" s="58"/>
      <c r="D388" s="58"/>
      <c r="E388" s="58"/>
      <c r="F388" s="58"/>
      <c r="G388" s="58"/>
      <c r="H388" s="116"/>
      <c r="I388" s="117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2.75" customHeight="1">
      <c r="A389" s="58"/>
      <c r="B389" s="58"/>
      <c r="C389" s="58"/>
      <c r="D389" s="58"/>
      <c r="E389" s="58"/>
      <c r="F389" s="58"/>
      <c r="G389" s="58"/>
      <c r="H389" s="116"/>
      <c r="I389" s="117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2.75" customHeight="1">
      <c r="A390" s="58"/>
      <c r="B390" s="58"/>
      <c r="C390" s="58"/>
      <c r="D390" s="58"/>
      <c r="E390" s="58"/>
      <c r="F390" s="58"/>
      <c r="G390" s="58"/>
      <c r="H390" s="116"/>
      <c r="I390" s="117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2.75" customHeight="1">
      <c r="A391" s="58"/>
      <c r="B391" s="58"/>
      <c r="C391" s="58"/>
      <c r="D391" s="58"/>
      <c r="E391" s="58"/>
      <c r="F391" s="58"/>
      <c r="G391" s="58"/>
      <c r="H391" s="116"/>
      <c r="I391" s="117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2.75" customHeight="1">
      <c r="A392" s="58"/>
      <c r="B392" s="58"/>
      <c r="C392" s="58"/>
      <c r="D392" s="58"/>
      <c r="E392" s="58"/>
      <c r="F392" s="58"/>
      <c r="G392" s="58"/>
      <c r="H392" s="116"/>
      <c r="I392" s="117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2.75" customHeight="1">
      <c r="A393" s="58"/>
      <c r="B393" s="58"/>
      <c r="C393" s="58"/>
      <c r="D393" s="58"/>
      <c r="E393" s="58"/>
      <c r="F393" s="58"/>
      <c r="G393" s="58"/>
      <c r="H393" s="116"/>
      <c r="I393" s="117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2.75" customHeight="1">
      <c r="A394" s="58"/>
      <c r="B394" s="58"/>
      <c r="C394" s="58"/>
      <c r="D394" s="58"/>
      <c r="E394" s="58"/>
      <c r="F394" s="58"/>
      <c r="G394" s="58"/>
      <c r="H394" s="116"/>
      <c r="I394" s="117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2.75" customHeight="1">
      <c r="A395" s="58"/>
      <c r="B395" s="58"/>
      <c r="C395" s="58"/>
      <c r="D395" s="58"/>
      <c r="E395" s="58"/>
      <c r="F395" s="58"/>
      <c r="G395" s="58"/>
      <c r="H395" s="116"/>
      <c r="I395" s="117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2.75" customHeight="1">
      <c r="A396" s="58"/>
      <c r="B396" s="58"/>
      <c r="C396" s="58"/>
      <c r="D396" s="58"/>
      <c r="E396" s="58"/>
      <c r="F396" s="58"/>
      <c r="G396" s="58"/>
      <c r="H396" s="116"/>
      <c r="I396" s="117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2.75" customHeight="1">
      <c r="A397" s="58"/>
      <c r="B397" s="58"/>
      <c r="C397" s="58"/>
      <c r="D397" s="58"/>
      <c r="E397" s="58"/>
      <c r="F397" s="58"/>
      <c r="G397" s="58"/>
      <c r="H397" s="116"/>
      <c r="I397" s="117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2.75" customHeight="1">
      <c r="A398" s="58"/>
      <c r="B398" s="58"/>
      <c r="C398" s="58"/>
      <c r="D398" s="58"/>
      <c r="E398" s="58"/>
      <c r="F398" s="58"/>
      <c r="G398" s="58"/>
      <c r="H398" s="116"/>
      <c r="I398" s="117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2.75" customHeight="1">
      <c r="A399" s="58"/>
      <c r="B399" s="58"/>
      <c r="C399" s="58"/>
      <c r="D399" s="58"/>
      <c r="E399" s="58"/>
      <c r="F399" s="58"/>
      <c r="G399" s="58"/>
      <c r="H399" s="116"/>
      <c r="I399" s="117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2.75" customHeight="1">
      <c r="A400" s="58"/>
      <c r="B400" s="58"/>
      <c r="C400" s="58"/>
      <c r="D400" s="58"/>
      <c r="E400" s="58"/>
      <c r="F400" s="58"/>
      <c r="G400" s="58"/>
      <c r="H400" s="116"/>
      <c r="I400" s="117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2.75" customHeight="1">
      <c r="A401" s="58"/>
      <c r="B401" s="58"/>
      <c r="C401" s="58"/>
      <c r="D401" s="58"/>
      <c r="E401" s="58"/>
      <c r="F401" s="58"/>
      <c r="G401" s="58"/>
      <c r="H401" s="116"/>
      <c r="I401" s="117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2.75" customHeight="1">
      <c r="A402" s="58"/>
      <c r="B402" s="58"/>
      <c r="C402" s="58"/>
      <c r="D402" s="58"/>
      <c r="E402" s="58"/>
      <c r="F402" s="58"/>
      <c r="G402" s="58"/>
      <c r="H402" s="116"/>
      <c r="I402" s="117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2.75" customHeight="1">
      <c r="A403" s="58"/>
      <c r="B403" s="58"/>
      <c r="C403" s="58"/>
      <c r="D403" s="58"/>
      <c r="E403" s="58"/>
      <c r="F403" s="58"/>
      <c r="G403" s="58"/>
      <c r="H403" s="116"/>
      <c r="I403" s="117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2.75" customHeight="1">
      <c r="A404" s="58"/>
      <c r="B404" s="58"/>
      <c r="C404" s="58"/>
      <c r="D404" s="58"/>
      <c r="E404" s="58"/>
      <c r="F404" s="58"/>
      <c r="G404" s="58"/>
      <c r="H404" s="116"/>
      <c r="I404" s="117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2.75" customHeight="1">
      <c r="A405" s="58"/>
      <c r="B405" s="58"/>
      <c r="C405" s="58"/>
      <c r="D405" s="58"/>
      <c r="E405" s="58"/>
      <c r="F405" s="58"/>
      <c r="G405" s="58"/>
      <c r="H405" s="116"/>
      <c r="I405" s="117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2.75" customHeight="1">
      <c r="A406" s="58"/>
      <c r="B406" s="58"/>
      <c r="C406" s="58"/>
      <c r="D406" s="58"/>
      <c r="E406" s="58"/>
      <c r="F406" s="58"/>
      <c r="G406" s="58"/>
      <c r="H406" s="116"/>
      <c r="I406" s="117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2.75" customHeight="1">
      <c r="A407" s="58"/>
      <c r="B407" s="58"/>
      <c r="C407" s="58"/>
      <c r="D407" s="58"/>
      <c r="E407" s="58"/>
      <c r="F407" s="58"/>
      <c r="G407" s="58"/>
      <c r="H407" s="116"/>
      <c r="I407" s="117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2.75" customHeight="1">
      <c r="A408" s="58"/>
      <c r="B408" s="58"/>
      <c r="C408" s="58"/>
      <c r="D408" s="58"/>
      <c r="E408" s="58"/>
      <c r="F408" s="58"/>
      <c r="G408" s="58"/>
      <c r="H408" s="116"/>
      <c r="I408" s="117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2.75" customHeight="1">
      <c r="A409" s="58"/>
      <c r="B409" s="58"/>
      <c r="C409" s="58"/>
      <c r="D409" s="58"/>
      <c r="E409" s="58"/>
      <c r="F409" s="58"/>
      <c r="G409" s="58"/>
      <c r="H409" s="116"/>
      <c r="I409" s="117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2.75" customHeight="1">
      <c r="A410" s="58"/>
      <c r="B410" s="58"/>
      <c r="C410" s="58"/>
      <c r="D410" s="58"/>
      <c r="E410" s="58"/>
      <c r="F410" s="58"/>
      <c r="G410" s="58"/>
      <c r="H410" s="116"/>
      <c r="I410" s="117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2.75" customHeight="1">
      <c r="A411" s="58"/>
      <c r="B411" s="58"/>
      <c r="C411" s="58"/>
      <c r="D411" s="58"/>
      <c r="E411" s="58"/>
      <c r="F411" s="58"/>
      <c r="G411" s="58"/>
      <c r="H411" s="116"/>
      <c r="I411" s="117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2.75" customHeight="1">
      <c r="A412" s="58"/>
      <c r="B412" s="58"/>
      <c r="C412" s="58"/>
      <c r="D412" s="58"/>
      <c r="E412" s="58"/>
      <c r="F412" s="58"/>
      <c r="G412" s="58"/>
      <c r="H412" s="116"/>
      <c r="I412" s="117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2.75" customHeight="1">
      <c r="A413" s="58"/>
      <c r="B413" s="58"/>
      <c r="C413" s="58"/>
      <c r="D413" s="58"/>
      <c r="E413" s="58"/>
      <c r="F413" s="58"/>
      <c r="G413" s="58"/>
      <c r="H413" s="116"/>
      <c r="I413" s="117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2.75" customHeight="1">
      <c r="A414" s="58"/>
      <c r="B414" s="58"/>
      <c r="C414" s="58"/>
      <c r="D414" s="58"/>
      <c r="E414" s="58"/>
      <c r="F414" s="58"/>
      <c r="G414" s="58"/>
      <c r="H414" s="116"/>
      <c r="I414" s="117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2.75" customHeight="1">
      <c r="A415" s="58"/>
      <c r="B415" s="58"/>
      <c r="C415" s="58"/>
      <c r="D415" s="58"/>
      <c r="E415" s="58"/>
      <c r="F415" s="58"/>
      <c r="G415" s="58"/>
      <c r="H415" s="116"/>
      <c r="I415" s="117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2.75" customHeight="1">
      <c r="A416" s="58"/>
      <c r="B416" s="58"/>
      <c r="C416" s="58"/>
      <c r="D416" s="58"/>
      <c r="E416" s="58"/>
      <c r="F416" s="58"/>
      <c r="G416" s="58"/>
      <c r="H416" s="116"/>
      <c r="I416" s="117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2.75" customHeight="1">
      <c r="A417" s="58"/>
      <c r="B417" s="58"/>
      <c r="C417" s="58"/>
      <c r="D417" s="58"/>
      <c r="E417" s="58"/>
      <c r="F417" s="58"/>
      <c r="G417" s="58"/>
      <c r="H417" s="116"/>
      <c r="I417" s="117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2.75" customHeight="1">
      <c r="A418" s="58"/>
      <c r="B418" s="58"/>
      <c r="C418" s="58"/>
      <c r="D418" s="58"/>
      <c r="E418" s="58"/>
      <c r="F418" s="58"/>
      <c r="G418" s="58"/>
      <c r="H418" s="116"/>
      <c r="I418" s="117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2.75" customHeight="1">
      <c r="A419" s="58"/>
      <c r="B419" s="58"/>
      <c r="C419" s="58"/>
      <c r="D419" s="58"/>
      <c r="E419" s="58"/>
      <c r="F419" s="58"/>
      <c r="G419" s="58"/>
      <c r="H419" s="116"/>
      <c r="I419" s="117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2.75" customHeight="1">
      <c r="A420" s="58"/>
      <c r="B420" s="58"/>
      <c r="C420" s="58"/>
      <c r="D420" s="58"/>
      <c r="E420" s="58"/>
      <c r="F420" s="58"/>
      <c r="G420" s="58"/>
      <c r="H420" s="116"/>
      <c r="I420" s="117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2.75" customHeight="1">
      <c r="A421" s="58"/>
      <c r="B421" s="58"/>
      <c r="C421" s="58"/>
      <c r="D421" s="58"/>
      <c r="E421" s="58"/>
      <c r="F421" s="58"/>
      <c r="G421" s="58"/>
      <c r="H421" s="116"/>
      <c r="I421" s="117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2.75" customHeight="1">
      <c r="A422" s="58"/>
      <c r="B422" s="58"/>
      <c r="C422" s="58"/>
      <c r="D422" s="58"/>
      <c r="E422" s="58"/>
      <c r="F422" s="58"/>
      <c r="G422" s="58"/>
      <c r="H422" s="116"/>
      <c r="I422" s="117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2.75" customHeight="1">
      <c r="A423" s="58"/>
      <c r="B423" s="58"/>
      <c r="C423" s="58"/>
      <c r="D423" s="58"/>
      <c r="E423" s="58"/>
      <c r="F423" s="58"/>
      <c r="G423" s="58"/>
      <c r="H423" s="116"/>
      <c r="I423" s="117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2.75" customHeight="1">
      <c r="A424" s="58"/>
      <c r="B424" s="58"/>
      <c r="C424" s="58"/>
      <c r="D424" s="58"/>
      <c r="E424" s="58"/>
      <c r="F424" s="58"/>
      <c r="G424" s="58"/>
      <c r="H424" s="116"/>
      <c r="I424" s="117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2.75" customHeight="1">
      <c r="A425" s="58"/>
      <c r="B425" s="58"/>
      <c r="C425" s="58"/>
      <c r="D425" s="58"/>
      <c r="E425" s="58"/>
      <c r="F425" s="58"/>
      <c r="G425" s="58"/>
      <c r="H425" s="116"/>
      <c r="I425" s="117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2.75" customHeight="1">
      <c r="A426" s="58"/>
      <c r="B426" s="58"/>
      <c r="C426" s="58"/>
      <c r="D426" s="58"/>
      <c r="E426" s="58"/>
      <c r="F426" s="58"/>
      <c r="G426" s="58"/>
      <c r="H426" s="116"/>
      <c r="I426" s="117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2.75" customHeight="1">
      <c r="A427" s="58"/>
      <c r="B427" s="58"/>
      <c r="C427" s="58"/>
      <c r="D427" s="58"/>
      <c r="E427" s="58"/>
      <c r="F427" s="58"/>
      <c r="G427" s="58"/>
      <c r="H427" s="116"/>
      <c r="I427" s="117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2.75" customHeight="1">
      <c r="A428" s="58"/>
      <c r="B428" s="58"/>
      <c r="C428" s="58"/>
      <c r="D428" s="58"/>
      <c r="E428" s="58"/>
      <c r="F428" s="58"/>
      <c r="G428" s="58"/>
      <c r="H428" s="116"/>
      <c r="I428" s="117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2.75" customHeight="1">
      <c r="A429" s="58"/>
      <c r="B429" s="58"/>
      <c r="C429" s="58"/>
      <c r="D429" s="58"/>
      <c r="E429" s="58"/>
      <c r="F429" s="58"/>
      <c r="G429" s="58"/>
      <c r="H429" s="116"/>
      <c r="I429" s="117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2.75" customHeight="1">
      <c r="A430" s="58"/>
      <c r="B430" s="58"/>
      <c r="C430" s="58"/>
      <c r="D430" s="58"/>
      <c r="E430" s="58"/>
      <c r="F430" s="58"/>
      <c r="G430" s="58"/>
      <c r="H430" s="116"/>
      <c r="I430" s="117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2.75" customHeight="1">
      <c r="A431" s="58"/>
      <c r="B431" s="58"/>
      <c r="C431" s="58"/>
      <c r="D431" s="58"/>
      <c r="E431" s="58"/>
      <c r="F431" s="58"/>
      <c r="G431" s="58"/>
      <c r="H431" s="116"/>
      <c r="I431" s="117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2.75" customHeight="1">
      <c r="A432" s="58"/>
      <c r="B432" s="58"/>
      <c r="C432" s="58"/>
      <c r="D432" s="58"/>
      <c r="E432" s="58"/>
      <c r="F432" s="58"/>
      <c r="G432" s="58"/>
      <c r="H432" s="116"/>
      <c r="I432" s="117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2.75" customHeight="1">
      <c r="A433" s="58"/>
      <c r="B433" s="58"/>
      <c r="C433" s="58"/>
      <c r="D433" s="58"/>
      <c r="E433" s="58"/>
      <c r="F433" s="58"/>
      <c r="G433" s="58"/>
      <c r="H433" s="116"/>
      <c r="I433" s="117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2.75" customHeight="1">
      <c r="A434" s="58"/>
      <c r="B434" s="58"/>
      <c r="C434" s="58"/>
      <c r="D434" s="58"/>
      <c r="E434" s="58"/>
      <c r="F434" s="58"/>
      <c r="G434" s="58"/>
      <c r="H434" s="116"/>
      <c r="I434" s="117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2.75" customHeight="1">
      <c r="A435" s="58"/>
      <c r="B435" s="58"/>
      <c r="C435" s="58"/>
      <c r="D435" s="58"/>
      <c r="E435" s="58"/>
      <c r="F435" s="58"/>
      <c r="G435" s="58"/>
      <c r="H435" s="116"/>
      <c r="I435" s="117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2.75" customHeight="1">
      <c r="A436" s="58"/>
      <c r="B436" s="58"/>
      <c r="C436" s="58"/>
      <c r="D436" s="58"/>
      <c r="E436" s="58"/>
      <c r="F436" s="58"/>
      <c r="G436" s="58"/>
      <c r="H436" s="116"/>
      <c r="I436" s="117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2.75" customHeight="1">
      <c r="A437" s="58"/>
      <c r="B437" s="58"/>
      <c r="C437" s="58"/>
      <c r="D437" s="58"/>
      <c r="E437" s="58"/>
      <c r="F437" s="58"/>
      <c r="G437" s="58"/>
      <c r="H437" s="116"/>
      <c r="I437" s="117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2.75" customHeight="1">
      <c r="A438" s="58"/>
      <c r="B438" s="58"/>
      <c r="C438" s="58"/>
      <c r="D438" s="58"/>
      <c r="E438" s="58"/>
      <c r="F438" s="58"/>
      <c r="G438" s="58"/>
      <c r="H438" s="116"/>
      <c r="I438" s="117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2.75" customHeight="1">
      <c r="A439" s="58"/>
      <c r="B439" s="58"/>
      <c r="C439" s="58"/>
      <c r="D439" s="58"/>
      <c r="E439" s="58"/>
      <c r="F439" s="58"/>
      <c r="G439" s="58"/>
      <c r="H439" s="116"/>
      <c r="I439" s="117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2.75" customHeight="1">
      <c r="A440" s="58"/>
      <c r="B440" s="58"/>
      <c r="C440" s="58"/>
      <c r="D440" s="58"/>
      <c r="E440" s="58"/>
      <c r="F440" s="58"/>
      <c r="G440" s="58"/>
      <c r="H440" s="116"/>
      <c r="I440" s="117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2.75" customHeight="1">
      <c r="A441" s="58"/>
      <c r="B441" s="58"/>
      <c r="C441" s="58"/>
      <c r="D441" s="58"/>
      <c r="E441" s="58"/>
      <c r="F441" s="58"/>
      <c r="G441" s="58"/>
      <c r="H441" s="116"/>
      <c r="I441" s="117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2.75" customHeight="1">
      <c r="A442" s="58"/>
      <c r="B442" s="58"/>
      <c r="C442" s="58"/>
      <c r="D442" s="58"/>
      <c r="E442" s="58"/>
      <c r="F442" s="58"/>
      <c r="G442" s="58"/>
      <c r="H442" s="116"/>
      <c r="I442" s="117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2.75" customHeight="1">
      <c r="A443" s="58"/>
      <c r="B443" s="58"/>
      <c r="C443" s="58"/>
      <c r="D443" s="58"/>
      <c r="E443" s="58"/>
      <c r="F443" s="58"/>
      <c r="G443" s="58"/>
      <c r="H443" s="116"/>
      <c r="I443" s="117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2.75" customHeight="1">
      <c r="A444" s="58"/>
      <c r="B444" s="58"/>
      <c r="C444" s="58"/>
      <c r="D444" s="58"/>
      <c r="E444" s="58"/>
      <c r="F444" s="58"/>
      <c r="G444" s="58"/>
      <c r="H444" s="116"/>
      <c r="I444" s="117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2.75" customHeight="1">
      <c r="A445" s="58"/>
      <c r="B445" s="58"/>
      <c r="C445" s="58"/>
      <c r="D445" s="58"/>
      <c r="E445" s="58"/>
      <c r="F445" s="58"/>
      <c r="G445" s="58"/>
      <c r="H445" s="116"/>
      <c r="I445" s="117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2.75" customHeight="1">
      <c r="A446" s="58"/>
      <c r="B446" s="58"/>
      <c r="C446" s="58"/>
      <c r="D446" s="58"/>
      <c r="E446" s="58"/>
      <c r="F446" s="58"/>
      <c r="G446" s="58"/>
      <c r="H446" s="116"/>
      <c r="I446" s="117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2.75" customHeight="1">
      <c r="A447" s="58"/>
      <c r="B447" s="58"/>
      <c r="C447" s="58"/>
      <c r="D447" s="58"/>
      <c r="E447" s="58"/>
      <c r="F447" s="58"/>
      <c r="G447" s="58"/>
      <c r="H447" s="116"/>
      <c r="I447" s="117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2.75" customHeight="1">
      <c r="A448" s="58"/>
      <c r="B448" s="58"/>
      <c r="C448" s="58"/>
      <c r="D448" s="58"/>
      <c r="E448" s="58"/>
      <c r="F448" s="58"/>
      <c r="G448" s="58"/>
      <c r="H448" s="116"/>
      <c r="I448" s="117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2.75" customHeight="1">
      <c r="A449" s="58"/>
      <c r="B449" s="58"/>
      <c r="C449" s="58"/>
      <c r="D449" s="58"/>
      <c r="E449" s="58"/>
      <c r="F449" s="58"/>
      <c r="G449" s="58"/>
      <c r="H449" s="116"/>
      <c r="I449" s="117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2.75" customHeight="1">
      <c r="A450" s="58"/>
      <c r="B450" s="58"/>
      <c r="C450" s="58"/>
      <c r="D450" s="58"/>
      <c r="E450" s="58"/>
      <c r="F450" s="58"/>
      <c r="G450" s="58"/>
      <c r="H450" s="116"/>
      <c r="I450" s="117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2.75" customHeight="1">
      <c r="A451" s="58"/>
      <c r="B451" s="58"/>
      <c r="C451" s="58"/>
      <c r="D451" s="58"/>
      <c r="E451" s="58"/>
      <c r="F451" s="58"/>
      <c r="G451" s="58"/>
      <c r="H451" s="116"/>
      <c r="I451" s="117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2.75" customHeight="1">
      <c r="A452" s="58"/>
      <c r="B452" s="58"/>
      <c r="C452" s="58"/>
      <c r="D452" s="58"/>
      <c r="E452" s="58"/>
      <c r="F452" s="58"/>
      <c r="G452" s="58"/>
      <c r="H452" s="116"/>
      <c r="I452" s="117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2.75" customHeight="1">
      <c r="A453" s="58"/>
      <c r="B453" s="58"/>
      <c r="C453" s="58"/>
      <c r="D453" s="58"/>
      <c r="E453" s="58"/>
      <c r="F453" s="58"/>
      <c r="G453" s="58"/>
      <c r="H453" s="116"/>
      <c r="I453" s="117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2.75" customHeight="1">
      <c r="A454" s="58"/>
      <c r="B454" s="58"/>
      <c r="C454" s="58"/>
      <c r="D454" s="58"/>
      <c r="E454" s="58"/>
      <c r="F454" s="58"/>
      <c r="G454" s="58"/>
      <c r="H454" s="116"/>
      <c r="I454" s="117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2.75" customHeight="1">
      <c r="A455" s="58"/>
      <c r="B455" s="58"/>
      <c r="C455" s="58"/>
      <c r="D455" s="58"/>
      <c r="E455" s="58"/>
      <c r="F455" s="58"/>
      <c r="G455" s="58"/>
      <c r="H455" s="116"/>
      <c r="I455" s="117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2.75" customHeight="1">
      <c r="A456" s="58"/>
      <c r="B456" s="58"/>
      <c r="C456" s="58"/>
      <c r="D456" s="58"/>
      <c r="E456" s="58"/>
      <c r="F456" s="58"/>
      <c r="G456" s="58"/>
      <c r="H456" s="116"/>
      <c r="I456" s="117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2.75" customHeight="1">
      <c r="A457" s="58"/>
      <c r="B457" s="58"/>
      <c r="C457" s="58"/>
      <c r="D457" s="58"/>
      <c r="E457" s="58"/>
      <c r="F457" s="58"/>
      <c r="G457" s="58"/>
      <c r="H457" s="116"/>
      <c r="I457" s="117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2.75" customHeight="1">
      <c r="A458" s="58"/>
      <c r="B458" s="58"/>
      <c r="C458" s="58"/>
      <c r="D458" s="58"/>
      <c r="E458" s="58"/>
      <c r="F458" s="58"/>
      <c r="G458" s="58"/>
      <c r="H458" s="116"/>
      <c r="I458" s="117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2.75" customHeight="1">
      <c r="A459" s="58"/>
      <c r="B459" s="58"/>
      <c r="C459" s="58"/>
      <c r="D459" s="58"/>
      <c r="E459" s="58"/>
      <c r="F459" s="58"/>
      <c r="G459" s="58"/>
      <c r="H459" s="116"/>
      <c r="I459" s="117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2.75" customHeight="1">
      <c r="A460" s="58"/>
      <c r="B460" s="58"/>
      <c r="C460" s="58"/>
      <c r="D460" s="58"/>
      <c r="E460" s="58"/>
      <c r="F460" s="58"/>
      <c r="G460" s="58"/>
      <c r="H460" s="116"/>
      <c r="I460" s="117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2.75" customHeight="1">
      <c r="A461" s="58"/>
      <c r="B461" s="58"/>
      <c r="C461" s="58"/>
      <c r="D461" s="58"/>
      <c r="E461" s="58"/>
      <c r="F461" s="58"/>
      <c r="G461" s="58"/>
      <c r="H461" s="116"/>
      <c r="I461" s="117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2.75" customHeight="1">
      <c r="A462" s="58"/>
      <c r="B462" s="58"/>
      <c r="C462" s="58"/>
      <c r="D462" s="58"/>
      <c r="E462" s="58"/>
      <c r="F462" s="58"/>
      <c r="G462" s="58"/>
      <c r="H462" s="116"/>
      <c r="I462" s="117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2.75" customHeight="1">
      <c r="A463" s="58"/>
      <c r="B463" s="58"/>
      <c r="C463" s="58"/>
      <c r="D463" s="58"/>
      <c r="E463" s="58"/>
      <c r="F463" s="58"/>
      <c r="G463" s="58"/>
      <c r="H463" s="116"/>
      <c r="I463" s="117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2.75" customHeight="1">
      <c r="A464" s="58"/>
      <c r="B464" s="58"/>
      <c r="C464" s="58"/>
      <c r="D464" s="58"/>
      <c r="E464" s="58"/>
      <c r="F464" s="58"/>
      <c r="G464" s="58"/>
      <c r="H464" s="116"/>
      <c r="I464" s="117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2.75" customHeight="1">
      <c r="A465" s="58"/>
      <c r="B465" s="58"/>
      <c r="C465" s="58"/>
      <c r="D465" s="58"/>
      <c r="E465" s="58"/>
      <c r="F465" s="58"/>
      <c r="G465" s="58"/>
      <c r="H465" s="116"/>
      <c r="I465" s="117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2.75" customHeight="1">
      <c r="A466" s="58"/>
      <c r="B466" s="58"/>
      <c r="C466" s="58"/>
      <c r="D466" s="58"/>
      <c r="E466" s="58"/>
      <c r="F466" s="58"/>
      <c r="G466" s="58"/>
      <c r="H466" s="116"/>
      <c r="I466" s="117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2.75" customHeight="1">
      <c r="A467" s="58"/>
      <c r="B467" s="58"/>
      <c r="C467" s="58"/>
      <c r="D467" s="58"/>
      <c r="E467" s="58"/>
      <c r="F467" s="58"/>
      <c r="G467" s="58"/>
      <c r="H467" s="116"/>
      <c r="I467" s="117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2.75" customHeight="1">
      <c r="A468" s="58"/>
      <c r="B468" s="58"/>
      <c r="C468" s="58"/>
      <c r="D468" s="58"/>
      <c r="E468" s="58"/>
      <c r="F468" s="58"/>
      <c r="G468" s="58"/>
      <c r="H468" s="116"/>
      <c r="I468" s="117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2.75" customHeight="1">
      <c r="A469" s="58"/>
      <c r="B469" s="58"/>
      <c r="C469" s="58"/>
      <c r="D469" s="58"/>
      <c r="E469" s="58"/>
      <c r="F469" s="58"/>
      <c r="G469" s="58"/>
      <c r="H469" s="116"/>
      <c r="I469" s="117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2.75" customHeight="1">
      <c r="A470" s="58"/>
      <c r="B470" s="58"/>
      <c r="C470" s="58"/>
      <c r="D470" s="58"/>
      <c r="E470" s="58"/>
      <c r="F470" s="58"/>
      <c r="G470" s="58"/>
      <c r="H470" s="116"/>
      <c r="I470" s="117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2.75" customHeight="1">
      <c r="A471" s="58"/>
      <c r="B471" s="58"/>
      <c r="C471" s="58"/>
      <c r="D471" s="58"/>
      <c r="E471" s="58"/>
      <c r="F471" s="58"/>
      <c r="G471" s="58"/>
      <c r="H471" s="116"/>
      <c r="I471" s="117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2.75" customHeight="1">
      <c r="A472" s="58"/>
      <c r="B472" s="58"/>
      <c r="C472" s="58"/>
      <c r="D472" s="58"/>
      <c r="E472" s="58"/>
      <c r="F472" s="58"/>
      <c r="G472" s="58"/>
      <c r="H472" s="116"/>
      <c r="I472" s="117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2.75" customHeight="1">
      <c r="A473" s="58"/>
      <c r="B473" s="58"/>
      <c r="C473" s="58"/>
      <c r="D473" s="58"/>
      <c r="E473" s="58"/>
      <c r="F473" s="58"/>
      <c r="G473" s="58"/>
      <c r="H473" s="116"/>
      <c r="I473" s="117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2.75" customHeight="1">
      <c r="A474" s="58"/>
      <c r="B474" s="58"/>
      <c r="C474" s="58"/>
      <c r="D474" s="58"/>
      <c r="E474" s="58"/>
      <c r="F474" s="58"/>
      <c r="G474" s="58"/>
      <c r="H474" s="116"/>
      <c r="I474" s="117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2.75" customHeight="1">
      <c r="A475" s="58"/>
      <c r="B475" s="58"/>
      <c r="C475" s="58"/>
      <c r="D475" s="58"/>
      <c r="E475" s="58"/>
      <c r="F475" s="58"/>
      <c r="G475" s="58"/>
      <c r="H475" s="116"/>
      <c r="I475" s="117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2.75" customHeight="1">
      <c r="A476" s="58"/>
      <c r="B476" s="58"/>
      <c r="C476" s="58"/>
      <c r="D476" s="58"/>
      <c r="E476" s="58"/>
      <c r="F476" s="58"/>
      <c r="G476" s="58"/>
      <c r="H476" s="116"/>
      <c r="I476" s="117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2.75" customHeight="1">
      <c r="A477" s="58"/>
      <c r="B477" s="58"/>
      <c r="C477" s="58"/>
      <c r="D477" s="58"/>
      <c r="E477" s="58"/>
      <c r="F477" s="58"/>
      <c r="G477" s="58"/>
      <c r="H477" s="116"/>
      <c r="I477" s="117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2.75" customHeight="1">
      <c r="A478" s="58"/>
      <c r="B478" s="58"/>
      <c r="C478" s="58"/>
      <c r="D478" s="58"/>
      <c r="E478" s="58"/>
      <c r="F478" s="58"/>
      <c r="G478" s="58"/>
      <c r="H478" s="116"/>
      <c r="I478" s="117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2.75" customHeight="1">
      <c r="A479" s="58"/>
      <c r="B479" s="58"/>
      <c r="C479" s="58"/>
      <c r="D479" s="58"/>
      <c r="E479" s="58"/>
      <c r="F479" s="58"/>
      <c r="G479" s="58"/>
      <c r="H479" s="116"/>
      <c r="I479" s="117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2.75" customHeight="1">
      <c r="A480" s="58"/>
      <c r="B480" s="58"/>
      <c r="C480" s="58"/>
      <c r="D480" s="58"/>
      <c r="E480" s="58"/>
      <c r="F480" s="58"/>
      <c r="G480" s="58"/>
      <c r="H480" s="116"/>
      <c r="I480" s="117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2.75" customHeight="1">
      <c r="A481" s="58"/>
      <c r="B481" s="58"/>
      <c r="C481" s="58"/>
      <c r="D481" s="58"/>
      <c r="E481" s="58"/>
      <c r="F481" s="58"/>
      <c r="G481" s="58"/>
      <c r="H481" s="116"/>
      <c r="I481" s="117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2.75" customHeight="1">
      <c r="A482" s="58"/>
      <c r="B482" s="58"/>
      <c r="C482" s="58"/>
      <c r="D482" s="58"/>
      <c r="E482" s="58"/>
      <c r="F482" s="58"/>
      <c r="G482" s="58"/>
      <c r="H482" s="116"/>
      <c r="I482" s="117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2.75" customHeight="1">
      <c r="A483" s="58"/>
      <c r="B483" s="58"/>
      <c r="C483" s="58"/>
      <c r="D483" s="58"/>
      <c r="E483" s="58"/>
      <c r="F483" s="58"/>
      <c r="G483" s="58"/>
      <c r="H483" s="116"/>
      <c r="I483" s="117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2.75" customHeight="1">
      <c r="A484" s="58"/>
      <c r="B484" s="58"/>
      <c r="C484" s="58"/>
      <c r="D484" s="58"/>
      <c r="E484" s="58"/>
      <c r="F484" s="58"/>
      <c r="G484" s="58"/>
      <c r="H484" s="116"/>
      <c r="I484" s="117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2.75" customHeight="1">
      <c r="A485" s="58"/>
      <c r="B485" s="58"/>
      <c r="C485" s="58"/>
      <c r="D485" s="58"/>
      <c r="E485" s="58"/>
      <c r="F485" s="58"/>
      <c r="G485" s="58"/>
      <c r="H485" s="116"/>
      <c r="I485" s="117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2.75" customHeight="1">
      <c r="A486" s="58"/>
      <c r="B486" s="58"/>
      <c r="C486" s="58"/>
      <c r="D486" s="58"/>
      <c r="E486" s="58"/>
      <c r="F486" s="58"/>
      <c r="G486" s="58"/>
      <c r="H486" s="116"/>
      <c r="I486" s="117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2.75" customHeight="1">
      <c r="A487" s="58"/>
      <c r="B487" s="58"/>
      <c r="C487" s="58"/>
      <c r="D487" s="58"/>
      <c r="E487" s="58"/>
      <c r="F487" s="58"/>
      <c r="G487" s="58"/>
      <c r="H487" s="116"/>
      <c r="I487" s="117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2.75" customHeight="1">
      <c r="A488" s="58"/>
      <c r="B488" s="58"/>
      <c r="C488" s="58"/>
      <c r="D488" s="58"/>
      <c r="E488" s="58"/>
      <c r="F488" s="58"/>
      <c r="G488" s="58"/>
      <c r="H488" s="116"/>
      <c r="I488" s="117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2.75" customHeight="1">
      <c r="A489" s="58"/>
      <c r="B489" s="58"/>
      <c r="C489" s="58"/>
      <c r="D489" s="58"/>
      <c r="E489" s="58"/>
      <c r="F489" s="58"/>
      <c r="G489" s="58"/>
      <c r="H489" s="116"/>
      <c r="I489" s="117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2.75" customHeight="1">
      <c r="A490" s="58"/>
      <c r="B490" s="58"/>
      <c r="C490" s="58"/>
      <c r="D490" s="58"/>
      <c r="E490" s="58"/>
      <c r="F490" s="58"/>
      <c r="G490" s="58"/>
      <c r="H490" s="116"/>
      <c r="I490" s="117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2.75" customHeight="1">
      <c r="A491" s="58"/>
      <c r="B491" s="58"/>
      <c r="C491" s="58"/>
      <c r="D491" s="58"/>
      <c r="E491" s="58"/>
      <c r="F491" s="58"/>
      <c r="G491" s="58"/>
      <c r="H491" s="116"/>
      <c r="I491" s="117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2.75" customHeight="1">
      <c r="A492" s="58"/>
      <c r="B492" s="58"/>
      <c r="C492" s="58"/>
      <c r="D492" s="58"/>
      <c r="E492" s="58"/>
      <c r="F492" s="58"/>
      <c r="G492" s="58"/>
      <c r="H492" s="116"/>
      <c r="I492" s="117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2.75" customHeight="1">
      <c r="A493" s="58"/>
      <c r="B493" s="58"/>
      <c r="C493" s="58"/>
      <c r="D493" s="58"/>
      <c r="E493" s="58"/>
      <c r="F493" s="58"/>
      <c r="G493" s="58"/>
      <c r="H493" s="116"/>
      <c r="I493" s="117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2.75" customHeight="1">
      <c r="A494" s="58"/>
      <c r="B494" s="58"/>
      <c r="C494" s="58"/>
      <c r="D494" s="58"/>
      <c r="E494" s="58"/>
      <c r="F494" s="58"/>
      <c r="G494" s="58"/>
      <c r="H494" s="116"/>
      <c r="I494" s="117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2.75" customHeight="1">
      <c r="A495" s="58"/>
      <c r="B495" s="58"/>
      <c r="C495" s="58"/>
      <c r="D495" s="58"/>
      <c r="E495" s="58"/>
      <c r="F495" s="58"/>
      <c r="G495" s="58"/>
      <c r="H495" s="116"/>
      <c r="I495" s="117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2.75" customHeight="1">
      <c r="A496" s="58"/>
      <c r="B496" s="58"/>
      <c r="C496" s="58"/>
      <c r="D496" s="58"/>
      <c r="E496" s="58"/>
      <c r="F496" s="58"/>
      <c r="G496" s="58"/>
      <c r="H496" s="116"/>
      <c r="I496" s="117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2.75" customHeight="1">
      <c r="A497" s="58"/>
      <c r="B497" s="58"/>
      <c r="C497" s="58"/>
      <c r="D497" s="58"/>
      <c r="E497" s="58"/>
      <c r="F497" s="58"/>
      <c r="G497" s="58"/>
      <c r="H497" s="116"/>
      <c r="I497" s="117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2.75" customHeight="1">
      <c r="A498" s="58"/>
      <c r="B498" s="58"/>
      <c r="C498" s="58"/>
      <c r="D498" s="58"/>
      <c r="E498" s="58"/>
      <c r="F498" s="58"/>
      <c r="G498" s="58"/>
      <c r="H498" s="116"/>
      <c r="I498" s="117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2.75" customHeight="1">
      <c r="A499" s="58"/>
      <c r="B499" s="58"/>
      <c r="C499" s="58"/>
      <c r="D499" s="58"/>
      <c r="E499" s="58"/>
      <c r="F499" s="58"/>
      <c r="G499" s="58"/>
      <c r="H499" s="116"/>
      <c r="I499" s="117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2.75" customHeight="1">
      <c r="A500" s="58"/>
      <c r="B500" s="58"/>
      <c r="C500" s="58"/>
      <c r="D500" s="58"/>
      <c r="E500" s="58"/>
      <c r="F500" s="58"/>
      <c r="G500" s="58"/>
      <c r="H500" s="116"/>
      <c r="I500" s="117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2.75" customHeight="1">
      <c r="A501" s="58"/>
      <c r="B501" s="58"/>
      <c r="C501" s="58"/>
      <c r="D501" s="58"/>
      <c r="E501" s="58"/>
      <c r="F501" s="58"/>
      <c r="G501" s="58"/>
      <c r="H501" s="116"/>
      <c r="I501" s="117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2.75" customHeight="1">
      <c r="A502" s="58"/>
      <c r="B502" s="58"/>
      <c r="C502" s="58"/>
      <c r="D502" s="58"/>
      <c r="E502" s="58"/>
      <c r="F502" s="58"/>
      <c r="G502" s="58"/>
      <c r="H502" s="116"/>
      <c r="I502" s="117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2.75" customHeight="1">
      <c r="A503" s="58"/>
      <c r="B503" s="58"/>
      <c r="C503" s="58"/>
      <c r="D503" s="58"/>
      <c r="E503" s="58"/>
      <c r="F503" s="58"/>
      <c r="G503" s="58"/>
      <c r="H503" s="116"/>
      <c r="I503" s="117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2.75" customHeight="1">
      <c r="A504" s="58"/>
      <c r="B504" s="58"/>
      <c r="C504" s="58"/>
      <c r="D504" s="58"/>
      <c r="E504" s="58"/>
      <c r="F504" s="58"/>
      <c r="G504" s="58"/>
      <c r="H504" s="116"/>
      <c r="I504" s="117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2.75" customHeight="1">
      <c r="A505" s="58"/>
      <c r="B505" s="58"/>
      <c r="C505" s="58"/>
      <c r="D505" s="58"/>
      <c r="E505" s="58"/>
      <c r="F505" s="58"/>
      <c r="G505" s="58"/>
      <c r="H505" s="116"/>
      <c r="I505" s="117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2.75" customHeight="1">
      <c r="A506" s="58"/>
      <c r="B506" s="58"/>
      <c r="C506" s="58"/>
      <c r="D506" s="58"/>
      <c r="E506" s="58"/>
      <c r="F506" s="58"/>
      <c r="G506" s="58"/>
      <c r="H506" s="116"/>
      <c r="I506" s="117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2.75" customHeight="1">
      <c r="A507" s="58"/>
      <c r="B507" s="58"/>
      <c r="C507" s="58"/>
      <c r="D507" s="58"/>
      <c r="E507" s="58"/>
      <c r="F507" s="58"/>
      <c r="G507" s="58"/>
      <c r="H507" s="116"/>
      <c r="I507" s="117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2.75" customHeight="1">
      <c r="A508" s="58"/>
      <c r="B508" s="58"/>
      <c r="C508" s="58"/>
      <c r="D508" s="58"/>
      <c r="E508" s="58"/>
      <c r="F508" s="58"/>
      <c r="G508" s="58"/>
      <c r="H508" s="116"/>
      <c r="I508" s="117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2.75" customHeight="1">
      <c r="A509" s="58"/>
      <c r="B509" s="58"/>
      <c r="C509" s="58"/>
      <c r="D509" s="58"/>
      <c r="E509" s="58"/>
      <c r="F509" s="58"/>
      <c r="G509" s="58"/>
      <c r="H509" s="116"/>
      <c r="I509" s="117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2.75" customHeight="1">
      <c r="A510" s="58"/>
      <c r="B510" s="58"/>
      <c r="C510" s="58"/>
      <c r="D510" s="58"/>
      <c r="E510" s="58"/>
      <c r="F510" s="58"/>
      <c r="G510" s="58"/>
      <c r="H510" s="116"/>
      <c r="I510" s="117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2.75" customHeight="1">
      <c r="A511" s="58"/>
      <c r="B511" s="58"/>
      <c r="C511" s="58"/>
      <c r="D511" s="58"/>
      <c r="E511" s="58"/>
      <c r="F511" s="58"/>
      <c r="G511" s="58"/>
      <c r="H511" s="116"/>
      <c r="I511" s="117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2.75" customHeight="1">
      <c r="A512" s="58"/>
      <c r="B512" s="58"/>
      <c r="C512" s="58"/>
      <c r="D512" s="58"/>
      <c r="E512" s="58"/>
      <c r="F512" s="58"/>
      <c r="G512" s="58"/>
      <c r="H512" s="116"/>
      <c r="I512" s="117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2.75" customHeight="1">
      <c r="A513" s="58"/>
      <c r="B513" s="58"/>
      <c r="C513" s="58"/>
      <c r="D513" s="58"/>
      <c r="E513" s="58"/>
      <c r="F513" s="58"/>
      <c r="G513" s="58"/>
      <c r="H513" s="116"/>
      <c r="I513" s="117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2.75" customHeight="1">
      <c r="A514" s="58"/>
      <c r="B514" s="58"/>
      <c r="C514" s="58"/>
      <c r="D514" s="58"/>
      <c r="E514" s="58"/>
      <c r="F514" s="58"/>
      <c r="G514" s="58"/>
      <c r="H514" s="116"/>
      <c r="I514" s="117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2.75" customHeight="1">
      <c r="A515" s="58"/>
      <c r="B515" s="58"/>
      <c r="C515" s="58"/>
      <c r="D515" s="58"/>
      <c r="E515" s="58"/>
      <c r="F515" s="58"/>
      <c r="G515" s="58"/>
      <c r="H515" s="116"/>
      <c r="I515" s="117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2.75" customHeight="1">
      <c r="A516" s="58"/>
      <c r="B516" s="58"/>
      <c r="C516" s="58"/>
      <c r="D516" s="58"/>
      <c r="E516" s="58"/>
      <c r="F516" s="58"/>
      <c r="G516" s="58"/>
      <c r="H516" s="116"/>
      <c r="I516" s="117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2.75" customHeight="1">
      <c r="A517" s="58"/>
      <c r="B517" s="58"/>
      <c r="C517" s="58"/>
      <c r="D517" s="58"/>
      <c r="E517" s="58"/>
      <c r="F517" s="58"/>
      <c r="G517" s="58"/>
      <c r="H517" s="116"/>
      <c r="I517" s="117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2.75" customHeight="1">
      <c r="A518" s="58"/>
      <c r="B518" s="58"/>
      <c r="C518" s="58"/>
      <c r="D518" s="58"/>
      <c r="E518" s="58"/>
      <c r="F518" s="58"/>
      <c r="G518" s="58"/>
      <c r="H518" s="116"/>
      <c r="I518" s="117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2.75" customHeight="1">
      <c r="A519" s="58"/>
      <c r="B519" s="58"/>
      <c r="C519" s="58"/>
      <c r="D519" s="58"/>
      <c r="E519" s="58"/>
      <c r="F519" s="58"/>
      <c r="G519" s="58"/>
      <c r="H519" s="116"/>
      <c r="I519" s="117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2.75" customHeight="1">
      <c r="A520" s="58"/>
      <c r="B520" s="58"/>
      <c r="C520" s="58"/>
      <c r="D520" s="58"/>
      <c r="E520" s="58"/>
      <c r="F520" s="58"/>
      <c r="G520" s="58"/>
      <c r="H520" s="116"/>
      <c r="I520" s="117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2.75" customHeight="1">
      <c r="A521" s="58"/>
      <c r="B521" s="58"/>
      <c r="C521" s="58"/>
      <c r="D521" s="58"/>
      <c r="E521" s="58"/>
      <c r="F521" s="58"/>
      <c r="G521" s="58"/>
      <c r="H521" s="116"/>
      <c r="I521" s="117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2.75" customHeight="1">
      <c r="A522" s="58"/>
      <c r="B522" s="58"/>
      <c r="C522" s="58"/>
      <c r="D522" s="58"/>
      <c r="E522" s="58"/>
      <c r="F522" s="58"/>
      <c r="G522" s="58"/>
      <c r="H522" s="116"/>
      <c r="I522" s="117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2.75" customHeight="1">
      <c r="A523" s="58"/>
      <c r="B523" s="58"/>
      <c r="C523" s="58"/>
      <c r="D523" s="58"/>
      <c r="E523" s="58"/>
      <c r="F523" s="58"/>
      <c r="G523" s="58"/>
      <c r="H523" s="116"/>
      <c r="I523" s="117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2.75" customHeight="1">
      <c r="A524" s="58"/>
      <c r="B524" s="58"/>
      <c r="C524" s="58"/>
      <c r="D524" s="58"/>
      <c r="E524" s="58"/>
      <c r="F524" s="58"/>
      <c r="G524" s="58"/>
      <c r="H524" s="116"/>
      <c r="I524" s="117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2.75" customHeight="1">
      <c r="A525" s="58"/>
      <c r="B525" s="58"/>
      <c r="C525" s="58"/>
      <c r="D525" s="58"/>
      <c r="E525" s="58"/>
      <c r="F525" s="58"/>
      <c r="G525" s="58"/>
      <c r="H525" s="116"/>
      <c r="I525" s="117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2.75" customHeight="1">
      <c r="A526" s="58"/>
      <c r="B526" s="58"/>
      <c r="C526" s="58"/>
      <c r="D526" s="58"/>
      <c r="E526" s="58"/>
      <c r="F526" s="58"/>
      <c r="G526" s="58"/>
      <c r="H526" s="116"/>
      <c r="I526" s="117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2.75" customHeight="1">
      <c r="A527" s="58"/>
      <c r="B527" s="58"/>
      <c r="C527" s="58"/>
      <c r="D527" s="58"/>
      <c r="E527" s="58"/>
      <c r="F527" s="58"/>
      <c r="G527" s="58"/>
      <c r="H527" s="116"/>
      <c r="I527" s="117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2.75" customHeight="1">
      <c r="A528" s="58"/>
      <c r="B528" s="58"/>
      <c r="C528" s="58"/>
      <c r="D528" s="58"/>
      <c r="E528" s="58"/>
      <c r="F528" s="58"/>
      <c r="G528" s="58"/>
      <c r="H528" s="116"/>
      <c r="I528" s="117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2.75" customHeight="1">
      <c r="A529" s="58"/>
      <c r="B529" s="58"/>
      <c r="C529" s="58"/>
      <c r="D529" s="58"/>
      <c r="E529" s="58"/>
      <c r="F529" s="58"/>
      <c r="G529" s="58"/>
      <c r="H529" s="116"/>
      <c r="I529" s="117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2.75" customHeight="1">
      <c r="A530" s="58"/>
      <c r="B530" s="58"/>
      <c r="C530" s="58"/>
      <c r="D530" s="58"/>
      <c r="E530" s="58"/>
      <c r="F530" s="58"/>
      <c r="G530" s="58"/>
      <c r="H530" s="116"/>
      <c r="I530" s="117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2.75" customHeight="1">
      <c r="A531" s="58"/>
      <c r="B531" s="58"/>
      <c r="C531" s="58"/>
      <c r="D531" s="58"/>
      <c r="E531" s="58"/>
      <c r="F531" s="58"/>
      <c r="G531" s="58"/>
      <c r="H531" s="116"/>
      <c r="I531" s="117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2.75" customHeight="1">
      <c r="A532" s="58"/>
      <c r="B532" s="58"/>
      <c r="C532" s="58"/>
      <c r="D532" s="58"/>
      <c r="E532" s="58"/>
      <c r="F532" s="58"/>
      <c r="G532" s="58"/>
      <c r="H532" s="116"/>
      <c r="I532" s="117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2.75" customHeight="1">
      <c r="A533" s="58"/>
      <c r="B533" s="58"/>
      <c r="C533" s="58"/>
      <c r="D533" s="58"/>
      <c r="E533" s="58"/>
      <c r="F533" s="58"/>
      <c r="G533" s="58"/>
      <c r="H533" s="116"/>
      <c r="I533" s="117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2.75" customHeight="1">
      <c r="A534" s="58"/>
      <c r="B534" s="58"/>
      <c r="C534" s="58"/>
      <c r="D534" s="58"/>
      <c r="E534" s="58"/>
      <c r="F534" s="58"/>
      <c r="G534" s="58"/>
      <c r="H534" s="116"/>
      <c r="I534" s="117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2.75" customHeight="1">
      <c r="A535" s="58"/>
      <c r="B535" s="58"/>
      <c r="C535" s="58"/>
      <c r="D535" s="58"/>
      <c r="E535" s="58"/>
      <c r="F535" s="58"/>
      <c r="G535" s="58"/>
      <c r="H535" s="116"/>
      <c r="I535" s="117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2.75" customHeight="1">
      <c r="A536" s="58"/>
      <c r="B536" s="58"/>
      <c r="C536" s="58"/>
      <c r="D536" s="58"/>
      <c r="E536" s="58"/>
      <c r="F536" s="58"/>
      <c r="G536" s="58"/>
      <c r="H536" s="116"/>
      <c r="I536" s="117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2.75" customHeight="1">
      <c r="A537" s="58"/>
      <c r="B537" s="58"/>
      <c r="C537" s="58"/>
      <c r="D537" s="58"/>
      <c r="E537" s="58"/>
      <c r="F537" s="58"/>
      <c r="G537" s="58"/>
      <c r="H537" s="116"/>
      <c r="I537" s="117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2.75" customHeight="1">
      <c r="A538" s="58"/>
      <c r="B538" s="58"/>
      <c r="C538" s="58"/>
      <c r="D538" s="58"/>
      <c r="E538" s="58"/>
      <c r="F538" s="58"/>
      <c r="G538" s="58"/>
      <c r="H538" s="116"/>
      <c r="I538" s="117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2.75" customHeight="1">
      <c r="A539" s="58"/>
      <c r="B539" s="58"/>
      <c r="C539" s="58"/>
      <c r="D539" s="58"/>
      <c r="E539" s="58"/>
      <c r="F539" s="58"/>
      <c r="G539" s="58"/>
      <c r="H539" s="116"/>
      <c r="I539" s="117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2.75" customHeight="1">
      <c r="A540" s="58"/>
      <c r="B540" s="58"/>
      <c r="C540" s="58"/>
      <c r="D540" s="58"/>
      <c r="E540" s="58"/>
      <c r="F540" s="58"/>
      <c r="G540" s="58"/>
      <c r="H540" s="116"/>
      <c r="I540" s="117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2.75" customHeight="1">
      <c r="A541" s="58"/>
      <c r="B541" s="58"/>
      <c r="C541" s="58"/>
      <c r="D541" s="58"/>
      <c r="E541" s="58"/>
      <c r="F541" s="58"/>
      <c r="G541" s="58"/>
      <c r="H541" s="116"/>
      <c r="I541" s="117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2.75" customHeight="1">
      <c r="A542" s="58"/>
      <c r="B542" s="58"/>
      <c r="C542" s="58"/>
      <c r="D542" s="58"/>
      <c r="E542" s="58"/>
      <c r="F542" s="58"/>
      <c r="G542" s="58"/>
      <c r="H542" s="116"/>
      <c r="I542" s="117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2.75" customHeight="1">
      <c r="A543" s="58"/>
      <c r="B543" s="58"/>
      <c r="C543" s="58"/>
      <c r="D543" s="58"/>
      <c r="E543" s="58"/>
      <c r="F543" s="58"/>
      <c r="G543" s="58"/>
      <c r="H543" s="116"/>
      <c r="I543" s="117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2.75" customHeight="1">
      <c r="A544" s="58"/>
      <c r="B544" s="58"/>
      <c r="C544" s="58"/>
      <c r="D544" s="58"/>
      <c r="E544" s="58"/>
      <c r="F544" s="58"/>
      <c r="G544" s="58"/>
      <c r="H544" s="116"/>
      <c r="I544" s="117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2.75" customHeight="1">
      <c r="A545" s="58"/>
      <c r="B545" s="58"/>
      <c r="C545" s="58"/>
      <c r="D545" s="58"/>
      <c r="E545" s="58"/>
      <c r="F545" s="58"/>
      <c r="G545" s="58"/>
      <c r="H545" s="116"/>
      <c r="I545" s="117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2.75" customHeight="1">
      <c r="A546" s="58"/>
      <c r="B546" s="58"/>
      <c r="C546" s="58"/>
      <c r="D546" s="58"/>
      <c r="E546" s="58"/>
      <c r="F546" s="58"/>
      <c r="G546" s="58"/>
      <c r="H546" s="116"/>
      <c r="I546" s="117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2.75" customHeight="1">
      <c r="A547" s="58"/>
      <c r="B547" s="58"/>
      <c r="C547" s="58"/>
      <c r="D547" s="58"/>
      <c r="E547" s="58"/>
      <c r="F547" s="58"/>
      <c r="G547" s="58"/>
      <c r="H547" s="116"/>
      <c r="I547" s="117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2.75" customHeight="1">
      <c r="A548" s="58"/>
      <c r="B548" s="58"/>
      <c r="C548" s="58"/>
      <c r="D548" s="58"/>
      <c r="E548" s="58"/>
      <c r="F548" s="58"/>
      <c r="G548" s="58"/>
      <c r="H548" s="116"/>
      <c r="I548" s="117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2.75" customHeight="1">
      <c r="A549" s="58"/>
      <c r="B549" s="58"/>
      <c r="C549" s="58"/>
      <c r="D549" s="58"/>
      <c r="E549" s="58"/>
      <c r="F549" s="58"/>
      <c r="G549" s="58"/>
      <c r="H549" s="116"/>
      <c r="I549" s="117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2.75" customHeight="1">
      <c r="A550" s="58"/>
      <c r="B550" s="58"/>
      <c r="C550" s="58"/>
      <c r="D550" s="58"/>
      <c r="E550" s="58"/>
      <c r="F550" s="58"/>
      <c r="G550" s="58"/>
      <c r="H550" s="116"/>
      <c r="I550" s="117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2.75" customHeight="1">
      <c r="A551" s="58"/>
      <c r="B551" s="58"/>
      <c r="C551" s="58"/>
      <c r="D551" s="58"/>
      <c r="E551" s="58"/>
      <c r="F551" s="58"/>
      <c r="G551" s="58"/>
      <c r="H551" s="116"/>
      <c r="I551" s="117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2.75" customHeight="1">
      <c r="A552" s="58"/>
      <c r="B552" s="58"/>
      <c r="C552" s="58"/>
      <c r="D552" s="58"/>
      <c r="E552" s="58"/>
      <c r="F552" s="58"/>
      <c r="G552" s="58"/>
      <c r="H552" s="116"/>
      <c r="I552" s="117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2.75" customHeight="1">
      <c r="A553" s="58"/>
      <c r="B553" s="58"/>
      <c r="C553" s="58"/>
      <c r="D553" s="58"/>
      <c r="E553" s="58"/>
      <c r="F553" s="58"/>
      <c r="G553" s="58"/>
      <c r="H553" s="116"/>
      <c r="I553" s="117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2.75" customHeight="1">
      <c r="A554" s="58"/>
      <c r="B554" s="58"/>
      <c r="C554" s="58"/>
      <c r="D554" s="58"/>
      <c r="E554" s="58"/>
      <c r="F554" s="58"/>
      <c r="G554" s="58"/>
      <c r="H554" s="116"/>
      <c r="I554" s="117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2.75" customHeight="1">
      <c r="A555" s="58"/>
      <c r="B555" s="58"/>
      <c r="C555" s="58"/>
      <c r="D555" s="58"/>
      <c r="E555" s="58"/>
      <c r="F555" s="58"/>
      <c r="G555" s="58"/>
      <c r="H555" s="116"/>
      <c r="I555" s="117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2.75" customHeight="1">
      <c r="A556" s="58"/>
      <c r="B556" s="58"/>
      <c r="C556" s="58"/>
      <c r="D556" s="58"/>
      <c r="E556" s="58"/>
      <c r="F556" s="58"/>
      <c r="G556" s="58"/>
      <c r="H556" s="116"/>
      <c r="I556" s="117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2.75" customHeight="1">
      <c r="A557" s="58"/>
      <c r="B557" s="58"/>
      <c r="C557" s="58"/>
      <c r="D557" s="58"/>
      <c r="E557" s="58"/>
      <c r="F557" s="58"/>
      <c r="G557" s="58"/>
      <c r="H557" s="116"/>
      <c r="I557" s="117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2.75" customHeight="1">
      <c r="A558" s="58"/>
      <c r="B558" s="58"/>
      <c r="C558" s="58"/>
      <c r="D558" s="58"/>
      <c r="E558" s="58"/>
      <c r="F558" s="58"/>
      <c r="G558" s="58"/>
      <c r="H558" s="116"/>
      <c r="I558" s="117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2.75" customHeight="1">
      <c r="A559" s="58"/>
      <c r="B559" s="58"/>
      <c r="C559" s="58"/>
      <c r="D559" s="58"/>
      <c r="E559" s="58"/>
      <c r="F559" s="58"/>
      <c r="G559" s="58"/>
      <c r="H559" s="116"/>
      <c r="I559" s="117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2.75" customHeight="1">
      <c r="A560" s="58"/>
      <c r="B560" s="58"/>
      <c r="C560" s="58"/>
      <c r="D560" s="58"/>
      <c r="E560" s="58"/>
      <c r="F560" s="58"/>
      <c r="G560" s="58"/>
      <c r="H560" s="116"/>
      <c r="I560" s="117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2.75" customHeight="1">
      <c r="A561" s="58"/>
      <c r="B561" s="58"/>
      <c r="C561" s="58"/>
      <c r="D561" s="58"/>
      <c r="E561" s="58"/>
      <c r="F561" s="58"/>
      <c r="G561" s="58"/>
      <c r="H561" s="116"/>
      <c r="I561" s="117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2.75" customHeight="1">
      <c r="A562" s="58"/>
      <c r="B562" s="58"/>
      <c r="C562" s="58"/>
      <c r="D562" s="58"/>
      <c r="E562" s="58"/>
      <c r="F562" s="58"/>
      <c r="G562" s="58"/>
      <c r="H562" s="116"/>
      <c r="I562" s="117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2.75" customHeight="1">
      <c r="A563" s="58"/>
      <c r="B563" s="58"/>
      <c r="C563" s="58"/>
      <c r="D563" s="58"/>
      <c r="E563" s="58"/>
      <c r="F563" s="58"/>
      <c r="G563" s="58"/>
      <c r="H563" s="116"/>
      <c r="I563" s="117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2.75" customHeight="1">
      <c r="A564" s="58"/>
      <c r="B564" s="58"/>
      <c r="C564" s="58"/>
      <c r="D564" s="58"/>
      <c r="E564" s="58"/>
      <c r="F564" s="58"/>
      <c r="G564" s="58"/>
      <c r="H564" s="116"/>
      <c r="I564" s="117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2.75" customHeight="1">
      <c r="A565" s="58"/>
      <c r="B565" s="58"/>
      <c r="C565" s="58"/>
      <c r="D565" s="58"/>
      <c r="E565" s="58"/>
      <c r="F565" s="58"/>
      <c r="G565" s="58"/>
      <c r="H565" s="116"/>
      <c r="I565" s="117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2.75" customHeight="1">
      <c r="A566" s="58"/>
      <c r="B566" s="58"/>
      <c r="C566" s="58"/>
      <c r="D566" s="58"/>
      <c r="E566" s="58"/>
      <c r="F566" s="58"/>
      <c r="G566" s="58"/>
      <c r="H566" s="116"/>
      <c r="I566" s="117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2.75" customHeight="1">
      <c r="A567" s="58"/>
      <c r="B567" s="58"/>
      <c r="C567" s="58"/>
      <c r="D567" s="58"/>
      <c r="E567" s="58"/>
      <c r="F567" s="58"/>
      <c r="G567" s="58"/>
      <c r="H567" s="116"/>
      <c r="I567" s="117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2.75" customHeight="1">
      <c r="A568" s="58"/>
      <c r="B568" s="58"/>
      <c r="C568" s="58"/>
      <c r="D568" s="58"/>
      <c r="E568" s="58"/>
      <c r="F568" s="58"/>
      <c r="G568" s="58"/>
      <c r="H568" s="116"/>
      <c r="I568" s="117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2.75" customHeight="1">
      <c r="A569" s="58"/>
      <c r="B569" s="58"/>
      <c r="C569" s="58"/>
      <c r="D569" s="58"/>
      <c r="E569" s="58"/>
      <c r="F569" s="58"/>
      <c r="G569" s="58"/>
      <c r="H569" s="116"/>
      <c r="I569" s="117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2.75" customHeight="1">
      <c r="A570" s="58"/>
      <c r="B570" s="58"/>
      <c r="C570" s="58"/>
      <c r="D570" s="58"/>
      <c r="E570" s="58"/>
      <c r="F570" s="58"/>
      <c r="G570" s="58"/>
      <c r="H570" s="116"/>
      <c r="I570" s="117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2.75" customHeight="1">
      <c r="A571" s="58"/>
      <c r="B571" s="58"/>
      <c r="C571" s="58"/>
      <c r="D571" s="58"/>
      <c r="E571" s="58"/>
      <c r="F571" s="58"/>
      <c r="G571" s="58"/>
      <c r="H571" s="116"/>
      <c r="I571" s="117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2.75" customHeight="1">
      <c r="A572" s="58"/>
      <c r="B572" s="58"/>
      <c r="C572" s="58"/>
      <c r="D572" s="58"/>
      <c r="E572" s="58"/>
      <c r="F572" s="58"/>
      <c r="G572" s="58"/>
      <c r="H572" s="116"/>
      <c r="I572" s="117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2.75" customHeight="1">
      <c r="A573" s="58"/>
      <c r="B573" s="58"/>
      <c r="C573" s="58"/>
      <c r="D573" s="58"/>
      <c r="E573" s="58"/>
      <c r="F573" s="58"/>
      <c r="G573" s="58"/>
      <c r="H573" s="116"/>
      <c r="I573" s="117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2.75" customHeight="1">
      <c r="A574" s="58"/>
      <c r="B574" s="58"/>
      <c r="C574" s="58"/>
      <c r="D574" s="58"/>
      <c r="E574" s="58"/>
      <c r="F574" s="58"/>
      <c r="G574" s="58"/>
      <c r="H574" s="116"/>
      <c r="I574" s="117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2.75" customHeight="1">
      <c r="A575" s="58"/>
      <c r="B575" s="58"/>
      <c r="C575" s="58"/>
      <c r="D575" s="58"/>
      <c r="E575" s="58"/>
      <c r="F575" s="58"/>
      <c r="G575" s="58"/>
      <c r="H575" s="116"/>
      <c r="I575" s="117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2.75" customHeight="1">
      <c r="A576" s="58"/>
      <c r="B576" s="58"/>
      <c r="C576" s="58"/>
      <c r="D576" s="58"/>
      <c r="E576" s="58"/>
      <c r="F576" s="58"/>
      <c r="G576" s="58"/>
      <c r="H576" s="116"/>
      <c r="I576" s="117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2.75" customHeight="1">
      <c r="A577" s="58"/>
      <c r="B577" s="58"/>
      <c r="C577" s="58"/>
      <c r="D577" s="58"/>
      <c r="E577" s="58"/>
      <c r="F577" s="58"/>
      <c r="G577" s="58"/>
      <c r="H577" s="116"/>
      <c r="I577" s="117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2.75" customHeight="1">
      <c r="A578" s="58"/>
      <c r="B578" s="58"/>
      <c r="C578" s="58"/>
      <c r="D578" s="58"/>
      <c r="E578" s="58"/>
      <c r="F578" s="58"/>
      <c r="G578" s="58"/>
      <c r="H578" s="116"/>
      <c r="I578" s="117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2.75" customHeight="1">
      <c r="A579" s="58"/>
      <c r="B579" s="58"/>
      <c r="C579" s="58"/>
      <c r="D579" s="58"/>
      <c r="E579" s="58"/>
      <c r="F579" s="58"/>
      <c r="G579" s="58"/>
      <c r="H579" s="116"/>
      <c r="I579" s="117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2.75" customHeight="1">
      <c r="A580" s="58"/>
      <c r="B580" s="58"/>
      <c r="C580" s="58"/>
      <c r="D580" s="58"/>
      <c r="E580" s="58"/>
      <c r="F580" s="58"/>
      <c r="G580" s="58"/>
      <c r="H580" s="116"/>
      <c r="I580" s="117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2.75" customHeight="1">
      <c r="A581" s="58"/>
      <c r="B581" s="58"/>
      <c r="C581" s="58"/>
      <c r="D581" s="58"/>
      <c r="E581" s="58"/>
      <c r="F581" s="58"/>
      <c r="G581" s="58"/>
      <c r="H581" s="116"/>
      <c r="I581" s="117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2.75" customHeight="1">
      <c r="A582" s="58"/>
      <c r="B582" s="58"/>
      <c r="C582" s="58"/>
      <c r="D582" s="58"/>
      <c r="E582" s="58"/>
      <c r="F582" s="58"/>
      <c r="G582" s="58"/>
      <c r="H582" s="116"/>
      <c r="I582" s="117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2.75" customHeight="1">
      <c r="A583" s="58"/>
      <c r="B583" s="58"/>
      <c r="C583" s="58"/>
      <c r="D583" s="58"/>
      <c r="E583" s="58"/>
      <c r="F583" s="58"/>
      <c r="G583" s="58"/>
      <c r="H583" s="116"/>
      <c r="I583" s="117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2.75" customHeight="1">
      <c r="A584" s="58"/>
      <c r="B584" s="58"/>
      <c r="C584" s="58"/>
      <c r="D584" s="58"/>
      <c r="E584" s="58"/>
      <c r="F584" s="58"/>
      <c r="G584" s="58"/>
      <c r="H584" s="116"/>
      <c r="I584" s="117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2.75" customHeight="1">
      <c r="A585" s="58"/>
      <c r="B585" s="58"/>
      <c r="C585" s="58"/>
      <c r="D585" s="58"/>
      <c r="E585" s="58"/>
      <c r="F585" s="58"/>
      <c r="G585" s="58"/>
      <c r="H585" s="116"/>
      <c r="I585" s="117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2.75" customHeight="1">
      <c r="A586" s="58"/>
      <c r="B586" s="58"/>
      <c r="C586" s="58"/>
      <c r="D586" s="58"/>
      <c r="E586" s="58"/>
      <c r="F586" s="58"/>
      <c r="G586" s="58"/>
      <c r="H586" s="116"/>
      <c r="I586" s="117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2.75" customHeight="1">
      <c r="A587" s="58"/>
      <c r="B587" s="58"/>
      <c r="C587" s="58"/>
      <c r="D587" s="58"/>
      <c r="E587" s="58"/>
      <c r="F587" s="58"/>
      <c r="G587" s="58"/>
      <c r="H587" s="116"/>
      <c r="I587" s="117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2.75" customHeight="1">
      <c r="A588" s="58"/>
      <c r="B588" s="58"/>
      <c r="C588" s="58"/>
      <c r="D588" s="58"/>
      <c r="E588" s="58"/>
      <c r="F588" s="58"/>
      <c r="G588" s="58"/>
      <c r="H588" s="116"/>
      <c r="I588" s="117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2.75" customHeight="1">
      <c r="A589" s="58"/>
      <c r="B589" s="58"/>
      <c r="C589" s="58"/>
      <c r="D589" s="58"/>
      <c r="E589" s="58"/>
      <c r="F589" s="58"/>
      <c r="G589" s="58"/>
      <c r="H589" s="116"/>
      <c r="I589" s="117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2.75" customHeight="1">
      <c r="A590" s="58"/>
      <c r="B590" s="58"/>
      <c r="C590" s="58"/>
      <c r="D590" s="58"/>
      <c r="E590" s="58"/>
      <c r="F590" s="58"/>
      <c r="G590" s="58"/>
      <c r="H590" s="116"/>
      <c r="I590" s="117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2.75" customHeight="1">
      <c r="A591" s="58"/>
      <c r="B591" s="58"/>
      <c r="C591" s="58"/>
      <c r="D591" s="58"/>
      <c r="E591" s="58"/>
      <c r="F591" s="58"/>
      <c r="G591" s="58"/>
      <c r="H591" s="116"/>
      <c r="I591" s="117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2.75" customHeight="1">
      <c r="A592" s="58"/>
      <c r="B592" s="58"/>
      <c r="C592" s="58"/>
      <c r="D592" s="58"/>
      <c r="E592" s="58"/>
      <c r="F592" s="58"/>
      <c r="G592" s="58"/>
      <c r="H592" s="116"/>
      <c r="I592" s="117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2.75" customHeight="1">
      <c r="A593" s="58"/>
      <c r="B593" s="58"/>
      <c r="C593" s="58"/>
      <c r="D593" s="58"/>
      <c r="E593" s="58"/>
      <c r="F593" s="58"/>
      <c r="G593" s="58"/>
      <c r="H593" s="116"/>
      <c r="I593" s="117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2.75" customHeight="1">
      <c r="A594" s="58"/>
      <c r="B594" s="58"/>
      <c r="C594" s="58"/>
      <c r="D594" s="58"/>
      <c r="E594" s="58"/>
      <c r="F594" s="58"/>
      <c r="G594" s="58"/>
      <c r="H594" s="116"/>
      <c r="I594" s="117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2.75" customHeight="1">
      <c r="A595" s="58"/>
      <c r="B595" s="58"/>
      <c r="C595" s="58"/>
      <c r="D595" s="58"/>
      <c r="E595" s="58"/>
      <c r="F595" s="58"/>
      <c r="G595" s="58"/>
      <c r="H595" s="116"/>
      <c r="I595" s="117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2.75" customHeight="1">
      <c r="A596" s="58"/>
      <c r="B596" s="58"/>
      <c r="C596" s="58"/>
      <c r="D596" s="58"/>
      <c r="E596" s="58"/>
      <c r="F596" s="58"/>
      <c r="G596" s="58"/>
      <c r="H596" s="116"/>
      <c r="I596" s="117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2.75" customHeight="1">
      <c r="A597" s="58"/>
      <c r="B597" s="58"/>
      <c r="C597" s="58"/>
      <c r="D597" s="58"/>
      <c r="E597" s="58"/>
      <c r="F597" s="58"/>
      <c r="G597" s="58"/>
      <c r="H597" s="116"/>
      <c r="I597" s="117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2.75" customHeight="1">
      <c r="A598" s="58"/>
      <c r="B598" s="58"/>
      <c r="C598" s="58"/>
      <c r="D598" s="58"/>
      <c r="E598" s="58"/>
      <c r="F598" s="58"/>
      <c r="G598" s="58"/>
      <c r="H598" s="116"/>
      <c r="I598" s="117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2.75" customHeight="1">
      <c r="A599" s="58"/>
      <c r="B599" s="58"/>
      <c r="C599" s="58"/>
      <c r="D599" s="58"/>
      <c r="E599" s="58"/>
      <c r="F599" s="58"/>
      <c r="G599" s="58"/>
      <c r="H599" s="116"/>
      <c r="I599" s="117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2.75" customHeight="1">
      <c r="A600" s="58"/>
      <c r="B600" s="58"/>
      <c r="C600" s="58"/>
      <c r="D600" s="58"/>
      <c r="E600" s="58"/>
      <c r="F600" s="58"/>
      <c r="G600" s="58"/>
      <c r="H600" s="116"/>
      <c r="I600" s="117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2.75" customHeight="1">
      <c r="A601" s="58"/>
      <c r="B601" s="58"/>
      <c r="C601" s="58"/>
      <c r="D601" s="58"/>
      <c r="E601" s="58"/>
      <c r="F601" s="58"/>
      <c r="G601" s="58"/>
      <c r="H601" s="116"/>
      <c r="I601" s="117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2.75" customHeight="1">
      <c r="A602" s="58"/>
      <c r="B602" s="58"/>
      <c r="C602" s="58"/>
      <c r="D602" s="58"/>
      <c r="E602" s="58"/>
      <c r="F602" s="58"/>
      <c r="G602" s="58"/>
      <c r="H602" s="116"/>
      <c r="I602" s="117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2.75" customHeight="1">
      <c r="A603" s="58"/>
      <c r="B603" s="58"/>
      <c r="C603" s="58"/>
      <c r="D603" s="58"/>
      <c r="E603" s="58"/>
      <c r="F603" s="58"/>
      <c r="G603" s="58"/>
      <c r="H603" s="116"/>
      <c r="I603" s="117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2.75" customHeight="1">
      <c r="A604" s="58"/>
      <c r="B604" s="58"/>
      <c r="C604" s="58"/>
      <c r="D604" s="58"/>
      <c r="E604" s="58"/>
      <c r="F604" s="58"/>
      <c r="G604" s="58"/>
      <c r="H604" s="116"/>
      <c r="I604" s="117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2.75" customHeight="1">
      <c r="A605" s="58"/>
      <c r="B605" s="58"/>
      <c r="C605" s="58"/>
      <c r="D605" s="58"/>
      <c r="E605" s="58"/>
      <c r="F605" s="58"/>
      <c r="G605" s="58"/>
      <c r="H605" s="116"/>
      <c r="I605" s="117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2.75" customHeight="1">
      <c r="A606" s="58"/>
      <c r="B606" s="58"/>
      <c r="C606" s="58"/>
      <c r="D606" s="58"/>
      <c r="E606" s="58"/>
      <c r="F606" s="58"/>
      <c r="G606" s="58"/>
      <c r="H606" s="116"/>
      <c r="I606" s="117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2.75" customHeight="1">
      <c r="A607" s="58"/>
      <c r="B607" s="58"/>
      <c r="C607" s="58"/>
      <c r="D607" s="58"/>
      <c r="E607" s="58"/>
      <c r="F607" s="58"/>
      <c r="G607" s="58"/>
      <c r="H607" s="116"/>
      <c r="I607" s="117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2.75" customHeight="1">
      <c r="A608" s="58"/>
      <c r="B608" s="58"/>
      <c r="C608" s="58"/>
      <c r="D608" s="58"/>
      <c r="E608" s="58"/>
      <c r="F608" s="58"/>
      <c r="G608" s="58"/>
      <c r="H608" s="116"/>
      <c r="I608" s="117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2.75" customHeight="1">
      <c r="A609" s="58"/>
      <c r="B609" s="58"/>
      <c r="C609" s="58"/>
      <c r="D609" s="58"/>
      <c r="E609" s="58"/>
      <c r="F609" s="58"/>
      <c r="G609" s="58"/>
      <c r="H609" s="116"/>
      <c r="I609" s="117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2.75" customHeight="1">
      <c r="A610" s="58"/>
      <c r="B610" s="58"/>
      <c r="C610" s="58"/>
      <c r="D610" s="58"/>
      <c r="E610" s="58"/>
      <c r="F610" s="58"/>
      <c r="G610" s="58"/>
      <c r="H610" s="116"/>
      <c r="I610" s="117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2.75" customHeight="1">
      <c r="A611" s="58"/>
      <c r="B611" s="58"/>
      <c r="C611" s="58"/>
      <c r="D611" s="58"/>
      <c r="E611" s="58"/>
      <c r="F611" s="58"/>
      <c r="G611" s="58"/>
      <c r="H611" s="116"/>
      <c r="I611" s="117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2.75" customHeight="1">
      <c r="A612" s="58"/>
      <c r="B612" s="58"/>
      <c r="C612" s="58"/>
      <c r="D612" s="58"/>
      <c r="E612" s="58"/>
      <c r="F612" s="58"/>
      <c r="G612" s="58"/>
      <c r="H612" s="116"/>
      <c r="I612" s="117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2.75" customHeight="1">
      <c r="A613" s="58"/>
      <c r="B613" s="58"/>
      <c r="C613" s="58"/>
      <c r="D613" s="58"/>
      <c r="E613" s="58"/>
      <c r="F613" s="58"/>
      <c r="G613" s="58"/>
      <c r="H613" s="116"/>
      <c r="I613" s="117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2.75" customHeight="1">
      <c r="A614" s="58"/>
      <c r="B614" s="58"/>
      <c r="C614" s="58"/>
      <c r="D614" s="58"/>
      <c r="E614" s="58"/>
      <c r="F614" s="58"/>
      <c r="G614" s="58"/>
      <c r="H614" s="116"/>
      <c r="I614" s="117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2.75" customHeight="1">
      <c r="A615" s="58"/>
      <c r="B615" s="58"/>
      <c r="C615" s="58"/>
      <c r="D615" s="58"/>
      <c r="E615" s="58"/>
      <c r="F615" s="58"/>
      <c r="G615" s="58"/>
      <c r="H615" s="116"/>
      <c r="I615" s="117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2.75" customHeight="1">
      <c r="A616" s="58"/>
      <c r="B616" s="58"/>
      <c r="C616" s="58"/>
      <c r="D616" s="58"/>
      <c r="E616" s="58"/>
      <c r="F616" s="58"/>
      <c r="G616" s="58"/>
      <c r="H616" s="116"/>
      <c r="I616" s="117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2.75" customHeight="1">
      <c r="A617" s="58"/>
      <c r="B617" s="58"/>
      <c r="C617" s="58"/>
      <c r="D617" s="58"/>
      <c r="E617" s="58"/>
      <c r="F617" s="58"/>
      <c r="G617" s="58"/>
      <c r="H617" s="116"/>
      <c r="I617" s="117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2.75" customHeight="1">
      <c r="A618" s="58"/>
      <c r="B618" s="58"/>
      <c r="C618" s="58"/>
      <c r="D618" s="58"/>
      <c r="E618" s="58"/>
      <c r="F618" s="58"/>
      <c r="G618" s="58"/>
      <c r="H618" s="116"/>
      <c r="I618" s="117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2.75" customHeight="1">
      <c r="A619" s="58"/>
      <c r="B619" s="58"/>
      <c r="C619" s="58"/>
      <c r="D619" s="58"/>
      <c r="E619" s="58"/>
      <c r="F619" s="58"/>
      <c r="G619" s="58"/>
      <c r="H619" s="116"/>
      <c r="I619" s="117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2.75" customHeight="1">
      <c r="A620" s="58"/>
      <c r="B620" s="58"/>
      <c r="C620" s="58"/>
      <c r="D620" s="58"/>
      <c r="E620" s="58"/>
      <c r="F620" s="58"/>
      <c r="G620" s="58"/>
      <c r="H620" s="116"/>
      <c r="I620" s="117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2.75" customHeight="1">
      <c r="A621" s="58"/>
      <c r="B621" s="58"/>
      <c r="C621" s="58"/>
      <c r="D621" s="58"/>
      <c r="E621" s="58"/>
      <c r="F621" s="58"/>
      <c r="G621" s="58"/>
      <c r="H621" s="116"/>
      <c r="I621" s="117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2.75" customHeight="1">
      <c r="A622" s="58"/>
      <c r="B622" s="58"/>
      <c r="C622" s="58"/>
      <c r="D622" s="58"/>
      <c r="E622" s="58"/>
      <c r="F622" s="58"/>
      <c r="G622" s="58"/>
      <c r="H622" s="116"/>
      <c r="I622" s="117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2.75" customHeight="1">
      <c r="A623" s="58"/>
      <c r="B623" s="58"/>
      <c r="C623" s="58"/>
      <c r="D623" s="58"/>
      <c r="E623" s="58"/>
      <c r="F623" s="58"/>
      <c r="G623" s="58"/>
      <c r="H623" s="116"/>
      <c r="I623" s="117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2.75" customHeight="1">
      <c r="A624" s="58"/>
      <c r="B624" s="58"/>
      <c r="C624" s="58"/>
      <c r="D624" s="58"/>
      <c r="E624" s="58"/>
      <c r="F624" s="58"/>
      <c r="G624" s="58"/>
      <c r="H624" s="116"/>
      <c r="I624" s="117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2.75" customHeight="1">
      <c r="A625" s="58"/>
      <c r="B625" s="58"/>
      <c r="C625" s="58"/>
      <c r="D625" s="58"/>
      <c r="E625" s="58"/>
      <c r="F625" s="58"/>
      <c r="G625" s="58"/>
      <c r="H625" s="116"/>
      <c r="I625" s="117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2.75" customHeight="1">
      <c r="A626" s="58"/>
      <c r="B626" s="58"/>
      <c r="C626" s="58"/>
      <c r="D626" s="58"/>
      <c r="E626" s="58"/>
      <c r="F626" s="58"/>
      <c r="G626" s="58"/>
      <c r="H626" s="116"/>
      <c r="I626" s="117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2.75" customHeight="1">
      <c r="A627" s="58"/>
      <c r="B627" s="58"/>
      <c r="C627" s="58"/>
      <c r="D627" s="58"/>
      <c r="E627" s="58"/>
      <c r="F627" s="58"/>
      <c r="G627" s="58"/>
      <c r="H627" s="116"/>
      <c r="I627" s="117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2.75" customHeight="1">
      <c r="A628" s="58"/>
      <c r="B628" s="58"/>
      <c r="C628" s="58"/>
      <c r="D628" s="58"/>
      <c r="E628" s="58"/>
      <c r="F628" s="58"/>
      <c r="G628" s="58"/>
      <c r="H628" s="116"/>
      <c r="I628" s="117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2.75" customHeight="1">
      <c r="A629" s="58"/>
      <c r="B629" s="58"/>
      <c r="C629" s="58"/>
      <c r="D629" s="58"/>
      <c r="E629" s="58"/>
      <c r="F629" s="58"/>
      <c r="G629" s="58"/>
      <c r="H629" s="116"/>
      <c r="I629" s="117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2.75" customHeight="1">
      <c r="A630" s="58"/>
      <c r="B630" s="58"/>
      <c r="C630" s="58"/>
      <c r="D630" s="58"/>
      <c r="E630" s="58"/>
      <c r="F630" s="58"/>
      <c r="G630" s="58"/>
      <c r="H630" s="116"/>
      <c r="I630" s="117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2.75" customHeight="1">
      <c r="A631" s="58"/>
      <c r="B631" s="58"/>
      <c r="C631" s="58"/>
      <c r="D631" s="58"/>
      <c r="E631" s="58"/>
      <c r="F631" s="58"/>
      <c r="G631" s="58"/>
      <c r="H631" s="116"/>
      <c r="I631" s="117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2.75" customHeight="1">
      <c r="A632" s="58"/>
      <c r="B632" s="58"/>
      <c r="C632" s="58"/>
      <c r="D632" s="58"/>
      <c r="E632" s="58"/>
      <c r="F632" s="58"/>
      <c r="G632" s="58"/>
      <c r="H632" s="116"/>
      <c r="I632" s="117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2.75" customHeight="1">
      <c r="A633" s="58"/>
      <c r="B633" s="58"/>
      <c r="C633" s="58"/>
      <c r="D633" s="58"/>
      <c r="E633" s="58"/>
      <c r="F633" s="58"/>
      <c r="G633" s="58"/>
      <c r="H633" s="116"/>
      <c r="I633" s="117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2.75" customHeight="1">
      <c r="A634" s="58"/>
      <c r="B634" s="58"/>
      <c r="C634" s="58"/>
      <c r="D634" s="58"/>
      <c r="E634" s="58"/>
      <c r="F634" s="58"/>
      <c r="G634" s="58"/>
      <c r="H634" s="116"/>
      <c r="I634" s="117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2.75" customHeight="1">
      <c r="A635" s="58"/>
      <c r="B635" s="58"/>
      <c r="C635" s="58"/>
      <c r="D635" s="58"/>
      <c r="E635" s="58"/>
      <c r="F635" s="58"/>
      <c r="G635" s="58"/>
      <c r="H635" s="116"/>
      <c r="I635" s="117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2.75" customHeight="1">
      <c r="A636" s="58"/>
      <c r="B636" s="58"/>
      <c r="C636" s="58"/>
      <c r="D636" s="58"/>
      <c r="E636" s="58"/>
      <c r="F636" s="58"/>
      <c r="G636" s="58"/>
      <c r="H636" s="116"/>
      <c r="I636" s="117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2.75" customHeight="1">
      <c r="A637" s="58"/>
      <c r="B637" s="58"/>
      <c r="C637" s="58"/>
      <c r="D637" s="58"/>
      <c r="E637" s="58"/>
      <c r="F637" s="58"/>
      <c r="G637" s="58"/>
      <c r="H637" s="116"/>
      <c r="I637" s="117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2.75" customHeight="1">
      <c r="A638" s="58"/>
      <c r="B638" s="58"/>
      <c r="C638" s="58"/>
      <c r="D638" s="58"/>
      <c r="E638" s="58"/>
      <c r="F638" s="58"/>
      <c r="G638" s="58"/>
      <c r="H638" s="116"/>
      <c r="I638" s="117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2.75" customHeight="1">
      <c r="A639" s="58"/>
      <c r="B639" s="58"/>
      <c r="C639" s="58"/>
      <c r="D639" s="58"/>
      <c r="E639" s="58"/>
      <c r="F639" s="58"/>
      <c r="G639" s="58"/>
      <c r="H639" s="116"/>
      <c r="I639" s="117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2.75" customHeight="1">
      <c r="A640" s="58"/>
      <c r="B640" s="58"/>
      <c r="C640" s="58"/>
      <c r="D640" s="58"/>
      <c r="E640" s="58"/>
      <c r="F640" s="58"/>
      <c r="G640" s="58"/>
      <c r="H640" s="116"/>
      <c r="I640" s="117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2.75" customHeight="1">
      <c r="A641" s="58"/>
      <c r="B641" s="58"/>
      <c r="C641" s="58"/>
      <c r="D641" s="58"/>
      <c r="E641" s="58"/>
      <c r="F641" s="58"/>
      <c r="G641" s="58"/>
      <c r="H641" s="116"/>
      <c r="I641" s="117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2.75" customHeight="1">
      <c r="A642" s="58"/>
      <c r="B642" s="58"/>
      <c r="C642" s="58"/>
      <c r="D642" s="58"/>
      <c r="E642" s="58"/>
      <c r="F642" s="58"/>
      <c r="G642" s="58"/>
      <c r="H642" s="116"/>
      <c r="I642" s="117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2.75" customHeight="1">
      <c r="A643" s="58"/>
      <c r="B643" s="58"/>
      <c r="C643" s="58"/>
      <c r="D643" s="58"/>
      <c r="E643" s="58"/>
      <c r="F643" s="58"/>
      <c r="G643" s="58"/>
      <c r="H643" s="116"/>
      <c r="I643" s="117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2.75" customHeight="1">
      <c r="A644" s="58"/>
      <c r="B644" s="58"/>
      <c r="C644" s="58"/>
      <c r="D644" s="58"/>
      <c r="E644" s="58"/>
      <c r="F644" s="58"/>
      <c r="G644" s="58"/>
      <c r="H644" s="116"/>
      <c r="I644" s="117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2.75" customHeight="1">
      <c r="A645" s="58"/>
      <c r="B645" s="58"/>
      <c r="C645" s="58"/>
      <c r="D645" s="58"/>
      <c r="E645" s="58"/>
      <c r="F645" s="58"/>
      <c r="G645" s="58"/>
      <c r="H645" s="116"/>
      <c r="I645" s="117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2.75" customHeight="1">
      <c r="A646" s="58"/>
      <c r="B646" s="58"/>
      <c r="C646" s="58"/>
      <c r="D646" s="58"/>
      <c r="E646" s="58"/>
      <c r="F646" s="58"/>
      <c r="G646" s="58"/>
      <c r="H646" s="116"/>
      <c r="I646" s="117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2.75" customHeight="1">
      <c r="A647" s="58"/>
      <c r="B647" s="58"/>
      <c r="C647" s="58"/>
      <c r="D647" s="58"/>
      <c r="E647" s="58"/>
      <c r="F647" s="58"/>
      <c r="G647" s="58"/>
      <c r="H647" s="116"/>
      <c r="I647" s="117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2.75" customHeight="1">
      <c r="A648" s="58"/>
      <c r="B648" s="58"/>
      <c r="C648" s="58"/>
      <c r="D648" s="58"/>
      <c r="E648" s="58"/>
      <c r="F648" s="58"/>
      <c r="G648" s="58"/>
      <c r="H648" s="116"/>
      <c r="I648" s="117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2.75" customHeight="1">
      <c r="A649" s="58"/>
      <c r="B649" s="58"/>
      <c r="C649" s="58"/>
      <c r="D649" s="58"/>
      <c r="E649" s="58"/>
      <c r="F649" s="58"/>
      <c r="G649" s="58"/>
      <c r="H649" s="116"/>
      <c r="I649" s="117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2.75" customHeight="1">
      <c r="A650" s="58"/>
      <c r="B650" s="58"/>
      <c r="C650" s="58"/>
      <c r="D650" s="58"/>
      <c r="E650" s="58"/>
      <c r="F650" s="58"/>
      <c r="G650" s="58"/>
      <c r="H650" s="116"/>
      <c r="I650" s="117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2.75" customHeight="1">
      <c r="A651" s="58"/>
      <c r="B651" s="58"/>
      <c r="C651" s="58"/>
      <c r="D651" s="58"/>
      <c r="E651" s="58"/>
      <c r="F651" s="58"/>
      <c r="G651" s="58"/>
      <c r="H651" s="116"/>
      <c r="I651" s="117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2.75" customHeight="1">
      <c r="A652" s="58"/>
      <c r="B652" s="58"/>
      <c r="C652" s="58"/>
      <c r="D652" s="58"/>
      <c r="E652" s="58"/>
      <c r="F652" s="58"/>
      <c r="G652" s="58"/>
      <c r="H652" s="116"/>
      <c r="I652" s="117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2.75" customHeight="1">
      <c r="A653" s="58"/>
      <c r="B653" s="58"/>
      <c r="C653" s="58"/>
      <c r="D653" s="58"/>
      <c r="E653" s="58"/>
      <c r="F653" s="58"/>
      <c r="G653" s="58"/>
      <c r="H653" s="116"/>
      <c r="I653" s="117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2.75" customHeight="1">
      <c r="A654" s="58"/>
      <c r="B654" s="58"/>
      <c r="C654" s="58"/>
      <c r="D654" s="58"/>
      <c r="E654" s="58"/>
      <c r="F654" s="58"/>
      <c r="G654" s="58"/>
      <c r="H654" s="116"/>
      <c r="I654" s="117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2.75" customHeight="1">
      <c r="A655" s="58"/>
      <c r="B655" s="58"/>
      <c r="C655" s="58"/>
      <c r="D655" s="58"/>
      <c r="E655" s="58"/>
      <c r="F655" s="58"/>
      <c r="G655" s="58"/>
      <c r="H655" s="116"/>
      <c r="I655" s="117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2.75" customHeight="1">
      <c r="A656" s="58"/>
      <c r="B656" s="58"/>
      <c r="C656" s="58"/>
      <c r="D656" s="58"/>
      <c r="E656" s="58"/>
      <c r="F656" s="58"/>
      <c r="G656" s="58"/>
      <c r="H656" s="116"/>
      <c r="I656" s="117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2.75" customHeight="1">
      <c r="A657" s="58"/>
      <c r="B657" s="58"/>
      <c r="C657" s="58"/>
      <c r="D657" s="58"/>
      <c r="E657" s="58"/>
      <c r="F657" s="58"/>
      <c r="G657" s="58"/>
      <c r="H657" s="116"/>
      <c r="I657" s="117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2.75" customHeight="1">
      <c r="A658" s="58"/>
      <c r="B658" s="58"/>
      <c r="C658" s="58"/>
      <c r="D658" s="58"/>
      <c r="E658" s="58"/>
      <c r="F658" s="58"/>
      <c r="G658" s="58"/>
      <c r="H658" s="116"/>
      <c r="I658" s="117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2.75" customHeight="1">
      <c r="A659" s="58"/>
      <c r="B659" s="58"/>
      <c r="C659" s="58"/>
      <c r="D659" s="58"/>
      <c r="E659" s="58"/>
      <c r="F659" s="58"/>
      <c r="G659" s="58"/>
      <c r="H659" s="116"/>
      <c r="I659" s="117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2.75" customHeight="1">
      <c r="A660" s="58"/>
      <c r="B660" s="58"/>
      <c r="C660" s="58"/>
      <c r="D660" s="58"/>
      <c r="E660" s="58"/>
      <c r="F660" s="58"/>
      <c r="G660" s="58"/>
      <c r="H660" s="116"/>
      <c r="I660" s="117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2.75" customHeight="1">
      <c r="A661" s="58"/>
      <c r="B661" s="58"/>
      <c r="C661" s="58"/>
      <c r="D661" s="58"/>
      <c r="E661" s="58"/>
      <c r="F661" s="58"/>
      <c r="G661" s="58"/>
      <c r="H661" s="116"/>
      <c r="I661" s="117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2.75" customHeight="1">
      <c r="A662" s="58"/>
      <c r="B662" s="58"/>
      <c r="C662" s="58"/>
      <c r="D662" s="58"/>
      <c r="E662" s="58"/>
      <c r="F662" s="58"/>
      <c r="G662" s="58"/>
      <c r="H662" s="116"/>
      <c r="I662" s="117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2.75" customHeight="1">
      <c r="A663" s="58"/>
      <c r="B663" s="58"/>
      <c r="C663" s="58"/>
      <c r="D663" s="58"/>
      <c r="E663" s="58"/>
      <c r="F663" s="58"/>
      <c r="G663" s="58"/>
      <c r="H663" s="116"/>
      <c r="I663" s="117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2.75" customHeight="1">
      <c r="A664" s="58"/>
      <c r="B664" s="58"/>
      <c r="C664" s="58"/>
      <c r="D664" s="58"/>
      <c r="E664" s="58"/>
      <c r="F664" s="58"/>
      <c r="G664" s="58"/>
      <c r="H664" s="116"/>
      <c r="I664" s="117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2.75" customHeight="1">
      <c r="A665" s="58"/>
      <c r="B665" s="58"/>
      <c r="C665" s="58"/>
      <c r="D665" s="58"/>
      <c r="E665" s="58"/>
      <c r="F665" s="58"/>
      <c r="G665" s="58"/>
      <c r="H665" s="116"/>
      <c r="I665" s="117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2.75" customHeight="1">
      <c r="A666" s="58"/>
      <c r="B666" s="58"/>
      <c r="C666" s="58"/>
      <c r="D666" s="58"/>
      <c r="E666" s="58"/>
      <c r="F666" s="58"/>
      <c r="G666" s="58"/>
      <c r="H666" s="116"/>
      <c r="I666" s="117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2.75" customHeight="1">
      <c r="A667" s="58"/>
      <c r="B667" s="58"/>
      <c r="C667" s="58"/>
      <c r="D667" s="58"/>
      <c r="E667" s="58"/>
      <c r="F667" s="58"/>
      <c r="G667" s="58"/>
      <c r="H667" s="116"/>
      <c r="I667" s="117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2.75" customHeight="1">
      <c r="A668" s="58"/>
      <c r="B668" s="58"/>
      <c r="C668" s="58"/>
      <c r="D668" s="58"/>
      <c r="E668" s="58"/>
      <c r="F668" s="58"/>
      <c r="G668" s="58"/>
      <c r="H668" s="116"/>
      <c r="I668" s="117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2.75" customHeight="1">
      <c r="A669" s="58"/>
      <c r="B669" s="58"/>
      <c r="C669" s="58"/>
      <c r="D669" s="58"/>
      <c r="E669" s="58"/>
      <c r="F669" s="58"/>
      <c r="G669" s="58"/>
      <c r="H669" s="116"/>
      <c r="I669" s="117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2.75" customHeight="1">
      <c r="A670" s="58"/>
      <c r="B670" s="58"/>
      <c r="C670" s="58"/>
      <c r="D670" s="58"/>
      <c r="E670" s="58"/>
      <c r="F670" s="58"/>
      <c r="G670" s="58"/>
      <c r="H670" s="116"/>
      <c r="I670" s="117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2.75" customHeight="1">
      <c r="A671" s="58"/>
      <c r="B671" s="58"/>
      <c r="C671" s="58"/>
      <c r="D671" s="58"/>
      <c r="E671" s="58"/>
      <c r="F671" s="58"/>
      <c r="G671" s="58"/>
      <c r="H671" s="116"/>
      <c r="I671" s="117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2.75" customHeight="1">
      <c r="A672" s="58"/>
      <c r="B672" s="58"/>
      <c r="C672" s="58"/>
      <c r="D672" s="58"/>
      <c r="E672" s="58"/>
      <c r="F672" s="58"/>
      <c r="G672" s="58"/>
      <c r="H672" s="116"/>
      <c r="I672" s="117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2.75" customHeight="1">
      <c r="A673" s="58"/>
      <c r="B673" s="58"/>
      <c r="C673" s="58"/>
      <c r="D673" s="58"/>
      <c r="E673" s="58"/>
      <c r="F673" s="58"/>
      <c r="G673" s="58"/>
      <c r="H673" s="116"/>
      <c r="I673" s="117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2.75" customHeight="1">
      <c r="A674" s="58"/>
      <c r="B674" s="58"/>
      <c r="C674" s="58"/>
      <c r="D674" s="58"/>
      <c r="E674" s="58"/>
      <c r="F674" s="58"/>
      <c r="G674" s="58"/>
      <c r="H674" s="116"/>
      <c r="I674" s="117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2.75" customHeight="1">
      <c r="A675" s="58"/>
      <c r="B675" s="58"/>
      <c r="C675" s="58"/>
      <c r="D675" s="58"/>
      <c r="E675" s="58"/>
      <c r="F675" s="58"/>
      <c r="G675" s="58"/>
      <c r="H675" s="116"/>
      <c r="I675" s="117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2.75" customHeight="1">
      <c r="A676" s="58"/>
      <c r="B676" s="58"/>
      <c r="C676" s="58"/>
      <c r="D676" s="58"/>
      <c r="E676" s="58"/>
      <c r="F676" s="58"/>
      <c r="G676" s="58"/>
      <c r="H676" s="116"/>
      <c r="I676" s="117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2.75" customHeight="1">
      <c r="A677" s="58"/>
      <c r="B677" s="58"/>
      <c r="C677" s="58"/>
      <c r="D677" s="58"/>
      <c r="E677" s="58"/>
      <c r="F677" s="58"/>
      <c r="G677" s="58"/>
      <c r="H677" s="116"/>
      <c r="I677" s="117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2.75" customHeight="1">
      <c r="A678" s="58"/>
      <c r="B678" s="58"/>
      <c r="C678" s="58"/>
      <c r="D678" s="58"/>
      <c r="E678" s="58"/>
      <c r="F678" s="58"/>
      <c r="G678" s="58"/>
      <c r="H678" s="116"/>
      <c r="I678" s="117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2.75" customHeight="1">
      <c r="A679" s="58"/>
      <c r="B679" s="58"/>
      <c r="C679" s="58"/>
      <c r="D679" s="58"/>
      <c r="E679" s="58"/>
      <c r="F679" s="58"/>
      <c r="G679" s="58"/>
      <c r="H679" s="116"/>
      <c r="I679" s="117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2.75" customHeight="1">
      <c r="A680" s="58"/>
      <c r="B680" s="58"/>
      <c r="C680" s="58"/>
      <c r="D680" s="58"/>
      <c r="E680" s="58"/>
      <c r="F680" s="58"/>
      <c r="G680" s="58"/>
      <c r="H680" s="116"/>
      <c r="I680" s="117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2.75" customHeight="1">
      <c r="A681" s="58"/>
      <c r="B681" s="58"/>
      <c r="C681" s="58"/>
      <c r="D681" s="58"/>
      <c r="E681" s="58"/>
      <c r="F681" s="58"/>
      <c r="G681" s="58"/>
      <c r="H681" s="116"/>
      <c r="I681" s="117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2.75" customHeight="1">
      <c r="A682" s="58"/>
      <c r="B682" s="58"/>
      <c r="C682" s="58"/>
      <c r="D682" s="58"/>
      <c r="E682" s="58"/>
      <c r="F682" s="58"/>
      <c r="G682" s="58"/>
      <c r="H682" s="116"/>
      <c r="I682" s="117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2.75" customHeight="1">
      <c r="A683" s="58"/>
      <c r="B683" s="58"/>
      <c r="C683" s="58"/>
      <c r="D683" s="58"/>
      <c r="E683" s="58"/>
      <c r="F683" s="58"/>
      <c r="G683" s="58"/>
      <c r="H683" s="116"/>
      <c r="I683" s="117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2.75" customHeight="1">
      <c r="A684" s="58"/>
      <c r="B684" s="58"/>
      <c r="C684" s="58"/>
      <c r="D684" s="58"/>
      <c r="E684" s="58"/>
      <c r="F684" s="58"/>
      <c r="G684" s="58"/>
      <c r="H684" s="116"/>
      <c r="I684" s="117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2.75" customHeight="1">
      <c r="A685" s="58"/>
      <c r="B685" s="58"/>
      <c r="C685" s="58"/>
      <c r="D685" s="58"/>
      <c r="E685" s="58"/>
      <c r="F685" s="58"/>
      <c r="G685" s="58"/>
      <c r="H685" s="116"/>
      <c r="I685" s="117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2.75" customHeight="1">
      <c r="A686" s="58"/>
      <c r="B686" s="58"/>
      <c r="C686" s="58"/>
      <c r="D686" s="58"/>
      <c r="E686" s="58"/>
      <c r="F686" s="58"/>
      <c r="G686" s="58"/>
      <c r="H686" s="116"/>
      <c r="I686" s="117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2.75" customHeight="1">
      <c r="A687" s="58"/>
      <c r="B687" s="58"/>
      <c r="C687" s="58"/>
      <c r="D687" s="58"/>
      <c r="E687" s="58"/>
      <c r="F687" s="58"/>
      <c r="G687" s="58"/>
      <c r="H687" s="116"/>
      <c r="I687" s="117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2.75" customHeight="1">
      <c r="A688" s="58"/>
      <c r="B688" s="58"/>
      <c r="C688" s="58"/>
      <c r="D688" s="58"/>
      <c r="E688" s="58"/>
      <c r="F688" s="58"/>
      <c r="G688" s="58"/>
      <c r="H688" s="116"/>
      <c r="I688" s="117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2.75" customHeight="1">
      <c r="A689" s="58"/>
      <c r="B689" s="58"/>
      <c r="C689" s="58"/>
      <c r="D689" s="58"/>
      <c r="E689" s="58"/>
      <c r="F689" s="58"/>
      <c r="G689" s="58"/>
      <c r="H689" s="116"/>
      <c r="I689" s="117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2.75" customHeight="1">
      <c r="A690" s="58"/>
      <c r="B690" s="58"/>
      <c r="C690" s="58"/>
      <c r="D690" s="58"/>
      <c r="E690" s="58"/>
      <c r="F690" s="58"/>
      <c r="G690" s="58"/>
      <c r="H690" s="116"/>
      <c r="I690" s="117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2.75" customHeight="1">
      <c r="A691" s="58"/>
      <c r="B691" s="58"/>
      <c r="C691" s="58"/>
      <c r="D691" s="58"/>
      <c r="E691" s="58"/>
      <c r="F691" s="58"/>
      <c r="G691" s="58"/>
      <c r="H691" s="116"/>
      <c r="I691" s="117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2.75" customHeight="1">
      <c r="A692" s="58"/>
      <c r="B692" s="58"/>
      <c r="C692" s="58"/>
      <c r="D692" s="58"/>
      <c r="E692" s="58"/>
      <c r="F692" s="58"/>
      <c r="G692" s="58"/>
      <c r="H692" s="116"/>
      <c r="I692" s="117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2.75" customHeight="1">
      <c r="A693" s="58"/>
      <c r="B693" s="58"/>
      <c r="C693" s="58"/>
      <c r="D693" s="58"/>
      <c r="E693" s="58"/>
      <c r="F693" s="58"/>
      <c r="G693" s="58"/>
      <c r="H693" s="116"/>
      <c r="I693" s="117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2.75" customHeight="1">
      <c r="A694" s="58"/>
      <c r="B694" s="58"/>
      <c r="C694" s="58"/>
      <c r="D694" s="58"/>
      <c r="E694" s="58"/>
      <c r="F694" s="58"/>
      <c r="G694" s="58"/>
      <c r="H694" s="116"/>
      <c r="I694" s="117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2.75" customHeight="1">
      <c r="A695" s="58"/>
      <c r="B695" s="58"/>
      <c r="C695" s="58"/>
      <c r="D695" s="58"/>
      <c r="E695" s="58"/>
      <c r="F695" s="58"/>
      <c r="G695" s="58"/>
      <c r="H695" s="116"/>
      <c r="I695" s="117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2.75" customHeight="1">
      <c r="A696" s="58"/>
      <c r="B696" s="58"/>
      <c r="C696" s="58"/>
      <c r="D696" s="58"/>
      <c r="E696" s="58"/>
      <c r="F696" s="58"/>
      <c r="G696" s="58"/>
      <c r="H696" s="116"/>
      <c r="I696" s="117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2.75" customHeight="1">
      <c r="A697" s="58"/>
      <c r="B697" s="58"/>
      <c r="C697" s="58"/>
      <c r="D697" s="58"/>
      <c r="E697" s="58"/>
      <c r="F697" s="58"/>
      <c r="G697" s="58"/>
      <c r="H697" s="116"/>
      <c r="I697" s="117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2.75" customHeight="1">
      <c r="A698" s="58"/>
      <c r="B698" s="58"/>
      <c r="C698" s="58"/>
      <c r="D698" s="58"/>
      <c r="E698" s="58"/>
      <c r="F698" s="58"/>
      <c r="G698" s="58"/>
      <c r="H698" s="116"/>
      <c r="I698" s="117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2.75" customHeight="1">
      <c r="A699" s="58"/>
      <c r="B699" s="58"/>
      <c r="C699" s="58"/>
      <c r="D699" s="58"/>
      <c r="E699" s="58"/>
      <c r="F699" s="58"/>
      <c r="G699" s="58"/>
      <c r="H699" s="116"/>
      <c r="I699" s="117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2.75" customHeight="1">
      <c r="A700" s="58"/>
      <c r="B700" s="58"/>
      <c r="C700" s="58"/>
      <c r="D700" s="58"/>
      <c r="E700" s="58"/>
      <c r="F700" s="58"/>
      <c r="G700" s="58"/>
      <c r="H700" s="116"/>
      <c r="I700" s="117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2.75" customHeight="1">
      <c r="A701" s="58"/>
      <c r="B701" s="58"/>
      <c r="C701" s="58"/>
      <c r="D701" s="58"/>
      <c r="E701" s="58"/>
      <c r="F701" s="58"/>
      <c r="G701" s="58"/>
      <c r="H701" s="116"/>
      <c r="I701" s="117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2.75" customHeight="1">
      <c r="A702" s="58"/>
      <c r="B702" s="58"/>
      <c r="C702" s="58"/>
      <c r="D702" s="58"/>
      <c r="E702" s="58"/>
      <c r="F702" s="58"/>
      <c r="G702" s="58"/>
      <c r="H702" s="116"/>
      <c r="I702" s="117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2.75" customHeight="1">
      <c r="A703" s="58"/>
      <c r="B703" s="58"/>
      <c r="C703" s="58"/>
      <c r="D703" s="58"/>
      <c r="E703" s="58"/>
      <c r="F703" s="58"/>
      <c r="G703" s="58"/>
      <c r="H703" s="116"/>
      <c r="I703" s="117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2.75" customHeight="1">
      <c r="A704" s="58"/>
      <c r="B704" s="58"/>
      <c r="C704" s="58"/>
      <c r="D704" s="58"/>
      <c r="E704" s="58"/>
      <c r="F704" s="58"/>
      <c r="G704" s="58"/>
      <c r="H704" s="116"/>
      <c r="I704" s="117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2.75" customHeight="1">
      <c r="A705" s="58"/>
      <c r="B705" s="58"/>
      <c r="C705" s="58"/>
      <c r="D705" s="58"/>
      <c r="E705" s="58"/>
      <c r="F705" s="58"/>
      <c r="G705" s="58"/>
      <c r="H705" s="116"/>
      <c r="I705" s="117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2.75" customHeight="1">
      <c r="A706" s="58"/>
      <c r="B706" s="58"/>
      <c r="C706" s="58"/>
      <c r="D706" s="58"/>
      <c r="E706" s="58"/>
      <c r="F706" s="58"/>
      <c r="G706" s="58"/>
      <c r="H706" s="116"/>
      <c r="I706" s="117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2.75" customHeight="1">
      <c r="A707" s="58"/>
      <c r="B707" s="58"/>
      <c r="C707" s="58"/>
      <c r="D707" s="58"/>
      <c r="E707" s="58"/>
      <c r="F707" s="58"/>
      <c r="G707" s="58"/>
      <c r="H707" s="116"/>
      <c r="I707" s="117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2.75" customHeight="1">
      <c r="A708" s="58"/>
      <c r="B708" s="58"/>
      <c r="C708" s="58"/>
      <c r="D708" s="58"/>
      <c r="E708" s="58"/>
      <c r="F708" s="58"/>
      <c r="G708" s="58"/>
      <c r="H708" s="116"/>
      <c r="I708" s="117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2.75" customHeight="1">
      <c r="A709" s="58"/>
      <c r="B709" s="58"/>
      <c r="C709" s="58"/>
      <c r="D709" s="58"/>
      <c r="E709" s="58"/>
      <c r="F709" s="58"/>
      <c r="G709" s="58"/>
      <c r="H709" s="116"/>
      <c r="I709" s="117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2.75" customHeight="1">
      <c r="A710" s="58"/>
      <c r="B710" s="58"/>
      <c r="C710" s="58"/>
      <c r="D710" s="58"/>
      <c r="E710" s="58"/>
      <c r="F710" s="58"/>
      <c r="G710" s="58"/>
      <c r="H710" s="116"/>
      <c r="I710" s="117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2.75" customHeight="1">
      <c r="A711" s="58"/>
      <c r="B711" s="58"/>
      <c r="C711" s="58"/>
      <c r="D711" s="58"/>
      <c r="E711" s="58"/>
      <c r="F711" s="58"/>
      <c r="G711" s="58"/>
      <c r="H711" s="116"/>
      <c r="I711" s="117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2.75" customHeight="1">
      <c r="A712" s="58"/>
      <c r="B712" s="58"/>
      <c r="C712" s="58"/>
      <c r="D712" s="58"/>
      <c r="E712" s="58"/>
      <c r="F712" s="58"/>
      <c r="G712" s="58"/>
      <c r="H712" s="116"/>
      <c r="I712" s="117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2.75" customHeight="1">
      <c r="A713" s="58"/>
      <c r="B713" s="58"/>
      <c r="C713" s="58"/>
      <c r="D713" s="58"/>
      <c r="E713" s="58"/>
      <c r="F713" s="58"/>
      <c r="G713" s="58"/>
      <c r="H713" s="116"/>
      <c r="I713" s="117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2.75" customHeight="1">
      <c r="A714" s="58"/>
      <c r="B714" s="58"/>
      <c r="C714" s="58"/>
      <c r="D714" s="58"/>
      <c r="E714" s="58"/>
      <c r="F714" s="58"/>
      <c r="G714" s="58"/>
      <c r="H714" s="116"/>
      <c r="I714" s="117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2.75" customHeight="1">
      <c r="A715" s="58"/>
      <c r="B715" s="58"/>
      <c r="C715" s="58"/>
      <c r="D715" s="58"/>
      <c r="E715" s="58"/>
      <c r="F715" s="58"/>
      <c r="G715" s="58"/>
      <c r="H715" s="116"/>
      <c r="I715" s="117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2.75" customHeight="1">
      <c r="A716" s="58"/>
      <c r="B716" s="58"/>
      <c r="C716" s="58"/>
      <c r="D716" s="58"/>
      <c r="E716" s="58"/>
      <c r="F716" s="58"/>
      <c r="G716" s="58"/>
      <c r="H716" s="116"/>
      <c r="I716" s="117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2.75" customHeight="1">
      <c r="A717" s="58"/>
      <c r="B717" s="58"/>
      <c r="C717" s="58"/>
      <c r="D717" s="58"/>
      <c r="E717" s="58"/>
      <c r="F717" s="58"/>
      <c r="G717" s="58"/>
      <c r="H717" s="116"/>
      <c r="I717" s="117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2.75" customHeight="1">
      <c r="A718" s="58"/>
      <c r="B718" s="58"/>
      <c r="C718" s="58"/>
      <c r="D718" s="58"/>
      <c r="E718" s="58"/>
      <c r="F718" s="58"/>
      <c r="G718" s="58"/>
      <c r="H718" s="116"/>
      <c r="I718" s="117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2.75" customHeight="1">
      <c r="A719" s="58"/>
      <c r="B719" s="58"/>
      <c r="C719" s="58"/>
      <c r="D719" s="58"/>
      <c r="E719" s="58"/>
      <c r="F719" s="58"/>
      <c r="G719" s="58"/>
      <c r="H719" s="116"/>
      <c r="I719" s="117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2.75" customHeight="1">
      <c r="A720" s="58"/>
      <c r="B720" s="58"/>
      <c r="C720" s="58"/>
      <c r="D720" s="58"/>
      <c r="E720" s="58"/>
      <c r="F720" s="58"/>
      <c r="G720" s="58"/>
      <c r="H720" s="116"/>
      <c r="I720" s="117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2.75" customHeight="1">
      <c r="A721" s="58"/>
      <c r="B721" s="58"/>
      <c r="C721" s="58"/>
      <c r="D721" s="58"/>
      <c r="E721" s="58"/>
      <c r="F721" s="58"/>
      <c r="G721" s="58"/>
      <c r="H721" s="116"/>
      <c r="I721" s="117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2.75" customHeight="1">
      <c r="A722" s="58"/>
      <c r="B722" s="58"/>
      <c r="C722" s="58"/>
      <c r="D722" s="58"/>
      <c r="E722" s="58"/>
      <c r="F722" s="58"/>
      <c r="G722" s="58"/>
      <c r="H722" s="116"/>
      <c r="I722" s="117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2.75" customHeight="1">
      <c r="A723" s="58"/>
      <c r="B723" s="58"/>
      <c r="C723" s="58"/>
      <c r="D723" s="58"/>
      <c r="E723" s="58"/>
      <c r="F723" s="58"/>
      <c r="G723" s="58"/>
      <c r="H723" s="116"/>
      <c r="I723" s="117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2.75" customHeight="1">
      <c r="A724" s="58"/>
      <c r="B724" s="58"/>
      <c r="C724" s="58"/>
      <c r="D724" s="58"/>
      <c r="E724" s="58"/>
      <c r="F724" s="58"/>
      <c r="G724" s="58"/>
      <c r="H724" s="116"/>
      <c r="I724" s="117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2.75" customHeight="1">
      <c r="A725" s="58"/>
      <c r="B725" s="58"/>
      <c r="C725" s="58"/>
      <c r="D725" s="58"/>
      <c r="E725" s="58"/>
      <c r="F725" s="58"/>
      <c r="G725" s="58"/>
      <c r="H725" s="116"/>
      <c r="I725" s="117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2.75" customHeight="1">
      <c r="A726" s="58"/>
      <c r="B726" s="58"/>
      <c r="C726" s="58"/>
      <c r="D726" s="58"/>
      <c r="E726" s="58"/>
      <c r="F726" s="58"/>
      <c r="G726" s="58"/>
      <c r="H726" s="116"/>
      <c r="I726" s="117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2.75" customHeight="1">
      <c r="A727" s="58"/>
      <c r="B727" s="58"/>
      <c r="C727" s="58"/>
      <c r="D727" s="58"/>
      <c r="E727" s="58"/>
      <c r="F727" s="58"/>
      <c r="G727" s="58"/>
      <c r="H727" s="116"/>
      <c r="I727" s="117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2.75" customHeight="1">
      <c r="A728" s="58"/>
      <c r="B728" s="58"/>
      <c r="C728" s="58"/>
      <c r="D728" s="58"/>
      <c r="E728" s="58"/>
      <c r="F728" s="58"/>
      <c r="G728" s="58"/>
      <c r="H728" s="116"/>
      <c r="I728" s="117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2.75" customHeight="1">
      <c r="A729" s="58"/>
      <c r="B729" s="58"/>
      <c r="C729" s="58"/>
      <c r="D729" s="58"/>
      <c r="E729" s="58"/>
      <c r="F729" s="58"/>
      <c r="G729" s="58"/>
      <c r="H729" s="116"/>
      <c r="I729" s="117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2.75" customHeight="1">
      <c r="A730" s="58"/>
      <c r="B730" s="58"/>
      <c r="C730" s="58"/>
      <c r="D730" s="58"/>
      <c r="E730" s="58"/>
      <c r="F730" s="58"/>
      <c r="G730" s="58"/>
      <c r="H730" s="116"/>
      <c r="I730" s="117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2.75" customHeight="1">
      <c r="A731" s="58"/>
      <c r="B731" s="58"/>
      <c r="C731" s="58"/>
      <c r="D731" s="58"/>
      <c r="E731" s="58"/>
      <c r="F731" s="58"/>
      <c r="G731" s="58"/>
      <c r="H731" s="116"/>
      <c r="I731" s="117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2.75" customHeight="1">
      <c r="A732" s="58"/>
      <c r="B732" s="58"/>
      <c r="C732" s="58"/>
      <c r="D732" s="58"/>
      <c r="E732" s="58"/>
      <c r="F732" s="58"/>
      <c r="G732" s="58"/>
      <c r="H732" s="116"/>
      <c r="I732" s="117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2.75" customHeight="1">
      <c r="A733" s="58"/>
      <c r="B733" s="58"/>
      <c r="C733" s="58"/>
      <c r="D733" s="58"/>
      <c r="E733" s="58"/>
      <c r="F733" s="58"/>
      <c r="G733" s="58"/>
      <c r="H733" s="116"/>
      <c r="I733" s="117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2.75" customHeight="1">
      <c r="A734" s="58"/>
      <c r="B734" s="58"/>
      <c r="C734" s="58"/>
      <c r="D734" s="58"/>
      <c r="E734" s="58"/>
      <c r="F734" s="58"/>
      <c r="G734" s="58"/>
      <c r="H734" s="116"/>
      <c r="I734" s="117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2.75" customHeight="1">
      <c r="A735" s="58"/>
      <c r="B735" s="58"/>
      <c r="C735" s="58"/>
      <c r="D735" s="58"/>
      <c r="E735" s="58"/>
      <c r="F735" s="58"/>
      <c r="G735" s="58"/>
      <c r="H735" s="116"/>
      <c r="I735" s="117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2.75" customHeight="1">
      <c r="A736" s="58"/>
      <c r="B736" s="58"/>
      <c r="C736" s="58"/>
      <c r="D736" s="58"/>
      <c r="E736" s="58"/>
      <c r="F736" s="58"/>
      <c r="G736" s="58"/>
      <c r="H736" s="116"/>
      <c r="I736" s="117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2.75" customHeight="1">
      <c r="A737" s="58"/>
      <c r="B737" s="58"/>
      <c r="C737" s="58"/>
      <c r="D737" s="58"/>
      <c r="E737" s="58"/>
      <c r="F737" s="58"/>
      <c r="G737" s="58"/>
      <c r="H737" s="116"/>
      <c r="I737" s="117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2.75" customHeight="1">
      <c r="A738" s="58"/>
      <c r="B738" s="58"/>
      <c r="C738" s="58"/>
      <c r="D738" s="58"/>
      <c r="E738" s="58"/>
      <c r="F738" s="58"/>
      <c r="G738" s="58"/>
      <c r="H738" s="116"/>
      <c r="I738" s="117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2.75" customHeight="1">
      <c r="A739" s="58"/>
      <c r="B739" s="58"/>
      <c r="C739" s="58"/>
      <c r="D739" s="58"/>
      <c r="E739" s="58"/>
      <c r="F739" s="58"/>
      <c r="G739" s="58"/>
      <c r="H739" s="116"/>
      <c r="I739" s="117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2.75" customHeight="1">
      <c r="A740" s="58"/>
      <c r="B740" s="58"/>
      <c r="C740" s="58"/>
      <c r="D740" s="58"/>
      <c r="E740" s="58"/>
      <c r="F740" s="58"/>
      <c r="G740" s="58"/>
      <c r="H740" s="116"/>
      <c r="I740" s="117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2.75" customHeight="1">
      <c r="A741" s="58"/>
      <c r="B741" s="58"/>
      <c r="C741" s="58"/>
      <c r="D741" s="58"/>
      <c r="E741" s="58"/>
      <c r="F741" s="58"/>
      <c r="G741" s="58"/>
      <c r="H741" s="116"/>
      <c r="I741" s="117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2.75" customHeight="1">
      <c r="A742" s="58"/>
      <c r="B742" s="58"/>
      <c r="C742" s="58"/>
      <c r="D742" s="58"/>
      <c r="E742" s="58"/>
      <c r="F742" s="58"/>
      <c r="G742" s="58"/>
      <c r="H742" s="116"/>
      <c r="I742" s="117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2.75" customHeight="1">
      <c r="A743" s="58"/>
      <c r="B743" s="58"/>
      <c r="C743" s="58"/>
      <c r="D743" s="58"/>
      <c r="E743" s="58"/>
      <c r="F743" s="58"/>
      <c r="G743" s="58"/>
      <c r="H743" s="116"/>
      <c r="I743" s="117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2.75" customHeight="1">
      <c r="A744" s="58"/>
      <c r="B744" s="58"/>
      <c r="C744" s="58"/>
      <c r="D744" s="58"/>
      <c r="E744" s="58"/>
      <c r="F744" s="58"/>
      <c r="G744" s="58"/>
      <c r="H744" s="116"/>
      <c r="I744" s="117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2.75" customHeight="1">
      <c r="A745" s="58"/>
      <c r="B745" s="58"/>
      <c r="C745" s="58"/>
      <c r="D745" s="58"/>
      <c r="E745" s="58"/>
      <c r="F745" s="58"/>
      <c r="G745" s="58"/>
      <c r="H745" s="116"/>
      <c r="I745" s="117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2.75" customHeight="1">
      <c r="A746" s="58"/>
      <c r="B746" s="58"/>
      <c r="C746" s="58"/>
      <c r="D746" s="58"/>
      <c r="E746" s="58"/>
      <c r="F746" s="58"/>
      <c r="G746" s="58"/>
      <c r="H746" s="116"/>
      <c r="I746" s="117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2.75" customHeight="1">
      <c r="A747" s="58"/>
      <c r="B747" s="58"/>
      <c r="C747" s="58"/>
      <c r="D747" s="58"/>
      <c r="E747" s="58"/>
      <c r="F747" s="58"/>
      <c r="G747" s="58"/>
      <c r="H747" s="116"/>
      <c r="I747" s="117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2.75" customHeight="1">
      <c r="A748" s="58"/>
      <c r="B748" s="58"/>
      <c r="C748" s="58"/>
      <c r="D748" s="58"/>
      <c r="E748" s="58"/>
      <c r="F748" s="58"/>
      <c r="G748" s="58"/>
      <c r="H748" s="116"/>
      <c r="I748" s="117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2.75" customHeight="1">
      <c r="A749" s="58"/>
      <c r="B749" s="58"/>
      <c r="C749" s="58"/>
      <c r="D749" s="58"/>
      <c r="E749" s="58"/>
      <c r="F749" s="58"/>
      <c r="G749" s="58"/>
      <c r="H749" s="116"/>
      <c r="I749" s="117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2.75" customHeight="1">
      <c r="A750" s="58"/>
      <c r="B750" s="58"/>
      <c r="C750" s="58"/>
      <c r="D750" s="58"/>
      <c r="E750" s="58"/>
      <c r="F750" s="58"/>
      <c r="G750" s="58"/>
      <c r="H750" s="116"/>
      <c r="I750" s="117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2.75" customHeight="1">
      <c r="A751" s="58"/>
      <c r="B751" s="58"/>
      <c r="C751" s="58"/>
      <c r="D751" s="58"/>
      <c r="E751" s="58"/>
      <c r="F751" s="58"/>
      <c r="G751" s="58"/>
      <c r="H751" s="116"/>
      <c r="I751" s="117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2.75" customHeight="1">
      <c r="A752" s="58"/>
      <c r="B752" s="58"/>
      <c r="C752" s="58"/>
      <c r="D752" s="58"/>
      <c r="E752" s="58"/>
      <c r="F752" s="58"/>
      <c r="G752" s="58"/>
      <c r="H752" s="116"/>
      <c r="I752" s="117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2.75" customHeight="1">
      <c r="A753" s="58"/>
      <c r="B753" s="58"/>
      <c r="C753" s="58"/>
      <c r="D753" s="58"/>
      <c r="E753" s="58"/>
      <c r="F753" s="58"/>
      <c r="G753" s="58"/>
      <c r="H753" s="116"/>
      <c r="I753" s="117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2.75" customHeight="1">
      <c r="A754" s="58"/>
      <c r="B754" s="58"/>
      <c r="C754" s="58"/>
      <c r="D754" s="58"/>
      <c r="E754" s="58"/>
      <c r="F754" s="58"/>
      <c r="G754" s="58"/>
      <c r="H754" s="116"/>
      <c r="I754" s="117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2.75" customHeight="1">
      <c r="A755" s="58"/>
      <c r="B755" s="58"/>
      <c r="C755" s="58"/>
      <c r="D755" s="58"/>
      <c r="E755" s="58"/>
      <c r="F755" s="58"/>
      <c r="G755" s="58"/>
      <c r="H755" s="116"/>
      <c r="I755" s="117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2.75" customHeight="1">
      <c r="A756" s="58"/>
      <c r="B756" s="58"/>
      <c r="C756" s="58"/>
      <c r="D756" s="58"/>
      <c r="E756" s="58"/>
      <c r="F756" s="58"/>
      <c r="G756" s="58"/>
      <c r="H756" s="116"/>
      <c r="I756" s="117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2.75" customHeight="1">
      <c r="A757" s="58"/>
      <c r="B757" s="58"/>
      <c r="C757" s="58"/>
      <c r="D757" s="58"/>
      <c r="E757" s="58"/>
      <c r="F757" s="58"/>
      <c r="G757" s="58"/>
      <c r="H757" s="116"/>
      <c r="I757" s="117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2.75" customHeight="1">
      <c r="A758" s="58"/>
      <c r="B758" s="58"/>
      <c r="C758" s="58"/>
      <c r="D758" s="58"/>
      <c r="E758" s="58"/>
      <c r="F758" s="58"/>
      <c r="G758" s="58"/>
      <c r="H758" s="116"/>
      <c r="I758" s="117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2.75" customHeight="1">
      <c r="A759" s="58"/>
      <c r="B759" s="58"/>
      <c r="C759" s="58"/>
      <c r="D759" s="58"/>
      <c r="E759" s="58"/>
      <c r="F759" s="58"/>
      <c r="G759" s="58"/>
      <c r="H759" s="116"/>
      <c r="I759" s="117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2.75" customHeight="1">
      <c r="A760" s="58"/>
      <c r="B760" s="58"/>
      <c r="C760" s="58"/>
      <c r="D760" s="58"/>
      <c r="E760" s="58"/>
      <c r="F760" s="58"/>
      <c r="G760" s="58"/>
      <c r="H760" s="116"/>
      <c r="I760" s="117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2.75" customHeight="1">
      <c r="A761" s="58"/>
      <c r="B761" s="58"/>
      <c r="C761" s="58"/>
      <c r="D761" s="58"/>
      <c r="E761" s="58"/>
      <c r="F761" s="58"/>
      <c r="G761" s="58"/>
      <c r="H761" s="116"/>
      <c r="I761" s="117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2.75" customHeight="1">
      <c r="A762" s="58"/>
      <c r="B762" s="58"/>
      <c r="C762" s="58"/>
      <c r="D762" s="58"/>
      <c r="E762" s="58"/>
      <c r="F762" s="58"/>
      <c r="G762" s="58"/>
      <c r="H762" s="116"/>
      <c r="I762" s="117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2.75" customHeight="1">
      <c r="A763" s="58"/>
      <c r="B763" s="58"/>
      <c r="C763" s="58"/>
      <c r="D763" s="58"/>
      <c r="E763" s="58"/>
      <c r="F763" s="58"/>
      <c r="G763" s="58"/>
      <c r="H763" s="116"/>
      <c r="I763" s="117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2.75" customHeight="1">
      <c r="A764" s="58"/>
      <c r="B764" s="58"/>
      <c r="C764" s="58"/>
      <c r="D764" s="58"/>
      <c r="E764" s="58"/>
      <c r="F764" s="58"/>
      <c r="G764" s="58"/>
      <c r="H764" s="116"/>
      <c r="I764" s="117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2.75" customHeight="1">
      <c r="A765" s="58"/>
      <c r="B765" s="58"/>
      <c r="C765" s="58"/>
      <c r="D765" s="58"/>
      <c r="E765" s="58"/>
      <c r="F765" s="58"/>
      <c r="G765" s="58"/>
      <c r="H765" s="116"/>
      <c r="I765" s="117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2.75" customHeight="1">
      <c r="A766" s="58"/>
      <c r="B766" s="58"/>
      <c r="C766" s="58"/>
      <c r="D766" s="58"/>
      <c r="E766" s="58"/>
      <c r="F766" s="58"/>
      <c r="G766" s="58"/>
      <c r="H766" s="116"/>
      <c r="I766" s="117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2.75" customHeight="1">
      <c r="A767" s="58"/>
      <c r="B767" s="58"/>
      <c r="C767" s="58"/>
      <c r="D767" s="58"/>
      <c r="E767" s="58"/>
      <c r="F767" s="58"/>
      <c r="G767" s="58"/>
      <c r="H767" s="116"/>
      <c r="I767" s="117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2.75" customHeight="1">
      <c r="A768" s="58"/>
      <c r="B768" s="58"/>
      <c r="C768" s="58"/>
      <c r="D768" s="58"/>
      <c r="E768" s="58"/>
      <c r="F768" s="58"/>
      <c r="G768" s="58"/>
      <c r="H768" s="116"/>
      <c r="I768" s="117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2.75" customHeight="1">
      <c r="A769" s="58"/>
      <c r="B769" s="58"/>
      <c r="C769" s="58"/>
      <c r="D769" s="58"/>
      <c r="E769" s="58"/>
      <c r="F769" s="58"/>
      <c r="G769" s="58"/>
      <c r="H769" s="116"/>
      <c r="I769" s="117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2.75" customHeight="1">
      <c r="A770" s="58"/>
      <c r="B770" s="58"/>
      <c r="C770" s="58"/>
      <c r="D770" s="58"/>
      <c r="E770" s="58"/>
      <c r="F770" s="58"/>
      <c r="G770" s="58"/>
      <c r="H770" s="116"/>
      <c r="I770" s="117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2.75" customHeight="1">
      <c r="A771" s="58"/>
      <c r="B771" s="58"/>
      <c r="C771" s="58"/>
      <c r="D771" s="58"/>
      <c r="E771" s="58"/>
      <c r="F771" s="58"/>
      <c r="G771" s="58"/>
      <c r="H771" s="116"/>
      <c r="I771" s="117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2.75" customHeight="1">
      <c r="A772" s="58"/>
      <c r="B772" s="58"/>
      <c r="C772" s="58"/>
      <c r="D772" s="58"/>
      <c r="E772" s="58"/>
      <c r="F772" s="58"/>
      <c r="G772" s="58"/>
      <c r="H772" s="116"/>
      <c r="I772" s="117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2.75" customHeight="1">
      <c r="A773" s="58"/>
      <c r="B773" s="58"/>
      <c r="C773" s="58"/>
      <c r="D773" s="58"/>
      <c r="E773" s="58"/>
      <c r="F773" s="58"/>
      <c r="G773" s="58"/>
      <c r="H773" s="116"/>
      <c r="I773" s="117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2.75" customHeight="1">
      <c r="A774" s="58"/>
      <c r="B774" s="58"/>
      <c r="C774" s="58"/>
      <c r="D774" s="58"/>
      <c r="E774" s="58"/>
      <c r="F774" s="58"/>
      <c r="G774" s="58"/>
      <c r="H774" s="116"/>
      <c r="I774" s="117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2.75" customHeight="1">
      <c r="A775" s="58"/>
      <c r="B775" s="58"/>
      <c r="C775" s="58"/>
      <c r="D775" s="58"/>
      <c r="E775" s="58"/>
      <c r="F775" s="58"/>
      <c r="G775" s="58"/>
      <c r="H775" s="116"/>
      <c r="I775" s="117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2.75" customHeight="1">
      <c r="A776" s="58"/>
      <c r="B776" s="58"/>
      <c r="C776" s="58"/>
      <c r="D776" s="58"/>
      <c r="E776" s="58"/>
      <c r="F776" s="58"/>
      <c r="G776" s="58"/>
      <c r="H776" s="116"/>
      <c r="I776" s="117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2.75" customHeight="1">
      <c r="A777" s="58"/>
      <c r="B777" s="58"/>
      <c r="C777" s="58"/>
      <c r="D777" s="58"/>
      <c r="E777" s="58"/>
      <c r="F777" s="58"/>
      <c r="G777" s="58"/>
      <c r="H777" s="116"/>
      <c r="I777" s="117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2.75" customHeight="1">
      <c r="A778" s="58"/>
      <c r="B778" s="58"/>
      <c r="C778" s="58"/>
      <c r="D778" s="58"/>
      <c r="E778" s="58"/>
      <c r="F778" s="58"/>
      <c r="G778" s="58"/>
      <c r="H778" s="116"/>
      <c r="I778" s="117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2.75" customHeight="1">
      <c r="A779" s="58"/>
      <c r="B779" s="58"/>
      <c r="C779" s="58"/>
      <c r="D779" s="58"/>
      <c r="E779" s="58"/>
      <c r="F779" s="58"/>
      <c r="G779" s="58"/>
      <c r="H779" s="116"/>
      <c r="I779" s="117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2.75" customHeight="1">
      <c r="A780" s="58"/>
      <c r="B780" s="58"/>
      <c r="C780" s="58"/>
      <c r="D780" s="58"/>
      <c r="E780" s="58"/>
      <c r="F780" s="58"/>
      <c r="G780" s="58"/>
      <c r="H780" s="116"/>
      <c r="I780" s="117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2.75" customHeight="1">
      <c r="A781" s="58"/>
      <c r="B781" s="58"/>
      <c r="C781" s="58"/>
      <c r="D781" s="58"/>
      <c r="E781" s="58"/>
      <c r="F781" s="58"/>
      <c r="G781" s="58"/>
      <c r="H781" s="116"/>
      <c r="I781" s="117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2.75" customHeight="1">
      <c r="A782" s="58"/>
      <c r="B782" s="58"/>
      <c r="C782" s="58"/>
      <c r="D782" s="58"/>
      <c r="E782" s="58"/>
      <c r="F782" s="58"/>
      <c r="G782" s="58"/>
      <c r="H782" s="116"/>
      <c r="I782" s="117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2.75" customHeight="1">
      <c r="A783" s="58"/>
      <c r="B783" s="58"/>
      <c r="C783" s="58"/>
      <c r="D783" s="58"/>
      <c r="E783" s="58"/>
      <c r="F783" s="58"/>
      <c r="G783" s="58"/>
      <c r="H783" s="116"/>
      <c r="I783" s="117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2.75" customHeight="1">
      <c r="A784" s="58"/>
      <c r="B784" s="58"/>
      <c r="C784" s="58"/>
      <c r="D784" s="58"/>
      <c r="E784" s="58"/>
      <c r="F784" s="58"/>
      <c r="G784" s="58"/>
      <c r="H784" s="116"/>
      <c r="I784" s="117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2.75" customHeight="1">
      <c r="A785" s="58"/>
      <c r="B785" s="58"/>
      <c r="C785" s="58"/>
      <c r="D785" s="58"/>
      <c r="E785" s="58"/>
      <c r="F785" s="58"/>
      <c r="G785" s="58"/>
      <c r="H785" s="116"/>
      <c r="I785" s="117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2.75" customHeight="1">
      <c r="A786" s="58"/>
      <c r="B786" s="58"/>
      <c r="C786" s="58"/>
      <c r="D786" s="58"/>
      <c r="E786" s="58"/>
      <c r="F786" s="58"/>
      <c r="G786" s="58"/>
      <c r="H786" s="116"/>
      <c r="I786" s="117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2.75" customHeight="1">
      <c r="A787" s="58"/>
      <c r="B787" s="58"/>
      <c r="C787" s="58"/>
      <c r="D787" s="58"/>
      <c r="E787" s="58"/>
      <c r="F787" s="58"/>
      <c r="G787" s="58"/>
      <c r="H787" s="116"/>
      <c r="I787" s="117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2.75" customHeight="1">
      <c r="A788" s="58"/>
      <c r="B788" s="58"/>
      <c r="C788" s="58"/>
      <c r="D788" s="58"/>
      <c r="E788" s="58"/>
      <c r="F788" s="58"/>
      <c r="G788" s="58"/>
      <c r="H788" s="116"/>
      <c r="I788" s="117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2.75" customHeight="1">
      <c r="A789" s="58"/>
      <c r="B789" s="58"/>
      <c r="C789" s="58"/>
      <c r="D789" s="58"/>
      <c r="E789" s="58"/>
      <c r="F789" s="58"/>
      <c r="G789" s="58"/>
      <c r="H789" s="116"/>
      <c r="I789" s="117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2.75" customHeight="1">
      <c r="A790" s="58"/>
      <c r="B790" s="58"/>
      <c r="C790" s="58"/>
      <c r="D790" s="58"/>
      <c r="E790" s="58"/>
      <c r="F790" s="58"/>
      <c r="G790" s="58"/>
      <c r="H790" s="116"/>
      <c r="I790" s="117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2.75" customHeight="1">
      <c r="A791" s="58"/>
      <c r="B791" s="58"/>
      <c r="C791" s="58"/>
      <c r="D791" s="58"/>
      <c r="E791" s="58"/>
      <c r="F791" s="58"/>
      <c r="G791" s="58"/>
      <c r="H791" s="116"/>
      <c r="I791" s="117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2.75" customHeight="1">
      <c r="A792" s="58"/>
      <c r="B792" s="58"/>
      <c r="C792" s="58"/>
      <c r="D792" s="58"/>
      <c r="E792" s="58"/>
      <c r="F792" s="58"/>
      <c r="G792" s="58"/>
      <c r="H792" s="116"/>
      <c r="I792" s="117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2.75" customHeight="1">
      <c r="A793" s="58"/>
      <c r="B793" s="58"/>
      <c r="C793" s="58"/>
      <c r="D793" s="58"/>
      <c r="E793" s="58"/>
      <c r="F793" s="58"/>
      <c r="G793" s="58"/>
      <c r="H793" s="116"/>
      <c r="I793" s="117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2.75" customHeight="1">
      <c r="A794" s="58"/>
      <c r="B794" s="58"/>
      <c r="C794" s="58"/>
      <c r="D794" s="58"/>
      <c r="E794" s="58"/>
      <c r="F794" s="58"/>
      <c r="G794" s="58"/>
      <c r="H794" s="116"/>
      <c r="I794" s="117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2.75" customHeight="1">
      <c r="A795" s="58"/>
      <c r="B795" s="58"/>
      <c r="C795" s="58"/>
      <c r="D795" s="58"/>
      <c r="E795" s="58"/>
      <c r="F795" s="58"/>
      <c r="G795" s="58"/>
      <c r="H795" s="116"/>
      <c r="I795" s="117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2.75" customHeight="1">
      <c r="A796" s="58"/>
      <c r="B796" s="58"/>
      <c r="C796" s="58"/>
      <c r="D796" s="58"/>
      <c r="E796" s="58"/>
      <c r="F796" s="58"/>
      <c r="G796" s="58"/>
      <c r="H796" s="116"/>
      <c r="I796" s="117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2.75" customHeight="1">
      <c r="A797" s="58"/>
      <c r="B797" s="58"/>
      <c r="C797" s="58"/>
      <c r="D797" s="58"/>
      <c r="E797" s="58"/>
      <c r="F797" s="58"/>
      <c r="G797" s="58"/>
      <c r="H797" s="116"/>
      <c r="I797" s="117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2.75" customHeight="1">
      <c r="A798" s="58"/>
      <c r="B798" s="58"/>
      <c r="C798" s="58"/>
      <c r="D798" s="58"/>
      <c r="E798" s="58"/>
      <c r="F798" s="58"/>
      <c r="G798" s="58"/>
      <c r="H798" s="116"/>
      <c r="I798" s="117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2.75" customHeight="1">
      <c r="A799" s="58"/>
      <c r="B799" s="58"/>
      <c r="C799" s="58"/>
      <c r="D799" s="58"/>
      <c r="E799" s="58"/>
      <c r="F799" s="58"/>
      <c r="G799" s="58"/>
      <c r="H799" s="116"/>
      <c r="I799" s="117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2.75" customHeight="1">
      <c r="A800" s="58"/>
      <c r="B800" s="58"/>
      <c r="C800" s="58"/>
      <c r="D800" s="58"/>
      <c r="E800" s="58"/>
      <c r="F800" s="58"/>
      <c r="G800" s="58"/>
      <c r="H800" s="116"/>
      <c r="I800" s="117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2.75" customHeight="1">
      <c r="A801" s="58"/>
      <c r="B801" s="58"/>
      <c r="C801" s="58"/>
      <c r="D801" s="58"/>
      <c r="E801" s="58"/>
      <c r="F801" s="58"/>
      <c r="G801" s="58"/>
      <c r="H801" s="116"/>
      <c r="I801" s="117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2.75" customHeight="1">
      <c r="A802" s="58"/>
      <c r="B802" s="58"/>
      <c r="C802" s="58"/>
      <c r="D802" s="58"/>
      <c r="E802" s="58"/>
      <c r="F802" s="58"/>
      <c r="G802" s="58"/>
      <c r="H802" s="116"/>
      <c r="I802" s="117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2.75" customHeight="1">
      <c r="A803" s="58"/>
      <c r="B803" s="58"/>
      <c r="C803" s="58"/>
      <c r="D803" s="58"/>
      <c r="E803" s="58"/>
      <c r="F803" s="58"/>
      <c r="G803" s="58"/>
      <c r="H803" s="116"/>
      <c r="I803" s="117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2.75" customHeight="1">
      <c r="A804" s="58"/>
      <c r="B804" s="58"/>
      <c r="C804" s="58"/>
      <c r="D804" s="58"/>
      <c r="E804" s="58"/>
      <c r="F804" s="58"/>
      <c r="G804" s="58"/>
      <c r="H804" s="116"/>
      <c r="I804" s="117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2.75" customHeight="1">
      <c r="A805" s="58"/>
      <c r="B805" s="58"/>
      <c r="C805" s="58"/>
      <c r="D805" s="58"/>
      <c r="E805" s="58"/>
      <c r="F805" s="58"/>
      <c r="G805" s="58"/>
      <c r="H805" s="116"/>
      <c r="I805" s="117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2.75" customHeight="1">
      <c r="A806" s="58"/>
      <c r="B806" s="58"/>
      <c r="C806" s="58"/>
      <c r="D806" s="58"/>
      <c r="E806" s="58"/>
      <c r="F806" s="58"/>
      <c r="G806" s="58"/>
      <c r="H806" s="116"/>
      <c r="I806" s="117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2.75" customHeight="1">
      <c r="A807" s="58"/>
      <c r="B807" s="58"/>
      <c r="C807" s="58"/>
      <c r="D807" s="58"/>
      <c r="E807" s="58"/>
      <c r="F807" s="58"/>
      <c r="G807" s="58"/>
      <c r="H807" s="116"/>
      <c r="I807" s="117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2.75" customHeight="1">
      <c r="A808" s="58"/>
      <c r="B808" s="58"/>
      <c r="C808" s="58"/>
      <c r="D808" s="58"/>
      <c r="E808" s="58"/>
      <c r="F808" s="58"/>
      <c r="G808" s="58"/>
      <c r="H808" s="116"/>
      <c r="I808" s="117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2.75" customHeight="1">
      <c r="A809" s="58"/>
      <c r="B809" s="58"/>
      <c r="C809" s="58"/>
      <c r="D809" s="58"/>
      <c r="E809" s="58"/>
      <c r="F809" s="58"/>
      <c r="G809" s="58"/>
      <c r="H809" s="116"/>
      <c r="I809" s="117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2.75" customHeight="1">
      <c r="A810" s="58"/>
      <c r="B810" s="58"/>
      <c r="C810" s="58"/>
      <c r="D810" s="58"/>
      <c r="E810" s="58"/>
      <c r="F810" s="58"/>
      <c r="G810" s="58"/>
      <c r="H810" s="116"/>
      <c r="I810" s="117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2.75" customHeight="1">
      <c r="A811" s="58"/>
      <c r="B811" s="58"/>
      <c r="C811" s="58"/>
      <c r="D811" s="58"/>
      <c r="E811" s="58"/>
      <c r="F811" s="58"/>
      <c r="G811" s="58"/>
      <c r="H811" s="116"/>
      <c r="I811" s="117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2.75" customHeight="1">
      <c r="A812" s="58"/>
      <c r="B812" s="58"/>
      <c r="C812" s="58"/>
      <c r="D812" s="58"/>
      <c r="E812" s="58"/>
      <c r="F812" s="58"/>
      <c r="G812" s="58"/>
      <c r="H812" s="116"/>
      <c r="I812" s="117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2.75" customHeight="1">
      <c r="A813" s="58"/>
      <c r="B813" s="58"/>
      <c r="C813" s="58"/>
      <c r="D813" s="58"/>
      <c r="E813" s="58"/>
      <c r="F813" s="58"/>
      <c r="G813" s="58"/>
      <c r="H813" s="116"/>
      <c r="I813" s="117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2.75" customHeight="1">
      <c r="A814" s="58"/>
      <c r="B814" s="58"/>
      <c r="C814" s="58"/>
      <c r="D814" s="58"/>
      <c r="E814" s="58"/>
      <c r="F814" s="58"/>
      <c r="G814" s="58"/>
      <c r="H814" s="116"/>
      <c r="I814" s="117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2.75" customHeight="1">
      <c r="A815" s="58"/>
      <c r="B815" s="58"/>
      <c r="C815" s="58"/>
      <c r="D815" s="58"/>
      <c r="E815" s="58"/>
      <c r="F815" s="58"/>
      <c r="G815" s="58"/>
      <c r="H815" s="116"/>
      <c r="I815" s="117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2.75" customHeight="1">
      <c r="A816" s="58"/>
      <c r="B816" s="58"/>
      <c r="C816" s="58"/>
      <c r="D816" s="58"/>
      <c r="E816" s="58"/>
      <c r="F816" s="58"/>
      <c r="G816" s="58"/>
      <c r="H816" s="116"/>
      <c r="I816" s="117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2.75" customHeight="1">
      <c r="A817" s="58"/>
      <c r="B817" s="58"/>
      <c r="C817" s="58"/>
      <c r="D817" s="58"/>
      <c r="E817" s="58"/>
      <c r="F817" s="58"/>
      <c r="G817" s="58"/>
      <c r="H817" s="116"/>
      <c r="I817" s="117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2.75" customHeight="1">
      <c r="A818" s="58"/>
      <c r="B818" s="58"/>
      <c r="C818" s="58"/>
      <c r="D818" s="58"/>
      <c r="E818" s="58"/>
      <c r="F818" s="58"/>
      <c r="G818" s="58"/>
      <c r="H818" s="116"/>
      <c r="I818" s="117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2.75" customHeight="1">
      <c r="A819" s="58"/>
      <c r="B819" s="58"/>
      <c r="C819" s="58"/>
      <c r="D819" s="58"/>
      <c r="E819" s="58"/>
      <c r="F819" s="58"/>
      <c r="G819" s="58"/>
      <c r="H819" s="116"/>
      <c r="I819" s="117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2.75" customHeight="1">
      <c r="A820" s="58"/>
      <c r="B820" s="58"/>
      <c r="C820" s="58"/>
      <c r="D820" s="58"/>
      <c r="E820" s="58"/>
      <c r="F820" s="58"/>
      <c r="G820" s="58"/>
      <c r="H820" s="116"/>
      <c r="I820" s="117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2.75" customHeight="1">
      <c r="A821" s="58"/>
      <c r="B821" s="58"/>
      <c r="C821" s="58"/>
      <c r="D821" s="58"/>
      <c r="E821" s="58"/>
      <c r="F821" s="58"/>
      <c r="G821" s="58"/>
      <c r="H821" s="116"/>
      <c r="I821" s="117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2.75" customHeight="1">
      <c r="A822" s="58"/>
      <c r="B822" s="58"/>
      <c r="C822" s="58"/>
      <c r="D822" s="58"/>
      <c r="E822" s="58"/>
      <c r="F822" s="58"/>
      <c r="G822" s="58"/>
      <c r="H822" s="116"/>
      <c r="I822" s="117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2.75" customHeight="1">
      <c r="A823" s="58"/>
      <c r="B823" s="58"/>
      <c r="C823" s="58"/>
      <c r="D823" s="58"/>
      <c r="E823" s="58"/>
      <c r="F823" s="58"/>
      <c r="G823" s="58"/>
      <c r="H823" s="116"/>
      <c r="I823" s="117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2.75" customHeight="1">
      <c r="A824" s="58"/>
      <c r="B824" s="58"/>
      <c r="C824" s="58"/>
      <c r="D824" s="58"/>
      <c r="E824" s="58"/>
      <c r="F824" s="58"/>
      <c r="G824" s="58"/>
      <c r="H824" s="116"/>
      <c r="I824" s="117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2.75" customHeight="1">
      <c r="A825" s="58"/>
      <c r="B825" s="58"/>
      <c r="C825" s="58"/>
      <c r="D825" s="58"/>
      <c r="E825" s="58"/>
      <c r="F825" s="58"/>
      <c r="G825" s="58"/>
      <c r="H825" s="116"/>
      <c r="I825" s="117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2.75" customHeight="1">
      <c r="A826" s="58"/>
      <c r="B826" s="58"/>
      <c r="C826" s="58"/>
      <c r="D826" s="58"/>
      <c r="E826" s="58"/>
      <c r="F826" s="58"/>
      <c r="G826" s="58"/>
      <c r="H826" s="116"/>
      <c r="I826" s="117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2.75" customHeight="1">
      <c r="A827" s="58"/>
      <c r="B827" s="58"/>
      <c r="C827" s="58"/>
      <c r="D827" s="58"/>
      <c r="E827" s="58"/>
      <c r="F827" s="58"/>
      <c r="G827" s="58"/>
      <c r="H827" s="116"/>
      <c r="I827" s="117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2.75" customHeight="1">
      <c r="A828" s="58"/>
      <c r="B828" s="58"/>
      <c r="C828" s="58"/>
      <c r="D828" s="58"/>
      <c r="E828" s="58"/>
      <c r="F828" s="58"/>
      <c r="G828" s="58"/>
      <c r="H828" s="116"/>
      <c r="I828" s="117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2.75" customHeight="1">
      <c r="A829" s="58"/>
      <c r="B829" s="58"/>
      <c r="C829" s="58"/>
      <c r="D829" s="58"/>
      <c r="E829" s="58"/>
      <c r="F829" s="58"/>
      <c r="G829" s="58"/>
      <c r="H829" s="116"/>
      <c r="I829" s="117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2.75" customHeight="1">
      <c r="A830" s="58"/>
      <c r="B830" s="58"/>
      <c r="C830" s="58"/>
      <c r="D830" s="58"/>
      <c r="E830" s="58"/>
      <c r="F830" s="58"/>
      <c r="G830" s="58"/>
      <c r="H830" s="116"/>
      <c r="I830" s="117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2.75" customHeight="1">
      <c r="A831" s="58"/>
      <c r="B831" s="58"/>
      <c r="C831" s="58"/>
      <c r="D831" s="58"/>
      <c r="E831" s="58"/>
      <c r="F831" s="58"/>
      <c r="G831" s="58"/>
      <c r="H831" s="116"/>
      <c r="I831" s="117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2.75" customHeight="1">
      <c r="A832" s="58"/>
      <c r="B832" s="58"/>
      <c r="C832" s="58"/>
      <c r="D832" s="58"/>
      <c r="E832" s="58"/>
      <c r="F832" s="58"/>
      <c r="G832" s="58"/>
      <c r="H832" s="116"/>
      <c r="I832" s="117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2.75" customHeight="1">
      <c r="A833" s="58"/>
      <c r="B833" s="58"/>
      <c r="C833" s="58"/>
      <c r="D833" s="58"/>
      <c r="E833" s="58"/>
      <c r="F833" s="58"/>
      <c r="G833" s="58"/>
      <c r="H833" s="116"/>
      <c r="I833" s="117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2.75" customHeight="1">
      <c r="A834" s="58"/>
      <c r="B834" s="58"/>
      <c r="C834" s="58"/>
      <c r="D834" s="58"/>
      <c r="E834" s="58"/>
      <c r="F834" s="58"/>
      <c r="G834" s="58"/>
      <c r="H834" s="116"/>
      <c r="I834" s="117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2.75" customHeight="1">
      <c r="A835" s="58"/>
      <c r="B835" s="58"/>
      <c r="C835" s="58"/>
      <c r="D835" s="58"/>
      <c r="E835" s="58"/>
      <c r="F835" s="58"/>
      <c r="G835" s="58"/>
      <c r="H835" s="116"/>
      <c r="I835" s="117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2.75" customHeight="1">
      <c r="A836" s="58"/>
      <c r="B836" s="58"/>
      <c r="C836" s="58"/>
      <c r="D836" s="58"/>
      <c r="E836" s="58"/>
      <c r="F836" s="58"/>
      <c r="G836" s="58"/>
      <c r="H836" s="116"/>
      <c r="I836" s="117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2.75" customHeight="1">
      <c r="A837" s="58"/>
      <c r="B837" s="58"/>
      <c r="C837" s="58"/>
      <c r="D837" s="58"/>
      <c r="E837" s="58"/>
      <c r="F837" s="58"/>
      <c r="G837" s="58"/>
      <c r="H837" s="116"/>
      <c r="I837" s="117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2.75" customHeight="1">
      <c r="A838" s="58"/>
      <c r="B838" s="58"/>
      <c r="C838" s="58"/>
      <c r="D838" s="58"/>
      <c r="E838" s="58"/>
      <c r="F838" s="58"/>
      <c r="G838" s="58"/>
      <c r="H838" s="116"/>
      <c r="I838" s="117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2.75" customHeight="1">
      <c r="A839" s="58"/>
      <c r="B839" s="58"/>
      <c r="C839" s="58"/>
      <c r="D839" s="58"/>
      <c r="E839" s="58"/>
      <c r="F839" s="58"/>
      <c r="G839" s="58"/>
      <c r="H839" s="116"/>
      <c r="I839" s="117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2.75" customHeight="1">
      <c r="A840" s="58"/>
      <c r="B840" s="58"/>
      <c r="C840" s="58"/>
      <c r="D840" s="58"/>
      <c r="E840" s="58"/>
      <c r="F840" s="58"/>
      <c r="G840" s="58"/>
      <c r="H840" s="116"/>
      <c r="I840" s="117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2.75" customHeight="1">
      <c r="A841" s="58"/>
      <c r="B841" s="58"/>
      <c r="C841" s="58"/>
      <c r="D841" s="58"/>
      <c r="E841" s="58"/>
      <c r="F841" s="58"/>
      <c r="G841" s="58"/>
      <c r="H841" s="116"/>
      <c r="I841" s="117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2.75" customHeight="1">
      <c r="A842" s="58"/>
      <c r="B842" s="58"/>
      <c r="C842" s="58"/>
      <c r="D842" s="58"/>
      <c r="E842" s="58"/>
      <c r="F842" s="58"/>
      <c r="G842" s="58"/>
      <c r="H842" s="116"/>
      <c r="I842" s="117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2.75" customHeight="1">
      <c r="A843" s="58"/>
      <c r="B843" s="58"/>
      <c r="C843" s="58"/>
      <c r="D843" s="58"/>
      <c r="E843" s="58"/>
      <c r="F843" s="58"/>
      <c r="G843" s="58"/>
      <c r="H843" s="116"/>
      <c r="I843" s="117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2.75" customHeight="1">
      <c r="A844" s="58"/>
      <c r="B844" s="58"/>
      <c r="C844" s="58"/>
      <c r="D844" s="58"/>
      <c r="E844" s="58"/>
      <c r="F844" s="58"/>
      <c r="G844" s="58"/>
      <c r="H844" s="116"/>
      <c r="I844" s="117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2.75" customHeight="1">
      <c r="A845" s="58"/>
      <c r="B845" s="58"/>
      <c r="C845" s="58"/>
      <c r="D845" s="58"/>
      <c r="E845" s="58"/>
      <c r="F845" s="58"/>
      <c r="G845" s="58"/>
      <c r="H845" s="116"/>
      <c r="I845" s="117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2.75" customHeight="1">
      <c r="A846" s="58"/>
      <c r="B846" s="58"/>
      <c r="C846" s="58"/>
      <c r="D846" s="58"/>
      <c r="E846" s="58"/>
      <c r="F846" s="58"/>
      <c r="G846" s="58"/>
      <c r="H846" s="116"/>
      <c r="I846" s="117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2.75" customHeight="1">
      <c r="A847" s="58"/>
      <c r="B847" s="58"/>
      <c r="C847" s="58"/>
      <c r="D847" s="58"/>
      <c r="E847" s="58"/>
      <c r="F847" s="58"/>
      <c r="G847" s="58"/>
      <c r="H847" s="116"/>
      <c r="I847" s="117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2.75" customHeight="1">
      <c r="A848" s="58"/>
      <c r="B848" s="58"/>
      <c r="C848" s="58"/>
      <c r="D848" s="58"/>
      <c r="E848" s="58"/>
      <c r="F848" s="58"/>
      <c r="G848" s="58"/>
      <c r="H848" s="116"/>
      <c r="I848" s="117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2.75" customHeight="1">
      <c r="A849" s="58"/>
      <c r="B849" s="58"/>
      <c r="C849" s="58"/>
      <c r="D849" s="58"/>
      <c r="E849" s="58"/>
      <c r="F849" s="58"/>
      <c r="G849" s="58"/>
      <c r="H849" s="116"/>
      <c r="I849" s="117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2.75" customHeight="1">
      <c r="A850" s="58"/>
      <c r="B850" s="58"/>
      <c r="C850" s="58"/>
      <c r="D850" s="58"/>
      <c r="E850" s="58"/>
      <c r="F850" s="58"/>
      <c r="G850" s="58"/>
      <c r="H850" s="116"/>
      <c r="I850" s="117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2.75" customHeight="1">
      <c r="A851" s="58"/>
      <c r="B851" s="58"/>
      <c r="C851" s="58"/>
      <c r="D851" s="58"/>
      <c r="E851" s="58"/>
      <c r="F851" s="58"/>
      <c r="G851" s="58"/>
      <c r="H851" s="116"/>
      <c r="I851" s="117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2.75" customHeight="1">
      <c r="A852" s="58"/>
      <c r="B852" s="58"/>
      <c r="C852" s="58"/>
      <c r="D852" s="58"/>
      <c r="E852" s="58"/>
      <c r="F852" s="58"/>
      <c r="G852" s="58"/>
      <c r="H852" s="116"/>
      <c r="I852" s="117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2.75" customHeight="1">
      <c r="A853" s="58"/>
      <c r="B853" s="58"/>
      <c r="C853" s="58"/>
      <c r="D853" s="58"/>
      <c r="E853" s="58"/>
      <c r="F853" s="58"/>
      <c r="G853" s="58"/>
      <c r="H853" s="116"/>
      <c r="I853" s="117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2.75" customHeight="1">
      <c r="A854" s="58"/>
      <c r="B854" s="58"/>
      <c r="C854" s="58"/>
      <c r="D854" s="58"/>
      <c r="E854" s="58"/>
      <c r="F854" s="58"/>
      <c r="G854" s="58"/>
      <c r="H854" s="116"/>
      <c r="I854" s="117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2.75" customHeight="1">
      <c r="A855" s="58"/>
      <c r="B855" s="58"/>
      <c r="C855" s="58"/>
      <c r="D855" s="58"/>
      <c r="E855" s="58"/>
      <c r="F855" s="58"/>
      <c r="G855" s="58"/>
      <c r="H855" s="116"/>
      <c r="I855" s="117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2.75" customHeight="1">
      <c r="A856" s="58"/>
      <c r="B856" s="58"/>
      <c r="C856" s="58"/>
      <c r="D856" s="58"/>
      <c r="E856" s="58"/>
      <c r="F856" s="58"/>
      <c r="G856" s="58"/>
      <c r="H856" s="116"/>
      <c r="I856" s="117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2.75" customHeight="1">
      <c r="A857" s="58"/>
      <c r="B857" s="58"/>
      <c r="C857" s="58"/>
      <c r="D857" s="58"/>
      <c r="E857" s="58"/>
      <c r="F857" s="58"/>
      <c r="G857" s="58"/>
      <c r="H857" s="116"/>
      <c r="I857" s="117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2.75" customHeight="1">
      <c r="A858" s="58"/>
      <c r="B858" s="58"/>
      <c r="C858" s="58"/>
      <c r="D858" s="58"/>
      <c r="E858" s="58"/>
      <c r="F858" s="58"/>
      <c r="G858" s="58"/>
      <c r="H858" s="116"/>
      <c r="I858" s="117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2.75" customHeight="1">
      <c r="A859" s="58"/>
      <c r="B859" s="58"/>
      <c r="C859" s="58"/>
      <c r="D859" s="58"/>
      <c r="E859" s="58"/>
      <c r="F859" s="58"/>
      <c r="G859" s="58"/>
      <c r="H859" s="116"/>
      <c r="I859" s="117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2.75" customHeight="1">
      <c r="A860" s="58"/>
      <c r="B860" s="58"/>
      <c r="C860" s="58"/>
      <c r="D860" s="58"/>
      <c r="E860" s="58"/>
      <c r="F860" s="58"/>
      <c r="G860" s="58"/>
      <c r="H860" s="116"/>
      <c r="I860" s="117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2.75" customHeight="1">
      <c r="A861" s="58"/>
      <c r="B861" s="58"/>
      <c r="C861" s="58"/>
      <c r="D861" s="58"/>
      <c r="E861" s="58"/>
      <c r="F861" s="58"/>
      <c r="G861" s="58"/>
      <c r="H861" s="116"/>
      <c r="I861" s="117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2.75" customHeight="1">
      <c r="A862" s="58"/>
      <c r="B862" s="58"/>
      <c r="C862" s="58"/>
      <c r="D862" s="58"/>
      <c r="E862" s="58"/>
      <c r="F862" s="58"/>
      <c r="G862" s="58"/>
      <c r="H862" s="116"/>
      <c r="I862" s="117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2.75" customHeight="1">
      <c r="A863" s="58"/>
      <c r="B863" s="58"/>
      <c r="C863" s="58"/>
      <c r="D863" s="58"/>
      <c r="E863" s="58"/>
      <c r="F863" s="58"/>
      <c r="G863" s="58"/>
      <c r="H863" s="116"/>
      <c r="I863" s="117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2.75" customHeight="1">
      <c r="A864" s="58"/>
      <c r="B864" s="58"/>
      <c r="C864" s="58"/>
      <c r="D864" s="58"/>
      <c r="E864" s="58"/>
      <c r="F864" s="58"/>
      <c r="G864" s="58"/>
      <c r="H864" s="116"/>
      <c r="I864" s="117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2.75" customHeight="1">
      <c r="A865" s="58"/>
      <c r="B865" s="58"/>
      <c r="C865" s="58"/>
      <c r="D865" s="58"/>
      <c r="E865" s="58"/>
      <c r="F865" s="58"/>
      <c r="G865" s="58"/>
      <c r="H865" s="116"/>
      <c r="I865" s="117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2.75" customHeight="1">
      <c r="A866" s="58"/>
      <c r="B866" s="58"/>
      <c r="C866" s="58"/>
      <c r="D866" s="58"/>
      <c r="E866" s="58"/>
      <c r="F866" s="58"/>
      <c r="G866" s="58"/>
      <c r="H866" s="116"/>
      <c r="I866" s="117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2.75" customHeight="1">
      <c r="A867" s="58"/>
      <c r="B867" s="58"/>
      <c r="C867" s="58"/>
      <c r="D867" s="58"/>
      <c r="E867" s="58"/>
      <c r="F867" s="58"/>
      <c r="G867" s="58"/>
      <c r="H867" s="116"/>
      <c r="I867" s="117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2.75" customHeight="1">
      <c r="A868" s="58"/>
      <c r="B868" s="58"/>
      <c r="C868" s="58"/>
      <c r="D868" s="58"/>
      <c r="E868" s="58"/>
      <c r="F868" s="58"/>
      <c r="G868" s="58"/>
      <c r="H868" s="116"/>
      <c r="I868" s="117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2.75" customHeight="1">
      <c r="A869" s="58"/>
      <c r="B869" s="58"/>
      <c r="C869" s="58"/>
      <c r="D869" s="58"/>
      <c r="E869" s="58"/>
      <c r="F869" s="58"/>
      <c r="G869" s="58"/>
      <c r="H869" s="116"/>
      <c r="I869" s="117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2.75" customHeight="1">
      <c r="A870" s="58"/>
      <c r="B870" s="58"/>
      <c r="C870" s="58"/>
      <c r="D870" s="58"/>
      <c r="E870" s="58"/>
      <c r="F870" s="58"/>
      <c r="G870" s="58"/>
      <c r="H870" s="116"/>
      <c r="I870" s="117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2.75" customHeight="1">
      <c r="A871" s="58"/>
      <c r="B871" s="58"/>
      <c r="C871" s="58"/>
      <c r="D871" s="58"/>
      <c r="E871" s="58"/>
      <c r="F871" s="58"/>
      <c r="G871" s="58"/>
      <c r="H871" s="116"/>
      <c r="I871" s="117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2.75" customHeight="1">
      <c r="A872" s="58"/>
      <c r="B872" s="58"/>
      <c r="C872" s="58"/>
      <c r="D872" s="58"/>
      <c r="E872" s="58"/>
      <c r="F872" s="58"/>
      <c r="G872" s="58"/>
      <c r="H872" s="116"/>
      <c r="I872" s="117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2.75" customHeight="1">
      <c r="A873" s="58"/>
      <c r="B873" s="58"/>
      <c r="C873" s="58"/>
      <c r="D873" s="58"/>
      <c r="E873" s="58"/>
      <c r="F873" s="58"/>
      <c r="G873" s="58"/>
      <c r="H873" s="116"/>
      <c r="I873" s="117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2.75" customHeight="1">
      <c r="A874" s="58"/>
      <c r="B874" s="58"/>
      <c r="C874" s="58"/>
      <c r="D874" s="58"/>
      <c r="E874" s="58"/>
      <c r="F874" s="58"/>
      <c r="G874" s="58"/>
      <c r="H874" s="116"/>
      <c r="I874" s="117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2.75" customHeight="1">
      <c r="A875" s="58"/>
      <c r="B875" s="58"/>
      <c r="C875" s="58"/>
      <c r="D875" s="58"/>
      <c r="E875" s="58"/>
      <c r="F875" s="58"/>
      <c r="G875" s="58"/>
      <c r="H875" s="116"/>
      <c r="I875" s="117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2.75" customHeight="1">
      <c r="A876" s="58"/>
      <c r="B876" s="58"/>
      <c r="C876" s="58"/>
      <c r="D876" s="58"/>
      <c r="E876" s="58"/>
      <c r="F876" s="58"/>
      <c r="G876" s="58"/>
      <c r="H876" s="116"/>
      <c r="I876" s="117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2.75" customHeight="1">
      <c r="A877" s="58"/>
      <c r="B877" s="58"/>
      <c r="C877" s="58"/>
      <c r="D877" s="58"/>
      <c r="E877" s="58"/>
      <c r="F877" s="58"/>
      <c r="G877" s="58"/>
      <c r="H877" s="116"/>
      <c r="I877" s="117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2.75" customHeight="1">
      <c r="A878" s="58"/>
      <c r="B878" s="58"/>
      <c r="C878" s="58"/>
      <c r="D878" s="58"/>
      <c r="E878" s="58"/>
      <c r="F878" s="58"/>
      <c r="G878" s="58"/>
      <c r="H878" s="116"/>
      <c r="I878" s="117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2.75" customHeight="1">
      <c r="A879" s="58"/>
      <c r="B879" s="58"/>
      <c r="C879" s="58"/>
      <c r="D879" s="58"/>
      <c r="E879" s="58"/>
      <c r="F879" s="58"/>
      <c r="G879" s="58"/>
      <c r="H879" s="116"/>
      <c r="I879" s="117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2.75" customHeight="1">
      <c r="A880" s="58"/>
      <c r="B880" s="58"/>
      <c r="C880" s="58"/>
      <c r="D880" s="58"/>
      <c r="E880" s="58"/>
      <c r="F880" s="58"/>
      <c r="G880" s="58"/>
      <c r="H880" s="116"/>
      <c r="I880" s="117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2.75" customHeight="1">
      <c r="A881" s="58"/>
      <c r="B881" s="58"/>
      <c r="C881" s="58"/>
      <c r="D881" s="58"/>
      <c r="E881" s="58"/>
      <c r="F881" s="58"/>
      <c r="G881" s="58"/>
      <c r="H881" s="116"/>
      <c r="I881" s="117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2.75" customHeight="1">
      <c r="A882" s="58"/>
      <c r="B882" s="58"/>
      <c r="C882" s="58"/>
      <c r="D882" s="58"/>
      <c r="E882" s="58"/>
      <c r="F882" s="58"/>
      <c r="G882" s="58"/>
      <c r="H882" s="116"/>
      <c r="I882" s="117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2.75" customHeight="1">
      <c r="A883" s="58"/>
      <c r="B883" s="58"/>
      <c r="C883" s="58"/>
      <c r="D883" s="58"/>
      <c r="E883" s="58"/>
      <c r="F883" s="58"/>
      <c r="G883" s="58"/>
      <c r="H883" s="116"/>
      <c r="I883" s="117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2.75" customHeight="1">
      <c r="A884" s="58"/>
      <c r="B884" s="58"/>
      <c r="C884" s="58"/>
      <c r="D884" s="58"/>
      <c r="E884" s="58"/>
      <c r="F884" s="58"/>
      <c r="G884" s="58"/>
      <c r="H884" s="116"/>
      <c r="I884" s="117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2.75" customHeight="1">
      <c r="A885" s="58"/>
      <c r="B885" s="58"/>
      <c r="C885" s="58"/>
      <c r="D885" s="58"/>
      <c r="E885" s="58"/>
      <c r="F885" s="58"/>
      <c r="G885" s="58"/>
      <c r="H885" s="116"/>
      <c r="I885" s="117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2.75" customHeight="1">
      <c r="A886" s="58"/>
      <c r="B886" s="58"/>
      <c r="C886" s="58"/>
      <c r="D886" s="58"/>
      <c r="E886" s="58"/>
      <c r="F886" s="58"/>
      <c r="G886" s="58"/>
      <c r="H886" s="116"/>
      <c r="I886" s="117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2.75" customHeight="1">
      <c r="A887" s="58"/>
      <c r="B887" s="58"/>
      <c r="C887" s="58"/>
      <c r="D887" s="58"/>
      <c r="E887" s="58"/>
      <c r="F887" s="58"/>
      <c r="G887" s="58"/>
      <c r="H887" s="116"/>
      <c r="I887" s="117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2.75" customHeight="1">
      <c r="A888" s="58"/>
      <c r="B888" s="58"/>
      <c r="C888" s="58"/>
      <c r="D888" s="58"/>
      <c r="E888" s="58"/>
      <c r="F888" s="58"/>
      <c r="G888" s="58"/>
      <c r="H888" s="116"/>
      <c r="I888" s="117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2.75" customHeight="1">
      <c r="A889" s="58"/>
      <c r="B889" s="58"/>
      <c r="C889" s="58"/>
      <c r="D889" s="58"/>
      <c r="E889" s="58"/>
      <c r="F889" s="58"/>
      <c r="G889" s="58"/>
      <c r="H889" s="116"/>
      <c r="I889" s="117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2.75" customHeight="1">
      <c r="A890" s="58"/>
      <c r="B890" s="58"/>
      <c r="C890" s="58"/>
      <c r="D890" s="58"/>
      <c r="E890" s="58"/>
      <c r="F890" s="58"/>
      <c r="G890" s="58"/>
      <c r="H890" s="116"/>
      <c r="I890" s="117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2.75" customHeight="1">
      <c r="A891" s="58"/>
      <c r="B891" s="58"/>
      <c r="C891" s="58"/>
      <c r="D891" s="58"/>
      <c r="E891" s="58"/>
      <c r="F891" s="58"/>
      <c r="G891" s="58"/>
      <c r="H891" s="116"/>
      <c r="I891" s="117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2.75" customHeight="1">
      <c r="A892" s="58"/>
      <c r="B892" s="58"/>
      <c r="C892" s="58"/>
      <c r="D892" s="58"/>
      <c r="E892" s="58"/>
      <c r="F892" s="58"/>
      <c r="G892" s="58"/>
      <c r="H892" s="116"/>
      <c r="I892" s="117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2.75" customHeight="1">
      <c r="A893" s="58"/>
      <c r="B893" s="58"/>
      <c r="C893" s="58"/>
      <c r="D893" s="58"/>
      <c r="E893" s="58"/>
      <c r="F893" s="58"/>
      <c r="G893" s="58"/>
      <c r="H893" s="116"/>
      <c r="I893" s="117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2.75" customHeight="1">
      <c r="A894" s="58"/>
      <c r="B894" s="58"/>
      <c r="C894" s="58"/>
      <c r="D894" s="58"/>
      <c r="E894" s="58"/>
      <c r="F894" s="58"/>
      <c r="G894" s="58"/>
      <c r="H894" s="116"/>
      <c r="I894" s="117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2.75" customHeight="1">
      <c r="A895" s="58"/>
      <c r="B895" s="58"/>
      <c r="C895" s="58"/>
      <c r="D895" s="58"/>
      <c r="E895" s="58"/>
      <c r="F895" s="58"/>
      <c r="G895" s="58"/>
      <c r="H895" s="116"/>
      <c r="I895" s="117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2.75" customHeight="1">
      <c r="A896" s="58"/>
      <c r="B896" s="58"/>
      <c r="C896" s="58"/>
      <c r="D896" s="58"/>
      <c r="E896" s="58"/>
      <c r="F896" s="58"/>
      <c r="G896" s="58"/>
      <c r="H896" s="116"/>
      <c r="I896" s="117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2.75" customHeight="1">
      <c r="A897" s="58"/>
      <c r="B897" s="58"/>
      <c r="C897" s="58"/>
      <c r="D897" s="58"/>
      <c r="E897" s="58"/>
      <c r="F897" s="58"/>
      <c r="G897" s="58"/>
      <c r="H897" s="116"/>
      <c r="I897" s="117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2.75" customHeight="1">
      <c r="A898" s="58"/>
      <c r="B898" s="58"/>
      <c r="C898" s="58"/>
      <c r="D898" s="58"/>
      <c r="E898" s="58"/>
      <c r="F898" s="58"/>
      <c r="G898" s="58"/>
      <c r="H898" s="116"/>
      <c r="I898" s="117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2.75" customHeight="1">
      <c r="A899" s="58"/>
      <c r="B899" s="58"/>
      <c r="C899" s="58"/>
      <c r="D899" s="58"/>
      <c r="E899" s="58"/>
      <c r="F899" s="58"/>
      <c r="G899" s="58"/>
      <c r="H899" s="116"/>
      <c r="I899" s="117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2.75" customHeight="1">
      <c r="A900" s="58"/>
      <c r="B900" s="58"/>
      <c r="C900" s="58"/>
      <c r="D900" s="58"/>
      <c r="E900" s="58"/>
      <c r="F900" s="58"/>
      <c r="G900" s="58"/>
      <c r="H900" s="116"/>
      <c r="I900" s="117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2.75" customHeight="1">
      <c r="A901" s="58"/>
      <c r="B901" s="58"/>
      <c r="C901" s="58"/>
      <c r="D901" s="58"/>
      <c r="E901" s="58"/>
      <c r="F901" s="58"/>
      <c r="G901" s="58"/>
      <c r="H901" s="116"/>
      <c r="I901" s="117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2.75" customHeight="1">
      <c r="A902" s="58"/>
      <c r="B902" s="58"/>
      <c r="C902" s="58"/>
      <c r="D902" s="58"/>
      <c r="E902" s="58"/>
      <c r="F902" s="58"/>
      <c r="G902" s="58"/>
      <c r="H902" s="116"/>
      <c r="I902" s="117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2.75" customHeight="1">
      <c r="A903" s="58"/>
      <c r="B903" s="58"/>
      <c r="C903" s="58"/>
      <c r="D903" s="58"/>
      <c r="E903" s="58"/>
      <c r="F903" s="58"/>
      <c r="G903" s="58"/>
      <c r="H903" s="116"/>
      <c r="I903" s="117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2.75" customHeight="1">
      <c r="A904" s="58"/>
      <c r="B904" s="58"/>
      <c r="C904" s="58"/>
      <c r="D904" s="58"/>
      <c r="E904" s="58"/>
      <c r="F904" s="58"/>
      <c r="G904" s="58"/>
      <c r="H904" s="116"/>
      <c r="I904" s="117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2.75" customHeight="1">
      <c r="A905" s="58"/>
      <c r="B905" s="58"/>
      <c r="C905" s="58"/>
      <c r="D905" s="58"/>
      <c r="E905" s="58"/>
      <c r="F905" s="58"/>
      <c r="G905" s="58"/>
      <c r="H905" s="116"/>
      <c r="I905" s="117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2.75" customHeight="1">
      <c r="A906" s="58"/>
      <c r="B906" s="58"/>
      <c r="C906" s="58"/>
      <c r="D906" s="58"/>
      <c r="E906" s="58"/>
      <c r="F906" s="58"/>
      <c r="G906" s="58"/>
      <c r="H906" s="116"/>
      <c r="I906" s="117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2.75" customHeight="1">
      <c r="A907" s="58"/>
      <c r="B907" s="58"/>
      <c r="C907" s="58"/>
      <c r="D907" s="58"/>
      <c r="E907" s="58"/>
      <c r="F907" s="58"/>
      <c r="G907" s="58"/>
      <c r="H907" s="116"/>
      <c r="I907" s="117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2.75" customHeight="1">
      <c r="A908" s="58"/>
      <c r="B908" s="58"/>
      <c r="C908" s="58"/>
      <c r="D908" s="58"/>
      <c r="E908" s="58"/>
      <c r="F908" s="58"/>
      <c r="G908" s="58"/>
      <c r="H908" s="116"/>
      <c r="I908" s="117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2.75" customHeight="1">
      <c r="A909" s="58"/>
      <c r="B909" s="58"/>
      <c r="C909" s="58"/>
      <c r="D909" s="58"/>
      <c r="E909" s="58"/>
      <c r="F909" s="58"/>
      <c r="G909" s="58"/>
      <c r="H909" s="116"/>
      <c r="I909" s="117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2.75" customHeight="1">
      <c r="A910" s="58"/>
      <c r="B910" s="58"/>
      <c r="C910" s="58"/>
      <c r="D910" s="58"/>
      <c r="E910" s="58"/>
      <c r="F910" s="58"/>
      <c r="G910" s="58"/>
      <c r="H910" s="116"/>
      <c r="I910" s="117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2.75" customHeight="1">
      <c r="A911" s="58"/>
      <c r="B911" s="58"/>
      <c r="C911" s="58"/>
      <c r="D911" s="58"/>
      <c r="E911" s="58"/>
      <c r="F911" s="58"/>
      <c r="G911" s="58"/>
      <c r="H911" s="116"/>
      <c r="I911" s="117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2.75" customHeight="1">
      <c r="A912" s="58"/>
      <c r="B912" s="58"/>
      <c r="C912" s="58"/>
      <c r="D912" s="58"/>
      <c r="E912" s="58"/>
      <c r="F912" s="58"/>
      <c r="G912" s="58"/>
      <c r="H912" s="116"/>
      <c r="I912" s="117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2.75" customHeight="1">
      <c r="A913" s="58"/>
      <c r="B913" s="58"/>
      <c r="C913" s="58"/>
      <c r="D913" s="58"/>
      <c r="E913" s="58"/>
      <c r="F913" s="58"/>
      <c r="G913" s="58"/>
      <c r="H913" s="116"/>
      <c r="I913" s="117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2.75" customHeight="1">
      <c r="A914" s="58"/>
      <c r="B914" s="58"/>
      <c r="C914" s="58"/>
      <c r="D914" s="58"/>
      <c r="E914" s="58"/>
      <c r="F914" s="58"/>
      <c r="G914" s="58"/>
      <c r="H914" s="116"/>
      <c r="I914" s="117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2.75" customHeight="1">
      <c r="A915" s="58"/>
      <c r="B915" s="58"/>
      <c r="C915" s="58"/>
      <c r="D915" s="58"/>
      <c r="E915" s="58"/>
      <c r="F915" s="58"/>
      <c r="G915" s="58"/>
      <c r="H915" s="116"/>
      <c r="I915" s="117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2.75" customHeight="1">
      <c r="A916" s="58"/>
      <c r="B916" s="58"/>
      <c r="C916" s="58"/>
      <c r="D916" s="58"/>
      <c r="E916" s="58"/>
      <c r="F916" s="58"/>
      <c r="G916" s="58"/>
      <c r="H916" s="116"/>
      <c r="I916" s="117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2.75" customHeight="1">
      <c r="A917" s="58"/>
      <c r="B917" s="58"/>
      <c r="C917" s="58"/>
      <c r="D917" s="58"/>
      <c r="E917" s="58"/>
      <c r="F917" s="58"/>
      <c r="G917" s="58"/>
      <c r="H917" s="116"/>
      <c r="I917" s="117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2.75" customHeight="1">
      <c r="A918" s="58"/>
      <c r="B918" s="58"/>
      <c r="C918" s="58"/>
      <c r="D918" s="58"/>
      <c r="E918" s="58"/>
      <c r="F918" s="58"/>
      <c r="G918" s="58"/>
      <c r="H918" s="116"/>
      <c r="I918" s="117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2.75" customHeight="1">
      <c r="A919" s="58"/>
      <c r="B919" s="58"/>
      <c r="C919" s="58"/>
      <c r="D919" s="58"/>
      <c r="E919" s="58"/>
      <c r="F919" s="58"/>
      <c r="G919" s="58"/>
      <c r="H919" s="116"/>
      <c r="I919" s="117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2.75" customHeight="1">
      <c r="A920" s="58"/>
      <c r="B920" s="58"/>
      <c r="C920" s="58"/>
      <c r="D920" s="58"/>
      <c r="E920" s="58"/>
      <c r="F920" s="58"/>
      <c r="G920" s="58"/>
      <c r="H920" s="116"/>
      <c r="I920" s="117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2.75" customHeight="1">
      <c r="A921" s="58"/>
      <c r="B921" s="58"/>
      <c r="C921" s="58"/>
      <c r="D921" s="58"/>
      <c r="E921" s="58"/>
      <c r="F921" s="58"/>
      <c r="G921" s="58"/>
      <c r="H921" s="116"/>
      <c r="I921" s="117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2.75" customHeight="1">
      <c r="A922" s="58"/>
      <c r="B922" s="58"/>
      <c r="C922" s="58"/>
      <c r="D922" s="58"/>
      <c r="E922" s="58"/>
      <c r="F922" s="58"/>
      <c r="G922" s="58"/>
      <c r="H922" s="116"/>
      <c r="I922" s="117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2.75" customHeight="1">
      <c r="A923" s="58"/>
      <c r="B923" s="58"/>
      <c r="C923" s="58"/>
      <c r="D923" s="58"/>
      <c r="E923" s="58"/>
      <c r="F923" s="58"/>
      <c r="G923" s="58"/>
      <c r="H923" s="116"/>
      <c r="I923" s="117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2.75" customHeight="1">
      <c r="A924" s="58"/>
      <c r="B924" s="58"/>
      <c r="C924" s="58"/>
      <c r="D924" s="58"/>
      <c r="E924" s="58"/>
      <c r="F924" s="58"/>
      <c r="G924" s="58"/>
      <c r="H924" s="116"/>
      <c r="I924" s="117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2.75" customHeight="1">
      <c r="A925" s="58"/>
      <c r="B925" s="58"/>
      <c r="C925" s="58"/>
      <c r="D925" s="58"/>
      <c r="E925" s="58"/>
      <c r="F925" s="58"/>
      <c r="G925" s="58"/>
      <c r="H925" s="116"/>
      <c r="I925" s="117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2.75" customHeight="1">
      <c r="A926" s="58"/>
      <c r="B926" s="58"/>
      <c r="C926" s="58"/>
      <c r="D926" s="58"/>
      <c r="E926" s="58"/>
      <c r="F926" s="58"/>
      <c r="G926" s="58"/>
      <c r="H926" s="116"/>
      <c r="I926" s="117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2.75" customHeight="1">
      <c r="A927" s="58"/>
      <c r="B927" s="58"/>
      <c r="C927" s="58"/>
      <c r="D927" s="58"/>
      <c r="E927" s="58"/>
      <c r="F927" s="58"/>
      <c r="G927" s="58"/>
      <c r="H927" s="116"/>
      <c r="I927" s="117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2.75" customHeight="1">
      <c r="A928" s="58"/>
      <c r="B928" s="58"/>
      <c r="C928" s="58"/>
      <c r="D928" s="58"/>
      <c r="E928" s="58"/>
      <c r="F928" s="58"/>
      <c r="G928" s="58"/>
      <c r="H928" s="116"/>
      <c r="I928" s="117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2.75" customHeight="1">
      <c r="A929" s="58"/>
      <c r="B929" s="58"/>
      <c r="C929" s="58"/>
      <c r="D929" s="58"/>
      <c r="E929" s="58"/>
      <c r="F929" s="58"/>
      <c r="G929" s="58"/>
      <c r="H929" s="116"/>
      <c r="I929" s="117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2.75" customHeight="1">
      <c r="A930" s="58"/>
      <c r="B930" s="58"/>
      <c r="C930" s="58"/>
      <c r="D930" s="58"/>
      <c r="E930" s="58"/>
      <c r="F930" s="58"/>
      <c r="G930" s="58"/>
      <c r="H930" s="116"/>
      <c r="I930" s="117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2.75" customHeight="1">
      <c r="A931" s="58"/>
      <c r="B931" s="58"/>
      <c r="C931" s="58"/>
      <c r="D931" s="58"/>
      <c r="E931" s="58"/>
      <c r="F931" s="58"/>
      <c r="G931" s="58"/>
      <c r="H931" s="116"/>
      <c r="I931" s="117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2.75" customHeight="1">
      <c r="A932" s="58"/>
      <c r="B932" s="58"/>
      <c r="C932" s="58"/>
      <c r="D932" s="58"/>
      <c r="E932" s="58"/>
      <c r="F932" s="58"/>
      <c r="G932" s="58"/>
      <c r="H932" s="116"/>
      <c r="I932" s="117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2.75" customHeight="1">
      <c r="A933" s="58"/>
      <c r="B933" s="58"/>
      <c r="C933" s="58"/>
      <c r="D933" s="58"/>
      <c r="E933" s="58"/>
      <c r="F933" s="58"/>
      <c r="G933" s="58"/>
      <c r="H933" s="116"/>
      <c r="I933" s="117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2.75" customHeight="1">
      <c r="A934" s="58"/>
      <c r="B934" s="58"/>
      <c r="C934" s="58"/>
      <c r="D934" s="58"/>
      <c r="E934" s="58"/>
      <c r="F934" s="58"/>
      <c r="G934" s="58"/>
      <c r="H934" s="116"/>
      <c r="I934" s="117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2.75" customHeight="1">
      <c r="A935" s="58"/>
      <c r="B935" s="58"/>
      <c r="C935" s="58"/>
      <c r="D935" s="58"/>
      <c r="E935" s="58"/>
      <c r="F935" s="58"/>
      <c r="G935" s="58"/>
      <c r="H935" s="116"/>
      <c r="I935" s="117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2.75" customHeight="1">
      <c r="A936" s="58"/>
      <c r="B936" s="58"/>
      <c r="C936" s="58"/>
      <c r="D936" s="58"/>
      <c r="E936" s="58"/>
      <c r="F936" s="58"/>
      <c r="G936" s="58"/>
      <c r="H936" s="116"/>
      <c r="I936" s="117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2.75" customHeight="1">
      <c r="A937" s="58"/>
      <c r="B937" s="58"/>
      <c r="C937" s="58"/>
      <c r="D937" s="58"/>
      <c r="E937" s="58"/>
      <c r="F937" s="58"/>
      <c r="G937" s="58"/>
      <c r="H937" s="116"/>
      <c r="I937" s="117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2.75" customHeight="1">
      <c r="A938" s="58"/>
      <c r="B938" s="58"/>
      <c r="C938" s="58"/>
      <c r="D938" s="58"/>
      <c r="E938" s="58"/>
      <c r="F938" s="58"/>
      <c r="G938" s="58"/>
      <c r="H938" s="116"/>
      <c r="I938" s="117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2.75" customHeight="1">
      <c r="A939" s="58"/>
      <c r="B939" s="58"/>
      <c r="C939" s="58"/>
      <c r="D939" s="58"/>
      <c r="E939" s="58"/>
      <c r="F939" s="58"/>
      <c r="G939" s="58"/>
      <c r="H939" s="116"/>
      <c r="I939" s="117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2.75" customHeight="1">
      <c r="A940" s="58"/>
      <c r="B940" s="58"/>
      <c r="C940" s="58"/>
      <c r="D940" s="58"/>
      <c r="E940" s="58"/>
      <c r="F940" s="58"/>
      <c r="G940" s="58"/>
      <c r="H940" s="116"/>
      <c r="I940" s="117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2.75" customHeight="1">
      <c r="A941" s="58"/>
      <c r="B941" s="58"/>
      <c r="C941" s="58"/>
      <c r="D941" s="58"/>
      <c r="E941" s="58"/>
      <c r="F941" s="58"/>
      <c r="G941" s="58"/>
      <c r="H941" s="116"/>
      <c r="I941" s="117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2.75" customHeight="1">
      <c r="A942" s="58"/>
      <c r="B942" s="58"/>
      <c r="C942" s="58"/>
      <c r="D942" s="58"/>
      <c r="E942" s="58"/>
      <c r="F942" s="58"/>
      <c r="G942" s="58"/>
      <c r="H942" s="116"/>
      <c r="I942" s="117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2.75" customHeight="1">
      <c r="A943" s="58"/>
      <c r="B943" s="58"/>
      <c r="C943" s="58"/>
      <c r="D943" s="58"/>
      <c r="E943" s="58"/>
      <c r="F943" s="58"/>
      <c r="G943" s="58"/>
      <c r="H943" s="116"/>
      <c r="I943" s="117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2.75" customHeight="1">
      <c r="A944" s="58"/>
      <c r="B944" s="58"/>
      <c r="C944" s="58"/>
      <c r="D944" s="58"/>
      <c r="E944" s="58"/>
      <c r="F944" s="58"/>
      <c r="G944" s="58"/>
      <c r="H944" s="116"/>
      <c r="I944" s="117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2.75" customHeight="1">
      <c r="A945" s="58"/>
      <c r="B945" s="58"/>
      <c r="C945" s="58"/>
      <c r="D945" s="58"/>
      <c r="E945" s="58"/>
      <c r="F945" s="58"/>
      <c r="G945" s="58"/>
      <c r="H945" s="116"/>
      <c r="I945" s="117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2.75" customHeight="1">
      <c r="A946" s="58"/>
      <c r="B946" s="58"/>
      <c r="C946" s="58"/>
      <c r="D946" s="58"/>
      <c r="E946" s="58"/>
      <c r="F946" s="58"/>
      <c r="G946" s="58"/>
      <c r="H946" s="116"/>
      <c r="I946" s="117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2.75" customHeight="1">
      <c r="A947" s="58"/>
      <c r="B947" s="58"/>
      <c r="C947" s="58"/>
      <c r="D947" s="58"/>
      <c r="E947" s="58"/>
      <c r="F947" s="58"/>
      <c r="G947" s="58"/>
      <c r="H947" s="116"/>
      <c r="I947" s="117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2.75" customHeight="1">
      <c r="A948" s="58"/>
      <c r="B948" s="58"/>
      <c r="C948" s="58"/>
      <c r="D948" s="58"/>
      <c r="E948" s="58"/>
      <c r="F948" s="58"/>
      <c r="G948" s="58"/>
      <c r="H948" s="116"/>
      <c r="I948" s="117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2.75" customHeight="1">
      <c r="A949" s="58"/>
      <c r="B949" s="58"/>
      <c r="C949" s="58"/>
      <c r="D949" s="58"/>
      <c r="E949" s="58"/>
      <c r="F949" s="58"/>
      <c r="G949" s="58"/>
      <c r="H949" s="116"/>
      <c r="I949" s="117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2.75" customHeight="1">
      <c r="A950" s="58"/>
      <c r="B950" s="58"/>
      <c r="C950" s="58"/>
      <c r="D950" s="58"/>
      <c r="E950" s="58"/>
      <c r="F950" s="58"/>
      <c r="G950" s="58"/>
      <c r="H950" s="116"/>
      <c r="I950" s="117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2.75" customHeight="1">
      <c r="A951" s="58"/>
      <c r="B951" s="58"/>
      <c r="C951" s="58"/>
      <c r="D951" s="58"/>
      <c r="E951" s="58"/>
      <c r="F951" s="58"/>
      <c r="G951" s="58"/>
      <c r="H951" s="116"/>
      <c r="I951" s="117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2.75" customHeight="1">
      <c r="A952" s="58"/>
      <c r="B952" s="58"/>
      <c r="C952" s="58"/>
      <c r="D952" s="58"/>
      <c r="E952" s="58"/>
      <c r="F952" s="58"/>
      <c r="G952" s="58"/>
      <c r="H952" s="116"/>
      <c r="I952" s="117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2.75" customHeight="1">
      <c r="A953" s="58"/>
      <c r="B953" s="58"/>
      <c r="C953" s="58"/>
      <c r="D953" s="58"/>
      <c r="E953" s="58"/>
      <c r="F953" s="58"/>
      <c r="G953" s="58"/>
      <c r="H953" s="116"/>
      <c r="I953" s="117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2.75" customHeight="1">
      <c r="A954" s="58"/>
      <c r="B954" s="58"/>
      <c r="C954" s="58"/>
      <c r="D954" s="58"/>
      <c r="E954" s="58"/>
      <c r="F954" s="58"/>
      <c r="G954" s="58"/>
      <c r="H954" s="116"/>
      <c r="I954" s="117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2.75" customHeight="1">
      <c r="A955" s="58"/>
      <c r="B955" s="58"/>
      <c r="C955" s="58"/>
      <c r="D955" s="58"/>
      <c r="E955" s="58"/>
      <c r="F955" s="58"/>
      <c r="G955" s="58"/>
      <c r="H955" s="116"/>
      <c r="I955" s="117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2.75" customHeight="1">
      <c r="A956" s="58"/>
      <c r="B956" s="58"/>
      <c r="C956" s="58"/>
      <c r="D956" s="58"/>
      <c r="E956" s="58"/>
      <c r="F956" s="58"/>
      <c r="G956" s="58"/>
      <c r="H956" s="116"/>
      <c r="I956" s="117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2.75" customHeight="1">
      <c r="A957" s="58"/>
      <c r="B957" s="58"/>
      <c r="C957" s="58"/>
      <c r="D957" s="58"/>
      <c r="E957" s="58"/>
      <c r="F957" s="58"/>
      <c r="G957" s="58"/>
      <c r="H957" s="116"/>
      <c r="I957" s="117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2.75" customHeight="1">
      <c r="A958" s="58"/>
      <c r="B958" s="58"/>
      <c r="C958" s="58"/>
      <c r="D958" s="58"/>
      <c r="E958" s="58"/>
      <c r="F958" s="58"/>
      <c r="G958" s="58"/>
      <c r="H958" s="116"/>
      <c r="I958" s="117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2.75" customHeight="1">
      <c r="A959" s="58"/>
      <c r="B959" s="58"/>
      <c r="C959" s="58"/>
      <c r="D959" s="58"/>
      <c r="E959" s="58"/>
      <c r="F959" s="58"/>
      <c r="G959" s="58"/>
      <c r="H959" s="116"/>
      <c r="I959" s="117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2.75" customHeight="1">
      <c r="A960" s="58"/>
      <c r="B960" s="58"/>
      <c r="C960" s="58"/>
      <c r="D960" s="58"/>
      <c r="E960" s="58"/>
      <c r="F960" s="58"/>
      <c r="G960" s="58"/>
      <c r="H960" s="116"/>
      <c r="I960" s="117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2.75" customHeight="1">
      <c r="A961" s="58"/>
      <c r="B961" s="58"/>
      <c r="C961" s="58"/>
      <c r="D961" s="58"/>
      <c r="E961" s="58"/>
      <c r="F961" s="58"/>
      <c r="G961" s="58"/>
      <c r="H961" s="116"/>
      <c r="I961" s="117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2.75" customHeight="1">
      <c r="A962" s="58"/>
      <c r="B962" s="58"/>
      <c r="C962" s="58"/>
      <c r="D962" s="58"/>
      <c r="E962" s="58"/>
      <c r="F962" s="58"/>
      <c r="G962" s="58"/>
      <c r="H962" s="116"/>
      <c r="I962" s="117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2.75" customHeight="1">
      <c r="A963" s="58"/>
      <c r="B963" s="58"/>
      <c r="C963" s="58"/>
      <c r="D963" s="58"/>
      <c r="E963" s="58"/>
      <c r="F963" s="58"/>
      <c r="G963" s="58"/>
      <c r="H963" s="116"/>
      <c r="I963" s="117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2.75" customHeight="1">
      <c r="A964" s="58"/>
      <c r="B964" s="58"/>
      <c r="C964" s="58"/>
      <c r="D964" s="58"/>
      <c r="E964" s="58"/>
      <c r="F964" s="58"/>
      <c r="G964" s="58"/>
      <c r="H964" s="116"/>
      <c r="I964" s="117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2.75" customHeight="1">
      <c r="A965" s="58"/>
      <c r="B965" s="58"/>
      <c r="C965" s="58"/>
      <c r="D965" s="58"/>
      <c r="E965" s="58"/>
      <c r="F965" s="58"/>
      <c r="G965" s="58"/>
      <c r="H965" s="116"/>
      <c r="I965" s="117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2.75" customHeight="1">
      <c r="A966" s="58"/>
      <c r="B966" s="58"/>
      <c r="C966" s="58"/>
      <c r="D966" s="58"/>
      <c r="E966" s="58"/>
      <c r="F966" s="58"/>
      <c r="G966" s="58"/>
      <c r="H966" s="116"/>
      <c r="I966" s="117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2.75" customHeight="1">
      <c r="A967" s="58"/>
      <c r="B967" s="58"/>
      <c r="C967" s="58"/>
      <c r="D967" s="58"/>
      <c r="E967" s="58"/>
      <c r="F967" s="58"/>
      <c r="G967" s="58"/>
      <c r="H967" s="116"/>
      <c r="I967" s="117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2.75" customHeight="1">
      <c r="A968" s="58"/>
      <c r="B968" s="58"/>
      <c r="C968" s="58"/>
      <c r="D968" s="58"/>
      <c r="E968" s="58"/>
      <c r="F968" s="58"/>
      <c r="G968" s="58"/>
      <c r="H968" s="116"/>
      <c r="I968" s="117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2.75" customHeight="1">
      <c r="A969" s="58"/>
      <c r="B969" s="58"/>
      <c r="C969" s="58"/>
      <c r="D969" s="58"/>
      <c r="E969" s="58"/>
      <c r="F969" s="58"/>
      <c r="G969" s="58"/>
      <c r="H969" s="116"/>
      <c r="I969" s="117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2.75" customHeight="1">
      <c r="A970" s="58"/>
      <c r="B970" s="58"/>
      <c r="C970" s="58"/>
      <c r="D970" s="58"/>
      <c r="E970" s="58"/>
      <c r="F970" s="58"/>
      <c r="G970" s="58"/>
      <c r="H970" s="116"/>
      <c r="I970" s="117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2.75" customHeight="1">
      <c r="A971" s="58"/>
      <c r="B971" s="58"/>
      <c r="C971" s="58"/>
      <c r="D971" s="58"/>
      <c r="E971" s="58"/>
      <c r="F971" s="58"/>
      <c r="G971" s="58"/>
      <c r="H971" s="116"/>
      <c r="I971" s="117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2.75" customHeight="1">
      <c r="A972" s="58"/>
      <c r="B972" s="58"/>
      <c r="C972" s="58"/>
      <c r="D972" s="58"/>
      <c r="E972" s="58"/>
      <c r="F972" s="58"/>
      <c r="G972" s="58"/>
      <c r="H972" s="116"/>
      <c r="I972" s="117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2.75" customHeight="1">
      <c r="A973" s="58"/>
      <c r="B973" s="58"/>
      <c r="C973" s="58"/>
      <c r="D973" s="58"/>
      <c r="E973" s="58"/>
      <c r="F973" s="58"/>
      <c r="G973" s="58"/>
      <c r="H973" s="116"/>
      <c r="I973" s="117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2.75" customHeight="1">
      <c r="A974" s="58"/>
      <c r="B974" s="58"/>
      <c r="C974" s="58"/>
      <c r="D974" s="58"/>
      <c r="E974" s="58"/>
      <c r="F974" s="58"/>
      <c r="G974" s="58"/>
      <c r="H974" s="116"/>
      <c r="I974" s="117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2.75" customHeight="1">
      <c r="A975" s="58"/>
      <c r="B975" s="58"/>
      <c r="C975" s="58"/>
      <c r="D975" s="58"/>
      <c r="E975" s="58"/>
      <c r="F975" s="58"/>
      <c r="G975" s="58"/>
      <c r="H975" s="116"/>
      <c r="I975" s="117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2.75" customHeight="1">
      <c r="A976" s="58"/>
      <c r="B976" s="58"/>
      <c r="C976" s="58"/>
      <c r="D976" s="58"/>
      <c r="E976" s="58"/>
      <c r="F976" s="58"/>
      <c r="G976" s="58"/>
      <c r="H976" s="116"/>
      <c r="I976" s="117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2.75" customHeight="1">
      <c r="A977" s="58"/>
      <c r="B977" s="58"/>
      <c r="C977" s="58"/>
      <c r="D977" s="58"/>
      <c r="E977" s="58"/>
      <c r="F977" s="58"/>
      <c r="G977" s="58"/>
      <c r="H977" s="116"/>
      <c r="I977" s="117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2.75" customHeight="1">
      <c r="A978" s="58"/>
      <c r="B978" s="58"/>
      <c r="C978" s="58"/>
      <c r="D978" s="58"/>
      <c r="E978" s="58"/>
      <c r="F978" s="58"/>
      <c r="G978" s="58"/>
      <c r="H978" s="116"/>
      <c r="I978" s="117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2.75" customHeight="1">
      <c r="A979" s="58"/>
      <c r="B979" s="58"/>
      <c r="C979" s="58"/>
      <c r="D979" s="58"/>
      <c r="E979" s="58"/>
      <c r="F979" s="58"/>
      <c r="G979" s="58"/>
      <c r="H979" s="116"/>
      <c r="I979" s="117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2.75" customHeight="1">
      <c r="A980" s="58"/>
      <c r="B980" s="58"/>
      <c r="C980" s="58"/>
      <c r="D980" s="58"/>
      <c r="E980" s="58"/>
      <c r="F980" s="58"/>
      <c r="G980" s="58"/>
      <c r="H980" s="116"/>
      <c r="I980" s="117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2.75" customHeight="1">
      <c r="A981" s="58"/>
      <c r="B981" s="58"/>
      <c r="C981" s="58"/>
      <c r="D981" s="58"/>
      <c r="E981" s="58"/>
      <c r="F981" s="58"/>
      <c r="G981" s="58"/>
      <c r="H981" s="116"/>
      <c r="I981" s="117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2.75" customHeight="1">
      <c r="A982" s="58"/>
      <c r="B982" s="58"/>
      <c r="C982" s="58"/>
      <c r="D982" s="58"/>
      <c r="E982" s="58"/>
      <c r="F982" s="58"/>
      <c r="G982" s="58"/>
      <c r="H982" s="116"/>
      <c r="I982" s="117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2.75" customHeight="1">
      <c r="A983" s="58"/>
      <c r="B983" s="58"/>
      <c r="C983" s="58"/>
      <c r="D983" s="58"/>
      <c r="E983" s="58"/>
      <c r="F983" s="58"/>
      <c r="G983" s="58"/>
      <c r="H983" s="116"/>
      <c r="I983" s="117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2.75" customHeight="1">
      <c r="A984" s="58"/>
      <c r="B984" s="58"/>
      <c r="C984" s="58"/>
      <c r="D984" s="58"/>
      <c r="E984" s="58"/>
      <c r="F984" s="58"/>
      <c r="G984" s="58"/>
      <c r="H984" s="116"/>
      <c r="I984" s="117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2.75" customHeight="1">
      <c r="A985" s="58"/>
      <c r="B985" s="58"/>
      <c r="C985" s="58"/>
      <c r="D985" s="58"/>
      <c r="E985" s="58"/>
      <c r="F985" s="58"/>
      <c r="G985" s="58"/>
      <c r="H985" s="116"/>
      <c r="I985" s="117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2.75" customHeight="1">
      <c r="A986" s="58"/>
      <c r="B986" s="58"/>
      <c r="C986" s="58"/>
      <c r="D986" s="58"/>
      <c r="E986" s="58"/>
      <c r="F986" s="58"/>
      <c r="G986" s="58"/>
      <c r="H986" s="116"/>
      <c r="I986" s="117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2.75" customHeight="1">
      <c r="A987" s="58"/>
      <c r="B987" s="58"/>
      <c r="C987" s="58"/>
      <c r="D987" s="58"/>
      <c r="E987" s="58"/>
      <c r="F987" s="58"/>
      <c r="G987" s="58"/>
      <c r="H987" s="116"/>
      <c r="I987" s="117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2.75" customHeight="1">
      <c r="A988" s="58"/>
      <c r="B988" s="58"/>
      <c r="C988" s="58"/>
      <c r="D988" s="58"/>
      <c r="E988" s="58"/>
      <c r="F988" s="58"/>
      <c r="G988" s="58"/>
      <c r="H988" s="116"/>
      <c r="I988" s="117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2.75" customHeight="1">
      <c r="A989" s="58"/>
      <c r="B989" s="58"/>
      <c r="C989" s="58"/>
      <c r="D989" s="58"/>
      <c r="E989" s="58"/>
      <c r="F989" s="58"/>
      <c r="G989" s="58"/>
      <c r="H989" s="116"/>
      <c r="I989" s="117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2.75" customHeight="1">
      <c r="A990" s="58"/>
      <c r="B990" s="58"/>
      <c r="C990" s="58"/>
      <c r="D990" s="58"/>
      <c r="E990" s="58"/>
      <c r="F990" s="58"/>
      <c r="G990" s="58"/>
      <c r="H990" s="116"/>
      <c r="I990" s="117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2.75" customHeight="1">
      <c r="A991" s="58"/>
      <c r="B991" s="58"/>
      <c r="C991" s="58"/>
      <c r="D991" s="58"/>
      <c r="E991" s="58"/>
      <c r="F991" s="58"/>
      <c r="G991" s="58"/>
      <c r="H991" s="116"/>
      <c r="I991" s="117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2.75" customHeight="1">
      <c r="A992" s="58"/>
      <c r="B992" s="58"/>
      <c r="C992" s="58"/>
      <c r="D992" s="58"/>
      <c r="E992" s="58"/>
      <c r="F992" s="58"/>
      <c r="G992" s="58"/>
      <c r="H992" s="116"/>
      <c r="I992" s="117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2.75" customHeight="1">
      <c r="A993" s="58"/>
      <c r="B993" s="58"/>
      <c r="C993" s="58"/>
      <c r="D993" s="58"/>
      <c r="E993" s="58"/>
      <c r="F993" s="58"/>
      <c r="G993" s="58"/>
      <c r="H993" s="116"/>
      <c r="I993" s="117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2.75" customHeight="1">
      <c r="A994" s="58"/>
      <c r="B994" s="58"/>
      <c r="C994" s="58"/>
      <c r="D994" s="58"/>
      <c r="E994" s="58"/>
      <c r="F994" s="58"/>
      <c r="G994" s="58"/>
      <c r="H994" s="116"/>
      <c r="I994" s="117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2.75" customHeight="1">
      <c r="A995" s="58"/>
      <c r="B995" s="58"/>
      <c r="C995" s="58"/>
      <c r="D995" s="58"/>
      <c r="E995" s="58"/>
      <c r="F995" s="58"/>
      <c r="G995" s="58"/>
      <c r="H995" s="116"/>
      <c r="I995" s="117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2.75" customHeight="1">
      <c r="A996" s="58"/>
      <c r="B996" s="58"/>
      <c r="C996" s="58"/>
      <c r="D996" s="58"/>
      <c r="E996" s="58"/>
      <c r="F996" s="58"/>
      <c r="G996" s="58"/>
      <c r="H996" s="116"/>
      <c r="I996" s="117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2.75" customHeight="1">
      <c r="A997" s="58"/>
      <c r="B997" s="58"/>
      <c r="C997" s="58"/>
      <c r="D997" s="58"/>
      <c r="E997" s="58"/>
      <c r="F997" s="58"/>
      <c r="G997" s="58"/>
      <c r="H997" s="116"/>
      <c r="I997" s="117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2.75" customHeight="1">
      <c r="A998" s="58"/>
      <c r="B998" s="58"/>
      <c r="C998" s="58"/>
      <c r="D998" s="58"/>
      <c r="E998" s="58"/>
      <c r="F998" s="58"/>
      <c r="G998" s="58"/>
      <c r="H998" s="116"/>
      <c r="I998" s="117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2.75" customHeight="1">
      <c r="A999" s="58"/>
      <c r="B999" s="58"/>
      <c r="C999" s="58"/>
      <c r="D999" s="58"/>
      <c r="E999" s="58"/>
      <c r="F999" s="58"/>
      <c r="G999" s="58"/>
      <c r="H999" s="116"/>
      <c r="I999" s="117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2.75" customHeight="1">
      <c r="A1000" s="58"/>
      <c r="B1000" s="58"/>
      <c r="C1000" s="58"/>
      <c r="D1000" s="58"/>
      <c r="E1000" s="58"/>
      <c r="F1000" s="58"/>
      <c r="G1000" s="58"/>
      <c r="H1000" s="116"/>
      <c r="I1000" s="117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6">
    <mergeCell ref="A142:A143"/>
    <mergeCell ref="A132:A133"/>
    <mergeCell ref="C54:C55"/>
    <mergeCell ref="C52:C53"/>
    <mergeCell ref="A138:A139"/>
    <mergeCell ref="A140:A14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38"/>
    <col customWidth="1" min="2" max="2" width="30.5"/>
    <col customWidth="1" min="3" max="3" width="10.38"/>
    <col customWidth="1" min="4" max="4" width="9.75"/>
    <col customWidth="1" min="5" max="6" width="8.0"/>
    <col customWidth="1" min="7" max="7" width="8.75"/>
    <col customWidth="1" min="8" max="9" width="8.0"/>
    <col customWidth="1" min="10" max="10" width="9.25"/>
    <col customWidth="1" min="11" max="26" width="8.0"/>
  </cols>
  <sheetData>
    <row r="1" ht="18.0" customHeight="1">
      <c r="A1" s="11" t="s">
        <v>2</v>
      </c>
      <c r="B1" s="3"/>
      <c r="C1" s="3"/>
      <c r="D1" s="3"/>
      <c r="E1" s="3"/>
      <c r="F1" s="4"/>
      <c r="G1" s="18" t="s">
        <v>11</v>
      </c>
      <c r="H1" s="7"/>
      <c r="I1" s="19">
        <v>1227946.0</v>
      </c>
      <c r="J1" s="7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8.0" customHeight="1">
      <c r="A2" s="49"/>
      <c r="B2" s="50"/>
      <c r="C2" s="50"/>
      <c r="D2" s="50"/>
      <c r="E2" s="50"/>
      <c r="F2" s="51"/>
      <c r="G2" s="88" t="s">
        <v>18</v>
      </c>
      <c r="H2" s="7"/>
      <c r="I2" s="92">
        <v>1875000.0</v>
      </c>
      <c r="J2" s="7"/>
      <c r="K2" s="20" t="s">
        <v>36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35" t="s">
        <v>19</v>
      </c>
      <c r="B3" s="10"/>
      <c r="C3" s="10"/>
      <c r="D3" s="10"/>
      <c r="E3" s="10"/>
      <c r="F3" s="10"/>
      <c r="G3" s="10"/>
      <c r="H3" s="10"/>
      <c r="I3" s="137"/>
      <c r="J3" s="138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59"/>
      <c r="B4" s="160"/>
      <c r="C4" s="161"/>
      <c r="D4" s="162"/>
      <c r="E4" s="160"/>
      <c r="F4" s="160"/>
      <c r="G4" s="168"/>
      <c r="H4" s="169"/>
      <c r="I4" s="170"/>
      <c r="J4" s="17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6.25" customHeight="1">
      <c r="A5" s="224" t="s">
        <v>26</v>
      </c>
      <c r="B5" s="226" t="s">
        <v>25</v>
      </c>
      <c r="C5" s="173" t="s">
        <v>47</v>
      </c>
      <c r="D5" s="226" t="s">
        <v>48</v>
      </c>
      <c r="E5" s="227" t="s">
        <v>64</v>
      </c>
      <c r="F5" s="91"/>
      <c r="G5" s="228" t="s">
        <v>65</v>
      </c>
      <c r="H5" s="229" t="s">
        <v>55</v>
      </c>
      <c r="I5" s="230">
        <v>2015.0</v>
      </c>
      <c r="J5" s="226">
        <v>2016.0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31" t="s">
        <v>74</v>
      </c>
      <c r="B6" s="232" t="s">
        <v>75</v>
      </c>
      <c r="C6" s="233" t="s">
        <v>76</v>
      </c>
      <c r="D6" s="234" t="s">
        <v>77</v>
      </c>
      <c r="E6" s="235">
        <v>42005.0</v>
      </c>
      <c r="F6" s="235">
        <v>42339.0</v>
      </c>
      <c r="G6" s="236">
        <v>139082.0</v>
      </c>
      <c r="H6" s="237">
        <v>0.0</v>
      </c>
      <c r="I6" s="236" t="str">
        <f>G6</f>
        <v>139,082</v>
      </c>
      <c r="J6" s="238">
        <v>0.0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82"/>
      <c r="B7" s="312" t="s">
        <v>103</v>
      </c>
      <c r="C7" s="313" t="s">
        <v>112</v>
      </c>
      <c r="D7" s="314" t="s">
        <v>80</v>
      </c>
      <c r="E7" s="313" t="s">
        <v>113</v>
      </c>
      <c r="F7" s="313" t="s">
        <v>114</v>
      </c>
      <c r="G7" s="315">
        <v>587295.0</v>
      </c>
      <c r="H7" s="313">
        <v>0.0</v>
      </c>
      <c r="I7" s="315">
        <v>99600.0</v>
      </c>
      <c r="J7" s="316">
        <v>0.0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82"/>
      <c r="B8" s="312" t="s">
        <v>115</v>
      </c>
      <c r="C8" s="313" t="s">
        <v>116</v>
      </c>
      <c r="D8" s="314" t="s">
        <v>117</v>
      </c>
      <c r="E8" s="313" t="s">
        <v>118</v>
      </c>
      <c r="F8" s="313" t="s">
        <v>119</v>
      </c>
      <c r="G8" s="315">
        <v>71000.0</v>
      </c>
      <c r="H8" s="356">
        <v>0.0</v>
      </c>
      <c r="I8" s="315">
        <v>4500.0</v>
      </c>
      <c r="J8" s="316">
        <v>0.0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82"/>
      <c r="B9" s="373" t="s">
        <v>148</v>
      </c>
      <c r="C9" s="313" t="s">
        <v>149</v>
      </c>
      <c r="D9" s="374" t="s">
        <v>80</v>
      </c>
      <c r="E9" s="409">
        <v>41730.0</v>
      </c>
      <c r="F9" s="409">
        <v>42020.0</v>
      </c>
      <c r="G9" s="410">
        <v>371673.0</v>
      </c>
      <c r="H9" s="411">
        <v>0.0</v>
      </c>
      <c r="I9" s="410">
        <v>156590.0</v>
      </c>
      <c r="J9" s="412">
        <v>24000.0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82"/>
      <c r="B10" s="373" t="s">
        <v>141</v>
      </c>
      <c r="C10" s="313" t="s">
        <v>214</v>
      </c>
      <c r="D10" s="374" t="s">
        <v>143</v>
      </c>
      <c r="E10" s="409">
        <v>42019.0</v>
      </c>
      <c r="F10" s="409">
        <v>42170.0</v>
      </c>
      <c r="G10" s="410">
        <v>165500.0</v>
      </c>
      <c r="H10" s="411">
        <v>0.0</v>
      </c>
      <c r="I10" s="410">
        <v>165500.0</v>
      </c>
      <c r="J10" s="412" t="str">
        <f t="shared" ref="J10:J11" si="1">G10-I10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82"/>
      <c r="B11" s="430" t="s">
        <v>215</v>
      </c>
      <c r="C11" s="431" t="s">
        <v>218</v>
      </c>
      <c r="D11" s="496" t="s">
        <v>220</v>
      </c>
      <c r="E11" s="497">
        <v>41926.0</v>
      </c>
      <c r="F11" s="409">
        <v>42293.0</v>
      </c>
      <c r="G11" s="498">
        <v>65600.0</v>
      </c>
      <c r="H11" s="499">
        <v>0.0</v>
      </c>
      <c r="I11" s="500">
        <v>35500.0</v>
      </c>
      <c r="J11" s="512" t="str">
        <f t="shared" si="1"/>
        <v>30,100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513"/>
      <c r="B12" s="514" t="s">
        <v>283</v>
      </c>
      <c r="C12" s="515" t="s">
        <v>68</v>
      </c>
      <c r="D12" s="516" t="s">
        <v>266</v>
      </c>
      <c r="E12" s="517">
        <v>42291.0</v>
      </c>
      <c r="F12" s="517">
        <v>42078.0</v>
      </c>
      <c r="G12" s="554">
        <v>24616.0</v>
      </c>
      <c r="H12" s="571">
        <v>0.0</v>
      </c>
      <c r="I12" s="554">
        <v>24616.0</v>
      </c>
      <c r="J12" s="572">
        <v>0.0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574" t="s">
        <v>332</v>
      </c>
      <c r="B13" s="575" t="s">
        <v>333</v>
      </c>
      <c r="C13" s="576" t="s">
        <v>334</v>
      </c>
      <c r="D13" s="313" t="s">
        <v>77</v>
      </c>
      <c r="E13" s="235">
        <v>42005.0</v>
      </c>
      <c r="F13" s="235">
        <v>42339.0</v>
      </c>
      <c r="G13" s="315">
        <v>83538.0</v>
      </c>
      <c r="H13" s="313">
        <v>0.0</v>
      </c>
      <c r="I13" s="315" t="str">
        <f>G13</f>
        <v>83,538</v>
      </c>
      <c r="J13" s="612">
        <v>0.0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82"/>
      <c r="B14" s="575" t="s">
        <v>352</v>
      </c>
      <c r="C14" s="313" t="s">
        <v>68</v>
      </c>
      <c r="D14" s="313" t="s">
        <v>220</v>
      </c>
      <c r="E14" s="235">
        <v>42248.0</v>
      </c>
      <c r="F14" s="235">
        <v>42401.0</v>
      </c>
      <c r="G14" s="315">
        <v>63406.0</v>
      </c>
      <c r="H14" s="313">
        <v>0.0</v>
      </c>
      <c r="I14" s="315">
        <v>31703.0</v>
      </c>
      <c r="J14" s="612">
        <v>31703.0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613"/>
      <c r="B15" s="575" t="s">
        <v>337</v>
      </c>
      <c r="C15" s="313" t="s">
        <v>356</v>
      </c>
      <c r="D15" s="313" t="s">
        <v>266</v>
      </c>
      <c r="E15" s="614">
        <v>41640.0</v>
      </c>
      <c r="F15" s="614">
        <v>42078.0</v>
      </c>
      <c r="G15" s="315">
        <v>75029.0</v>
      </c>
      <c r="H15" s="313">
        <v>0.0</v>
      </c>
      <c r="I15" s="315">
        <v>10281.0</v>
      </c>
      <c r="J15" s="615">
        <v>0.0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616" t="s">
        <v>339</v>
      </c>
      <c r="B16" s="283" t="s">
        <v>340</v>
      </c>
      <c r="C16" s="617" t="s">
        <v>341</v>
      </c>
      <c r="D16" s="617" t="s">
        <v>266</v>
      </c>
      <c r="E16" s="643">
        <v>41852.0</v>
      </c>
      <c r="F16" s="643">
        <v>41729.0</v>
      </c>
      <c r="G16" s="644">
        <v>299970.0</v>
      </c>
      <c r="H16" s="617" t="s">
        <v>83</v>
      </c>
      <c r="I16" s="644">
        <v>157318.0</v>
      </c>
      <c r="J16" s="28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672"/>
      <c r="B17" s="673" t="s">
        <v>456</v>
      </c>
      <c r="C17" s="694" t="s">
        <v>68</v>
      </c>
      <c r="D17" s="694" t="s">
        <v>266</v>
      </c>
      <c r="E17" s="696">
        <v>42186.0</v>
      </c>
      <c r="F17" s="696">
        <v>42430.0</v>
      </c>
      <c r="G17" s="721">
        <v>238589.0</v>
      </c>
      <c r="H17" s="694" t="s">
        <v>83</v>
      </c>
      <c r="I17" s="721">
        <v>119000.0</v>
      </c>
      <c r="J17" s="722">
        <v>119589.0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723" t="s">
        <v>426</v>
      </c>
      <c r="B18" s="724" t="s">
        <v>497</v>
      </c>
      <c r="C18" s="750" t="s">
        <v>498</v>
      </c>
      <c r="D18" s="750" t="s">
        <v>105</v>
      </c>
      <c r="E18" s="751">
        <v>41640.0</v>
      </c>
      <c r="F18" s="751">
        <v>41974.0</v>
      </c>
      <c r="G18" s="752">
        <v>106500.0</v>
      </c>
      <c r="H18" s="750" t="s">
        <v>83</v>
      </c>
      <c r="I18" s="752" t="str">
        <f>G18</f>
        <v>106,500</v>
      </c>
      <c r="J18" s="778">
        <v>0.0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303"/>
      <c r="B19" s="360"/>
      <c r="C19" s="361"/>
      <c r="D19" s="362"/>
      <c r="E19" s="363"/>
      <c r="F19" s="366"/>
      <c r="G19" s="416"/>
      <c r="H19" s="417"/>
      <c r="I19" s="418"/>
      <c r="J19" s="4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421" t="s">
        <v>216</v>
      </c>
      <c r="B20" s="422"/>
      <c r="C20" s="422"/>
      <c r="D20" s="422"/>
      <c r="E20" s="422"/>
      <c r="F20" s="422"/>
      <c r="G20" s="422"/>
      <c r="H20" s="502"/>
      <c r="I20" s="504" t="str">
        <f t="shared" ref="I20:J20" si="2">SUM(I6:I18)</f>
        <v>1,133,728</v>
      </c>
      <c r="J20" s="505" t="str">
        <f t="shared" si="2"/>
        <v>205,392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49"/>
      <c r="B21" s="50"/>
      <c r="C21" s="50"/>
      <c r="D21" s="50"/>
      <c r="E21" s="50"/>
      <c r="F21" s="50"/>
      <c r="G21" s="50"/>
      <c r="H21" s="507"/>
      <c r="I21" s="509" t="str">
        <f>I20/I1</f>
        <v>92%</v>
      </c>
      <c r="J21" s="562" t="str">
        <f>J20/I2</f>
        <v>11%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6.5" customHeight="1">
      <c r="A22" s="140"/>
      <c r="B22" s="141"/>
      <c r="C22" s="563"/>
      <c r="D22" s="564"/>
      <c r="E22" s="566"/>
      <c r="F22" s="566"/>
      <c r="G22" s="631"/>
      <c r="H22" s="633"/>
      <c r="I22" s="638"/>
      <c r="J22" s="63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28.5" customHeight="1">
      <c r="A23" s="193" t="s">
        <v>366</v>
      </c>
      <c r="B23" s="677" t="s">
        <v>25</v>
      </c>
      <c r="C23" s="678" t="s">
        <v>457</v>
      </c>
      <c r="D23" s="679" t="s">
        <v>48</v>
      </c>
      <c r="E23" s="680" t="s">
        <v>458</v>
      </c>
      <c r="F23" s="681" t="s">
        <v>459</v>
      </c>
      <c r="G23" s="686" t="s">
        <v>460</v>
      </c>
      <c r="H23" s="688" t="s">
        <v>461</v>
      </c>
      <c r="I23" s="242">
        <v>2015.0</v>
      </c>
      <c r="J23" s="280">
        <v>2016.0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6.5" customHeight="1">
      <c r="A24" s="782" t="s">
        <v>462</v>
      </c>
      <c r="B24" s="790"/>
      <c r="C24" s="790"/>
      <c r="D24" s="790"/>
      <c r="E24" s="790"/>
      <c r="F24" s="790"/>
      <c r="G24" s="790"/>
      <c r="H24" s="790"/>
      <c r="I24" s="810"/>
      <c r="J24" s="138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811" t="s">
        <v>74</v>
      </c>
      <c r="B25" s="812" t="s">
        <v>568</v>
      </c>
      <c r="C25" s="746" t="s">
        <v>508</v>
      </c>
      <c r="D25" s="813" t="s">
        <v>77</v>
      </c>
      <c r="E25" s="814" t="s">
        <v>569</v>
      </c>
      <c r="F25" s="815">
        <v>6.0</v>
      </c>
      <c r="G25" s="816">
        <v>69500.0</v>
      </c>
      <c r="H25" s="817">
        <v>0.0</v>
      </c>
      <c r="I25" s="784">
        <v>0.0</v>
      </c>
      <c r="J25" s="818">
        <v>69500.0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811" t="s">
        <v>74</v>
      </c>
      <c r="B26" s="812" t="s">
        <v>570</v>
      </c>
      <c r="C26" s="746" t="s">
        <v>508</v>
      </c>
      <c r="D26" s="813" t="s">
        <v>571</v>
      </c>
      <c r="E26" s="814">
        <v>42064.0</v>
      </c>
      <c r="F26" s="815">
        <v>6.0</v>
      </c>
      <c r="G26" s="816">
        <v>50000.0</v>
      </c>
      <c r="H26" s="817">
        <v>0.0</v>
      </c>
      <c r="I26" s="784">
        <v>25000.0</v>
      </c>
      <c r="J26" s="818">
        <v>25000.0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833" t="s">
        <v>74</v>
      </c>
      <c r="B27" s="834" t="s">
        <v>576</v>
      </c>
      <c r="C27" s="734" t="s">
        <v>503</v>
      </c>
      <c r="D27" s="846" t="s">
        <v>220</v>
      </c>
      <c r="E27" s="847">
        <v>42186.0</v>
      </c>
      <c r="F27" s="860">
        <v>6.0</v>
      </c>
      <c r="G27" s="862">
        <v>30000.0</v>
      </c>
      <c r="H27" s="894">
        <v>0.0</v>
      </c>
      <c r="I27" s="624">
        <v>10000.0</v>
      </c>
      <c r="J27" s="896">
        <v>20000.0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833" t="s">
        <v>74</v>
      </c>
      <c r="B28" s="898" t="s">
        <v>585</v>
      </c>
      <c r="C28" s="734" t="s">
        <v>548</v>
      </c>
      <c r="D28" s="846" t="s">
        <v>586</v>
      </c>
      <c r="E28" s="847">
        <v>42186.0</v>
      </c>
      <c r="F28" s="860">
        <v>36.0</v>
      </c>
      <c r="G28" s="862">
        <v>424000.0</v>
      </c>
      <c r="H28" s="894">
        <v>0.25</v>
      </c>
      <c r="I28" s="624">
        <v>0.0</v>
      </c>
      <c r="J28" s="896">
        <v>140000.0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833" t="s">
        <v>74</v>
      </c>
      <c r="B29" s="898" t="s">
        <v>587</v>
      </c>
      <c r="C29" s="734" t="s">
        <v>503</v>
      </c>
      <c r="D29" s="846" t="s">
        <v>588</v>
      </c>
      <c r="E29" s="847">
        <v>42217.0</v>
      </c>
      <c r="F29" s="860">
        <v>18.0</v>
      </c>
      <c r="G29" s="862">
        <v>75000.0</v>
      </c>
      <c r="H29" s="894">
        <v>0.0</v>
      </c>
      <c r="I29" s="624">
        <v>0.0</v>
      </c>
      <c r="J29" s="896">
        <v>75000.0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33" t="s">
        <v>74</v>
      </c>
      <c r="B30" s="898" t="s">
        <v>589</v>
      </c>
      <c r="C30" s="734" t="s">
        <v>548</v>
      </c>
      <c r="D30" s="846" t="s">
        <v>590</v>
      </c>
      <c r="E30" s="847">
        <v>42186.0</v>
      </c>
      <c r="F30" s="860">
        <v>24.0</v>
      </c>
      <c r="G30" s="862">
        <v>360000.0</v>
      </c>
      <c r="H30" s="894">
        <v>0.2</v>
      </c>
      <c r="I30" s="624">
        <v>0.0</v>
      </c>
      <c r="J30" s="896">
        <v>180000.0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811" t="s">
        <v>74</v>
      </c>
      <c r="B31" s="900" t="s">
        <v>591</v>
      </c>
      <c r="C31" s="746" t="s">
        <v>508</v>
      </c>
      <c r="D31" s="813" t="s">
        <v>592</v>
      </c>
      <c r="E31" s="814">
        <v>42248.0</v>
      </c>
      <c r="F31" s="815">
        <v>18.0</v>
      </c>
      <c r="G31" s="816">
        <v>170000.0</v>
      </c>
      <c r="H31" s="817">
        <v>0.15</v>
      </c>
      <c r="I31" s="784">
        <v>30000.0</v>
      </c>
      <c r="J31" s="818">
        <v>80000.0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811" t="s">
        <v>593</v>
      </c>
      <c r="B32" s="812" t="s">
        <v>594</v>
      </c>
      <c r="C32" s="746" t="s">
        <v>508</v>
      </c>
      <c r="D32" s="813" t="s">
        <v>80</v>
      </c>
      <c r="E32" s="814">
        <v>42064.0</v>
      </c>
      <c r="F32" s="815">
        <v>30.0</v>
      </c>
      <c r="G32" s="816">
        <v>709000.0</v>
      </c>
      <c r="H32" s="817">
        <v>0.25</v>
      </c>
      <c r="I32" s="784">
        <v>70000.0</v>
      </c>
      <c r="J32" s="818">
        <v>285000.0</v>
      </c>
      <c r="K32" s="698"/>
      <c r="L32" s="698"/>
      <c r="M32" s="698"/>
      <c r="N32" s="698"/>
      <c r="O32" s="698"/>
      <c r="P32" s="698"/>
      <c r="Q32" s="698"/>
      <c r="R32" s="698"/>
      <c r="S32" s="698"/>
      <c r="T32" s="698"/>
      <c r="U32" s="698"/>
      <c r="V32" s="698"/>
      <c r="W32" s="698"/>
      <c r="X32" s="698"/>
      <c r="Y32" s="698"/>
      <c r="Z32" s="698"/>
    </row>
    <row r="33">
      <c r="A33" s="811" t="s">
        <v>593</v>
      </c>
      <c r="B33" s="812" t="s">
        <v>595</v>
      </c>
      <c r="C33" s="746" t="s">
        <v>508</v>
      </c>
      <c r="D33" s="813" t="s">
        <v>528</v>
      </c>
      <c r="E33" s="814">
        <v>42156.0</v>
      </c>
      <c r="F33" s="815">
        <v>7.0</v>
      </c>
      <c r="G33" s="816">
        <v>1500000.0</v>
      </c>
      <c r="H33" s="817">
        <v>0.0</v>
      </c>
      <c r="I33" s="784">
        <v>750000.0</v>
      </c>
      <c r="J33" s="818">
        <v>750000.0</v>
      </c>
      <c r="K33" s="698"/>
      <c r="L33" s="698"/>
      <c r="M33" s="698"/>
      <c r="N33" s="698"/>
      <c r="O33" s="698"/>
      <c r="P33" s="698"/>
      <c r="Q33" s="698"/>
      <c r="R33" s="698"/>
      <c r="S33" s="698"/>
      <c r="T33" s="698"/>
      <c r="U33" s="698"/>
      <c r="V33" s="698"/>
      <c r="W33" s="698"/>
      <c r="X33" s="698"/>
      <c r="Y33" s="698"/>
      <c r="Z33" s="698"/>
    </row>
    <row r="34">
      <c r="A34" s="833" t="s">
        <v>596</v>
      </c>
      <c r="B34" s="621" t="s">
        <v>597</v>
      </c>
      <c r="C34" s="734" t="s">
        <v>503</v>
      </c>
      <c r="D34" s="846" t="s">
        <v>598</v>
      </c>
      <c r="E34" s="847">
        <v>41913.0</v>
      </c>
      <c r="F34" s="860">
        <v>24.0</v>
      </c>
      <c r="G34" s="862">
        <v>91600.0</v>
      </c>
      <c r="H34" s="894">
        <v>0.0</v>
      </c>
      <c r="I34" s="624">
        <v>0.0</v>
      </c>
      <c r="J34" s="896">
        <v>50000.0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811" t="s">
        <v>332</v>
      </c>
      <c r="B35" s="902" t="s">
        <v>599</v>
      </c>
      <c r="C35" s="746" t="s">
        <v>508</v>
      </c>
      <c r="D35" s="813" t="s">
        <v>600</v>
      </c>
      <c r="E35" s="814">
        <v>42248.0</v>
      </c>
      <c r="F35" s="815">
        <v>18.0</v>
      </c>
      <c r="G35" s="816">
        <v>450000.0</v>
      </c>
      <c r="H35" s="817">
        <v>0.0</v>
      </c>
      <c r="I35" s="784">
        <v>0.0</v>
      </c>
      <c r="J35" s="818">
        <v>300000.0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811" t="s">
        <v>332</v>
      </c>
      <c r="B36" s="902" t="s">
        <v>601</v>
      </c>
      <c r="C36" s="746" t="s">
        <v>508</v>
      </c>
      <c r="D36" s="813" t="s">
        <v>602</v>
      </c>
      <c r="E36" s="814">
        <v>42125.0</v>
      </c>
      <c r="F36" s="815">
        <v>18.0</v>
      </c>
      <c r="G36" s="816">
        <v>141000.0</v>
      </c>
      <c r="H36" s="817">
        <v>0.0</v>
      </c>
      <c r="I36" s="784">
        <v>20000.0</v>
      </c>
      <c r="J36" s="818">
        <v>94000.0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811" t="s">
        <v>332</v>
      </c>
      <c r="B37" s="902" t="s">
        <v>601</v>
      </c>
      <c r="C37" s="746" t="s">
        <v>508</v>
      </c>
      <c r="D37" s="813" t="s">
        <v>603</v>
      </c>
      <c r="E37" s="814">
        <v>42095.0</v>
      </c>
      <c r="F37" s="815">
        <v>6.0</v>
      </c>
      <c r="G37" s="816">
        <v>35000.0</v>
      </c>
      <c r="H37" s="817">
        <v>0.0</v>
      </c>
      <c r="I37" s="784">
        <v>35000.0</v>
      </c>
      <c r="J37" s="818">
        <v>0.0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811" t="s">
        <v>332</v>
      </c>
      <c r="B38" s="904" t="s">
        <v>604</v>
      </c>
      <c r="C38" s="906" t="s">
        <v>508</v>
      </c>
      <c r="D38" s="906" t="s">
        <v>77</v>
      </c>
      <c r="E38" s="908" t="s">
        <v>569</v>
      </c>
      <c r="F38" s="910">
        <v>6.0</v>
      </c>
      <c r="G38" s="920">
        <v>41500.0</v>
      </c>
      <c r="H38" s="921">
        <v>0.0</v>
      </c>
      <c r="I38" s="922">
        <v>0.0</v>
      </c>
      <c r="J38" s="923">
        <v>41500.0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7.25" customHeight="1">
      <c r="A39" s="848"/>
      <c r="B39" s="849"/>
      <c r="C39" s="850"/>
      <c r="D39" s="851"/>
      <c r="E39" s="849"/>
      <c r="F39" s="849"/>
      <c r="G39" s="852"/>
      <c r="H39" s="857"/>
      <c r="I39" s="858"/>
      <c r="J39" s="85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6.5" customHeight="1">
      <c r="A40" s="861" t="s">
        <v>579</v>
      </c>
      <c r="B40" s="863"/>
      <c r="C40" s="863"/>
      <c r="D40" s="863"/>
      <c r="E40" s="863"/>
      <c r="F40" s="863"/>
      <c r="G40" s="863"/>
      <c r="H40" s="864"/>
      <c r="I40" s="893" t="str">
        <f t="shared" ref="I40:J40" si="3">SUM(I25:I38)</f>
        <v>940,000</v>
      </c>
      <c r="J40" s="893" t="str">
        <f t="shared" si="3"/>
        <v>2,110,000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895" t="s">
        <v>584</v>
      </c>
      <c r="B41" s="897"/>
      <c r="C41" s="897"/>
      <c r="D41" s="897"/>
      <c r="E41" s="897"/>
      <c r="F41" s="897"/>
      <c r="G41" s="897"/>
      <c r="H41" s="899"/>
      <c r="I41" s="901" t="str">
        <f t="shared" ref="I41:J41" si="4">I26+I32+I37+I36+I35+I33</f>
        <v>900,000</v>
      </c>
      <c r="J41" s="901" t="str">
        <f t="shared" si="4"/>
        <v>1,454,000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905" t="s">
        <v>605</v>
      </c>
      <c r="B42" s="907"/>
      <c r="C42" s="907"/>
      <c r="D42" s="907"/>
      <c r="E42" s="907"/>
      <c r="F42" s="907"/>
      <c r="G42" s="907"/>
      <c r="H42" s="909"/>
      <c r="I42" s="940" t="str">
        <f t="shared" ref="I42:J42" si="5">I20+I41</f>
        <v>2,033,728</v>
      </c>
      <c r="J42" s="941" t="str">
        <f t="shared" si="5"/>
        <v>1,659,392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49"/>
      <c r="B43" s="50"/>
      <c r="C43" s="50"/>
      <c r="D43" s="50"/>
      <c r="E43" s="50"/>
      <c r="F43" s="50"/>
      <c r="G43" s="50"/>
      <c r="H43" s="919"/>
      <c r="I43" s="943" t="str">
        <f>I42/I1</f>
        <v>166%</v>
      </c>
      <c r="J43" s="965" t="str">
        <f>J42/I2</f>
        <v>89%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customHeight="1">
      <c r="A44" s="966" t="s">
        <v>623</v>
      </c>
      <c r="B44" s="981" t="s">
        <v>626</v>
      </c>
      <c r="C44" s="5"/>
      <c r="D44" s="5"/>
      <c r="E44" s="5"/>
      <c r="F44" s="5"/>
      <c r="G44" s="5"/>
      <c r="H44" s="5"/>
      <c r="I44" s="5"/>
      <c r="J44" s="7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5">
    <mergeCell ref="A13:A15"/>
    <mergeCell ref="A20:H21"/>
    <mergeCell ref="B44:J44"/>
    <mergeCell ref="A40:H40"/>
    <mergeCell ref="A41:H41"/>
    <mergeCell ref="A42:H43"/>
    <mergeCell ref="A24:I24"/>
    <mergeCell ref="G2:H2"/>
    <mergeCell ref="E5:F5"/>
    <mergeCell ref="I2:J2"/>
    <mergeCell ref="A1:F2"/>
    <mergeCell ref="G1:H1"/>
    <mergeCell ref="I1:J1"/>
    <mergeCell ref="A3:I3"/>
    <mergeCell ref="A6:A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30.5"/>
    <col customWidth="1" min="3" max="3" width="7.25"/>
    <col customWidth="1" min="4" max="4" width="9.63"/>
    <col customWidth="1" min="5" max="6" width="8.0"/>
    <col customWidth="1" min="7" max="7" width="8.75"/>
    <col customWidth="1" min="8" max="8" width="8.0"/>
    <col customWidth="1" min="9" max="9" width="10.13"/>
    <col customWidth="1" min="10" max="10" width="10.75"/>
    <col customWidth="1" min="11" max="11" width="8.0"/>
    <col customWidth="1" min="12" max="12" width="10.13"/>
    <col customWidth="1" min="13" max="26" width="8.0"/>
  </cols>
  <sheetData>
    <row r="1" ht="18.75" customHeight="1">
      <c r="A1" s="14" t="s">
        <v>1</v>
      </c>
      <c r="B1" s="15"/>
      <c r="C1" s="15"/>
      <c r="D1" s="15"/>
      <c r="E1" s="15"/>
      <c r="F1" s="16"/>
      <c r="G1" s="17" t="s">
        <v>11</v>
      </c>
      <c r="H1" s="89"/>
      <c r="I1" s="90">
        <v>2406527.0</v>
      </c>
      <c r="J1" s="9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8.0" customHeight="1">
      <c r="A2" s="157"/>
      <c r="B2" s="221"/>
      <c r="C2" s="221"/>
      <c r="D2" s="221"/>
      <c r="E2" s="221"/>
      <c r="F2" s="300"/>
      <c r="G2" s="364" t="s">
        <v>46</v>
      </c>
      <c r="H2" s="365"/>
      <c r="I2" s="367">
        <v>2130097.0</v>
      </c>
      <c r="J2" s="36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414" t="s">
        <v>19</v>
      </c>
      <c r="B3" s="423"/>
      <c r="C3" s="423"/>
      <c r="D3" s="423"/>
      <c r="E3" s="423"/>
      <c r="F3" s="423"/>
      <c r="G3" s="423"/>
      <c r="H3" s="423"/>
      <c r="I3" s="425"/>
      <c r="J3" s="50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6.25" customHeight="1">
      <c r="A4" s="506" t="s">
        <v>26</v>
      </c>
      <c r="B4" s="508" t="s">
        <v>25</v>
      </c>
      <c r="C4" s="508" t="s">
        <v>47</v>
      </c>
      <c r="D4" s="508" t="s">
        <v>48</v>
      </c>
      <c r="E4" s="510" t="s">
        <v>64</v>
      </c>
      <c r="F4" s="91"/>
      <c r="G4" s="511" t="s">
        <v>281</v>
      </c>
      <c r="H4" s="557" t="s">
        <v>282</v>
      </c>
      <c r="I4" s="558">
        <v>2015.0</v>
      </c>
      <c r="J4" s="570">
        <v>2016.0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20" t="s">
        <v>155</v>
      </c>
      <c r="B5" s="621" t="s">
        <v>156</v>
      </c>
      <c r="C5" s="622" t="s">
        <v>157</v>
      </c>
      <c r="D5" s="621" t="s">
        <v>158</v>
      </c>
      <c r="E5" s="623">
        <v>40969.0</v>
      </c>
      <c r="F5" s="623">
        <v>42040.0</v>
      </c>
      <c r="G5" s="624">
        <v>5478260.0</v>
      </c>
      <c r="H5" s="625" t="s">
        <v>360</v>
      </c>
      <c r="I5" s="626">
        <v>1025561.0</v>
      </c>
      <c r="J5" s="626">
        <v>294677.3333333333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27" t="s">
        <v>159</v>
      </c>
      <c r="B6" s="621" t="s">
        <v>301</v>
      </c>
      <c r="C6" s="628" t="s">
        <v>361</v>
      </c>
      <c r="D6" s="621" t="s">
        <v>287</v>
      </c>
      <c r="E6" s="623">
        <v>41000.0</v>
      </c>
      <c r="F6" s="623">
        <v>42064.0</v>
      </c>
      <c r="G6" s="624" t="str">
        <f>399988-40000</f>
        <v>359,988</v>
      </c>
      <c r="H6" s="625" t="s">
        <v>360</v>
      </c>
      <c r="I6" s="626">
        <v>38441.0</v>
      </c>
      <c r="J6" s="64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627" t="s">
        <v>159</v>
      </c>
      <c r="B7" s="621" t="s">
        <v>160</v>
      </c>
      <c r="C7" s="622" t="s">
        <v>161</v>
      </c>
      <c r="D7" s="621" t="s">
        <v>162</v>
      </c>
      <c r="E7" s="623">
        <v>40909.0</v>
      </c>
      <c r="F7" s="623">
        <v>42186.0</v>
      </c>
      <c r="G7" s="624">
        <v>538698.0</v>
      </c>
      <c r="H7" s="625">
        <v>1.0</v>
      </c>
      <c r="I7" s="626">
        <v>52981.0</v>
      </c>
      <c r="J7" s="640">
        <v>0.0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27" t="s">
        <v>131</v>
      </c>
      <c r="B8" s="676" t="s">
        <v>367</v>
      </c>
      <c r="C8" s="622" t="s">
        <v>387</v>
      </c>
      <c r="D8" s="621" t="s">
        <v>386</v>
      </c>
      <c r="E8" s="623">
        <v>41760.0</v>
      </c>
      <c r="F8" s="623">
        <v>42095.0</v>
      </c>
      <c r="G8" s="624">
        <v>69775.0</v>
      </c>
      <c r="H8" s="625" t="s">
        <v>360</v>
      </c>
      <c r="I8" s="626">
        <v>14723.0</v>
      </c>
      <c r="J8" s="64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627" t="s">
        <v>159</v>
      </c>
      <c r="B9" s="621" t="s">
        <v>435</v>
      </c>
      <c r="C9" s="690" t="s">
        <v>436</v>
      </c>
      <c r="D9" s="621" t="s">
        <v>237</v>
      </c>
      <c r="E9" s="623">
        <v>41821.0</v>
      </c>
      <c r="F9" s="623">
        <v>42339.0</v>
      </c>
      <c r="G9" s="624">
        <v>0.0</v>
      </c>
      <c r="H9" s="625" t="s">
        <v>360</v>
      </c>
      <c r="I9" s="626">
        <v>0.0</v>
      </c>
      <c r="J9" s="64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627" t="s">
        <v>131</v>
      </c>
      <c r="B10" s="676" t="s">
        <v>384</v>
      </c>
      <c r="C10" s="622" t="s">
        <v>385</v>
      </c>
      <c r="D10" s="621" t="s">
        <v>386</v>
      </c>
      <c r="E10" s="623">
        <v>41760.0</v>
      </c>
      <c r="F10" s="623">
        <v>42095.0</v>
      </c>
      <c r="G10" s="624">
        <v>69775.0</v>
      </c>
      <c r="H10" s="625" t="s">
        <v>360</v>
      </c>
      <c r="I10" s="626">
        <v>31392.0</v>
      </c>
      <c r="J10" s="64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627" t="s">
        <v>131</v>
      </c>
      <c r="B11" s="676" t="s">
        <v>464</v>
      </c>
      <c r="C11" s="622" t="s">
        <v>465</v>
      </c>
      <c r="D11" s="621" t="s">
        <v>134</v>
      </c>
      <c r="E11" s="623">
        <v>42036.0</v>
      </c>
      <c r="F11" s="623">
        <v>42217.0</v>
      </c>
      <c r="G11" s="624">
        <v>36000.0</v>
      </c>
      <c r="H11" s="625" t="s">
        <v>360</v>
      </c>
      <c r="I11" s="626">
        <v>22690.0</v>
      </c>
      <c r="J11" s="64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27" t="s">
        <v>131</v>
      </c>
      <c r="B12" s="676" t="s">
        <v>466</v>
      </c>
      <c r="C12" s="622" t="s">
        <v>467</v>
      </c>
      <c r="D12" s="621" t="s">
        <v>468</v>
      </c>
      <c r="E12" s="623">
        <v>41821.0</v>
      </c>
      <c r="F12" s="623">
        <v>42186.0</v>
      </c>
      <c r="G12" s="624">
        <v>205635.0</v>
      </c>
      <c r="H12" s="625" t="s">
        <v>360</v>
      </c>
      <c r="I12" s="626">
        <v>183689.0</v>
      </c>
      <c r="J12" s="64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27" t="s">
        <v>305</v>
      </c>
      <c r="B13" s="725" t="s">
        <v>306</v>
      </c>
      <c r="C13" s="726" t="s">
        <v>499</v>
      </c>
      <c r="D13" s="725" t="s">
        <v>287</v>
      </c>
      <c r="E13" s="727">
        <v>41000.0</v>
      </c>
      <c r="F13" s="727">
        <v>42064.0</v>
      </c>
      <c r="G13" s="728">
        <v>389998.0</v>
      </c>
      <c r="H13" s="729" t="s">
        <v>360</v>
      </c>
      <c r="I13" s="626">
        <v>30374.0</v>
      </c>
      <c r="J13" s="640"/>
      <c r="K13" s="698"/>
      <c r="L13" s="698"/>
      <c r="M13" s="698"/>
      <c r="N13" s="698"/>
      <c r="O13" s="698"/>
      <c r="P13" s="698"/>
      <c r="Q13" s="698"/>
      <c r="R13" s="698"/>
      <c r="S13" s="698"/>
      <c r="T13" s="698"/>
      <c r="U13" s="698"/>
      <c r="V13" s="698"/>
      <c r="W13" s="698"/>
      <c r="X13" s="698"/>
      <c r="Y13" s="698"/>
      <c r="Z13" s="698"/>
    </row>
    <row r="14">
      <c r="A14" s="730" t="s">
        <v>163</v>
      </c>
      <c r="B14" s="676" t="s">
        <v>500</v>
      </c>
      <c r="C14" s="622" t="s">
        <v>501</v>
      </c>
      <c r="D14" s="622" t="s">
        <v>189</v>
      </c>
      <c r="E14" s="731">
        <v>42064.0</v>
      </c>
      <c r="F14" s="731">
        <v>43070.0</v>
      </c>
      <c r="G14" s="748">
        <v>648000.0</v>
      </c>
      <c r="H14" s="749" t="s">
        <v>360</v>
      </c>
      <c r="I14" s="626">
        <v>180000.0</v>
      </c>
      <c r="J14" s="640">
        <v>265000.0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20.25" customHeight="1">
      <c r="A15" s="627" t="s">
        <v>163</v>
      </c>
      <c r="B15" s="676" t="s">
        <v>164</v>
      </c>
      <c r="C15" s="622" t="s">
        <v>510</v>
      </c>
      <c r="D15" s="621" t="s">
        <v>162</v>
      </c>
      <c r="E15" s="731">
        <v>41852.0</v>
      </c>
      <c r="F15" s="731">
        <v>42887.0</v>
      </c>
      <c r="G15" s="748">
        <v>25000.0</v>
      </c>
      <c r="H15" s="749" t="s">
        <v>165</v>
      </c>
      <c r="I15" s="626">
        <v>9111.0</v>
      </c>
      <c r="J15" s="640">
        <v>9111.0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780" t="s">
        <v>163</v>
      </c>
      <c r="B16" s="725" t="s">
        <v>166</v>
      </c>
      <c r="C16" s="726" t="s">
        <v>167</v>
      </c>
      <c r="D16" s="725" t="s">
        <v>168</v>
      </c>
      <c r="E16" s="727">
        <v>41640.0</v>
      </c>
      <c r="F16" s="727">
        <v>42339.0</v>
      </c>
      <c r="G16" s="728">
        <v>331650.0</v>
      </c>
      <c r="H16" s="729">
        <v>0.8</v>
      </c>
      <c r="I16" s="626">
        <v>139827.0</v>
      </c>
      <c r="J16" s="640">
        <v>10000.0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780" t="s">
        <v>155</v>
      </c>
      <c r="B17" s="725" t="s">
        <v>536</v>
      </c>
      <c r="C17" s="726" t="s">
        <v>537</v>
      </c>
      <c r="D17" s="725" t="s">
        <v>528</v>
      </c>
      <c r="E17" s="727">
        <v>42156.0</v>
      </c>
      <c r="F17" s="727">
        <v>42370.0</v>
      </c>
      <c r="G17" s="728">
        <v>68000.0</v>
      </c>
      <c r="H17" s="729" t="s">
        <v>360</v>
      </c>
      <c r="I17" s="626">
        <v>60000.0</v>
      </c>
      <c r="J17" s="640">
        <v>9000.0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730" t="s">
        <v>538</v>
      </c>
      <c r="B18" s="676" t="s">
        <v>539</v>
      </c>
      <c r="C18" s="622" t="s">
        <v>253</v>
      </c>
      <c r="D18" s="622" t="s">
        <v>80</v>
      </c>
      <c r="E18" s="731">
        <v>42248.0</v>
      </c>
      <c r="F18" s="731">
        <v>42795.0</v>
      </c>
      <c r="G18" s="748">
        <v>1300000.0</v>
      </c>
      <c r="H18" s="749" t="s">
        <v>83</v>
      </c>
      <c r="I18" s="626">
        <v>150000.0</v>
      </c>
      <c r="J18" s="626">
        <v>700000.0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730" t="s">
        <v>131</v>
      </c>
      <c r="B19" s="676" t="s">
        <v>540</v>
      </c>
      <c r="C19" s="622" t="s">
        <v>253</v>
      </c>
      <c r="D19" s="622" t="s">
        <v>58</v>
      </c>
      <c r="E19" s="731">
        <v>42248.0</v>
      </c>
      <c r="F19" s="731">
        <v>43344.0</v>
      </c>
      <c r="G19" s="748">
        <v>719330.0</v>
      </c>
      <c r="H19" s="749">
        <v>0.0</v>
      </c>
      <c r="I19" s="626">
        <v>65000.0</v>
      </c>
      <c r="J19" s="626">
        <v>250000.0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780" t="s">
        <v>159</v>
      </c>
      <c r="B20" s="725" t="s">
        <v>541</v>
      </c>
      <c r="C20" s="726" t="s">
        <v>542</v>
      </c>
      <c r="D20" s="725" t="s">
        <v>528</v>
      </c>
      <c r="E20" s="727">
        <v>42156.0</v>
      </c>
      <c r="F20" s="727">
        <v>42430.0</v>
      </c>
      <c r="G20" s="728">
        <v>100000.0</v>
      </c>
      <c r="H20" s="729" t="s">
        <v>360</v>
      </c>
      <c r="I20" s="626">
        <v>79272.0</v>
      </c>
      <c r="J20" s="640">
        <v>20728.0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780" t="s">
        <v>105</v>
      </c>
      <c r="B21" s="791" t="s">
        <v>543</v>
      </c>
      <c r="C21" s="792" t="s">
        <v>434</v>
      </c>
      <c r="D21" s="791" t="s">
        <v>237</v>
      </c>
      <c r="E21" s="793">
        <v>42005.0</v>
      </c>
      <c r="F21" s="793">
        <v>42339.0</v>
      </c>
      <c r="G21" s="794">
        <v>222729.0</v>
      </c>
      <c r="H21" s="795" t="s">
        <v>360</v>
      </c>
      <c r="I21" s="626">
        <v>240887.0</v>
      </c>
      <c r="J21" s="64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0" customHeight="1">
      <c r="A22" s="809" t="s">
        <v>216</v>
      </c>
      <c r="B22" s="15"/>
      <c r="C22" s="15"/>
      <c r="D22" s="15"/>
      <c r="E22" s="15"/>
      <c r="F22" s="15"/>
      <c r="G22" s="15"/>
      <c r="H22" s="835"/>
      <c r="I22" s="843" t="str">
        <f t="shared" ref="I22:J22" si="1">SUM(I5:I21)</f>
        <v>2,323,948</v>
      </c>
      <c r="J22" s="869" t="str">
        <f t="shared" si="1"/>
        <v>1,558,516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157"/>
      <c r="B23" s="221"/>
      <c r="C23" s="221"/>
      <c r="D23" s="221"/>
      <c r="E23" s="221"/>
      <c r="F23" s="221"/>
      <c r="G23" s="221"/>
      <c r="H23" s="871"/>
      <c r="I23" s="873" t="str">
        <f>I22/I1</f>
        <v>97%</v>
      </c>
      <c r="J23" s="889" t="str">
        <f>J22/I2</f>
        <v>73%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6.5" customHeight="1">
      <c r="A24" s="890" t="s">
        <v>582</v>
      </c>
      <c r="B24" s="891"/>
      <c r="C24" s="891"/>
      <c r="D24" s="891"/>
      <c r="E24" s="891"/>
      <c r="F24" s="891"/>
      <c r="G24" s="891"/>
      <c r="H24" s="891"/>
      <c r="I24" s="925"/>
      <c r="J24" s="926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27.75" customHeight="1">
      <c r="A25" s="193" t="s">
        <v>366</v>
      </c>
      <c r="B25" s="677" t="s">
        <v>25</v>
      </c>
      <c r="C25" s="678" t="s">
        <v>457</v>
      </c>
      <c r="D25" s="679" t="s">
        <v>48</v>
      </c>
      <c r="E25" s="944" t="s">
        <v>458</v>
      </c>
      <c r="F25" s="945" t="s">
        <v>610</v>
      </c>
      <c r="G25" s="688" t="s">
        <v>460</v>
      </c>
      <c r="H25" s="688" t="s">
        <v>611</v>
      </c>
      <c r="I25" s="677">
        <v>2015.0</v>
      </c>
      <c r="J25" s="946">
        <v>2016.0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730" t="s">
        <v>538</v>
      </c>
      <c r="B26" s="676" t="s">
        <v>612</v>
      </c>
      <c r="C26" s="622" t="s">
        <v>503</v>
      </c>
      <c r="D26" s="622" t="s">
        <v>58</v>
      </c>
      <c r="E26" s="731">
        <v>42095.0</v>
      </c>
      <c r="F26" s="622">
        <v>36.0</v>
      </c>
      <c r="G26" s="748">
        <v>800000.0</v>
      </c>
      <c r="H26" s="749">
        <v>0.0</v>
      </c>
      <c r="I26" s="626">
        <v>0.0</v>
      </c>
      <c r="J26" s="626">
        <v>150000.0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730" t="s">
        <v>155</v>
      </c>
      <c r="B27" s="676" t="s">
        <v>613</v>
      </c>
      <c r="C27" s="622" t="s">
        <v>614</v>
      </c>
      <c r="D27" s="622" t="s">
        <v>528</v>
      </c>
      <c r="E27" s="731">
        <v>42248.0</v>
      </c>
      <c r="F27" s="622">
        <v>6.0</v>
      </c>
      <c r="G27" s="748">
        <v>35000.0</v>
      </c>
      <c r="H27" s="749"/>
      <c r="I27" s="626">
        <v>15000.0</v>
      </c>
      <c r="J27" s="626">
        <v>20000.0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730" t="s">
        <v>615</v>
      </c>
      <c r="B28" s="676" t="s">
        <v>616</v>
      </c>
      <c r="C28" s="622" t="s">
        <v>614</v>
      </c>
      <c r="D28" s="622" t="s">
        <v>528</v>
      </c>
      <c r="E28" s="731">
        <v>42248.0</v>
      </c>
      <c r="F28" s="622">
        <v>6.0</v>
      </c>
      <c r="G28" s="748">
        <v>35000.0</v>
      </c>
      <c r="H28" s="749"/>
      <c r="I28" s="626">
        <v>15000.0</v>
      </c>
      <c r="J28" s="626">
        <v>20000.0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730" t="s">
        <v>155</v>
      </c>
      <c r="B29" s="676" t="s">
        <v>617</v>
      </c>
      <c r="C29" s="622" t="s">
        <v>508</v>
      </c>
      <c r="D29" s="622" t="s">
        <v>80</v>
      </c>
      <c r="E29" s="731">
        <v>42248.0</v>
      </c>
      <c r="F29" s="622">
        <v>36.0</v>
      </c>
      <c r="G29" s="748">
        <v>800000.0</v>
      </c>
      <c r="H29" s="749" t="s">
        <v>83</v>
      </c>
      <c r="I29" s="962">
        <v>0.0</v>
      </c>
      <c r="J29" s="962">
        <v>200000.0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963" t="s">
        <v>579</v>
      </c>
      <c r="B30" s="964" t="s">
        <v>624</v>
      </c>
      <c r="C30" s="964"/>
      <c r="D30" s="964"/>
      <c r="E30" s="964"/>
      <c r="F30" s="964"/>
      <c r="G30" s="964"/>
      <c r="H30" s="964"/>
      <c r="I30" s="911" t="str">
        <f t="shared" ref="I30:J30" si="2">SUM(I19:I29)</f>
        <v>2,741,123</v>
      </c>
      <c r="J30" s="912" t="str">
        <f t="shared" si="2"/>
        <v>2,221,261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26.25" customHeight="1">
      <c r="A31" s="963" t="s">
        <v>584</v>
      </c>
      <c r="B31" s="964" t="s">
        <v>584</v>
      </c>
      <c r="C31" s="964"/>
      <c r="D31" s="964"/>
      <c r="E31" s="964"/>
      <c r="F31" s="964"/>
      <c r="G31" s="964"/>
      <c r="H31" s="964"/>
      <c r="I31" s="901" t="str">
        <f>I19+I18</f>
        <v>215,000</v>
      </c>
      <c r="J31" s="901" t="str">
        <f>J19+J29+J18</f>
        <v>1,150,000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905" t="s">
        <v>625</v>
      </c>
      <c r="B32" s="907"/>
      <c r="C32" s="907"/>
      <c r="D32" s="907"/>
      <c r="E32" s="907"/>
      <c r="F32" s="907"/>
      <c r="G32" s="907"/>
      <c r="H32" s="909"/>
      <c r="I32" s="940" t="str">
        <f>SUM(I22,I31)</f>
        <v>2,538,948</v>
      </c>
      <c r="J32" s="941" t="str">
        <f>J22+J31</f>
        <v>2,708,516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49"/>
      <c r="B33" s="50"/>
      <c r="C33" s="50"/>
      <c r="D33" s="50"/>
      <c r="E33" s="50"/>
      <c r="F33" s="50"/>
      <c r="G33" s="50"/>
      <c r="H33" s="919"/>
      <c r="I33" s="978" t="str">
        <f>I32/I1</f>
        <v>106%</v>
      </c>
      <c r="J33" s="979" t="str">
        <f>J32/I2</f>
        <v>127%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6.5" customHeight="1">
      <c r="A34" s="966" t="s">
        <v>623</v>
      </c>
      <c r="B34" s="981" t="s">
        <v>629</v>
      </c>
      <c r="C34" s="5"/>
      <c r="D34" s="5"/>
      <c r="E34" s="5"/>
      <c r="F34" s="5"/>
      <c r="G34" s="5"/>
      <c r="H34" s="5"/>
      <c r="I34" s="5"/>
      <c r="J34" s="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982"/>
      <c r="D35" s="1008"/>
      <c r="E35" s="20"/>
      <c r="F35" s="20"/>
      <c r="G35" s="21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982"/>
      <c r="D36" s="1008"/>
      <c r="E36" s="20"/>
      <c r="F36" s="20"/>
      <c r="G36" s="215"/>
      <c r="H36" s="20"/>
      <c r="I36" s="1010" t="s">
        <v>638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982"/>
      <c r="D37" s="1008"/>
      <c r="E37" s="20"/>
      <c r="F37" s="20"/>
      <c r="G37" s="21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982"/>
      <c r="D38" s="1008"/>
      <c r="E38" s="20"/>
      <c r="F38" s="20"/>
      <c r="G38" s="21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982"/>
      <c r="D39" s="1008"/>
      <c r="E39" s="20"/>
      <c r="F39" s="20"/>
      <c r="G39" s="215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982"/>
      <c r="D40" s="1008"/>
      <c r="E40" s="20"/>
      <c r="F40" s="20"/>
      <c r="G40" s="215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982"/>
      <c r="D41" s="1008"/>
      <c r="E41" s="20"/>
      <c r="F41" s="20"/>
      <c r="G41" s="21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982"/>
      <c r="D42" s="1008"/>
      <c r="E42" s="20"/>
      <c r="F42" s="20"/>
      <c r="G42" s="21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982"/>
      <c r="D43" s="1008"/>
      <c r="E43" s="20"/>
      <c r="F43" s="20"/>
      <c r="G43" s="21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982"/>
      <c r="D44" s="1008"/>
      <c r="E44" s="20"/>
      <c r="F44" s="20"/>
      <c r="G44" s="215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982"/>
      <c r="D45" s="1008"/>
      <c r="E45" s="20"/>
      <c r="F45" s="20"/>
      <c r="G45" s="215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982"/>
      <c r="D46" s="1008"/>
      <c r="E46" s="20"/>
      <c r="F46" s="20"/>
      <c r="G46" s="215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982"/>
      <c r="D47" s="1008"/>
      <c r="E47" s="20"/>
      <c r="F47" s="20"/>
      <c r="G47" s="215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982"/>
      <c r="D48" s="1008"/>
      <c r="E48" s="20"/>
      <c r="F48" s="20"/>
      <c r="G48" s="21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982"/>
      <c r="D49" s="1008"/>
      <c r="E49" s="20"/>
      <c r="F49" s="20"/>
      <c r="G49" s="215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982"/>
      <c r="D50" s="1008"/>
      <c r="E50" s="20"/>
      <c r="F50" s="20"/>
      <c r="G50" s="215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982"/>
      <c r="D51" s="1008"/>
      <c r="E51" s="20"/>
      <c r="F51" s="20"/>
      <c r="G51" s="215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982"/>
      <c r="D52" s="1008"/>
      <c r="E52" s="20"/>
      <c r="F52" s="20"/>
      <c r="G52" s="215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982"/>
      <c r="D53" s="1008"/>
      <c r="E53" s="20"/>
      <c r="F53" s="20"/>
      <c r="G53" s="215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982"/>
      <c r="D54" s="1008"/>
      <c r="E54" s="20"/>
      <c r="F54" s="20"/>
      <c r="G54" s="21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982"/>
      <c r="D55" s="1008"/>
      <c r="E55" s="20"/>
      <c r="F55" s="20"/>
      <c r="G55" s="21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982"/>
      <c r="D56" s="1008"/>
      <c r="E56" s="20"/>
      <c r="F56" s="20"/>
      <c r="G56" s="215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982"/>
      <c r="D57" s="1008"/>
      <c r="E57" s="20"/>
      <c r="F57" s="20"/>
      <c r="G57" s="215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982"/>
      <c r="D58" s="1008"/>
      <c r="E58" s="20"/>
      <c r="F58" s="20"/>
      <c r="G58" s="215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982"/>
      <c r="D59" s="1008"/>
      <c r="E59" s="20"/>
      <c r="F59" s="20"/>
      <c r="G59" s="215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982"/>
      <c r="D60" s="1008"/>
      <c r="E60" s="20"/>
      <c r="F60" s="20"/>
      <c r="G60" s="21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982"/>
      <c r="D61" s="1008"/>
      <c r="E61" s="20"/>
      <c r="F61" s="20"/>
      <c r="G61" s="21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982"/>
      <c r="D62" s="1008"/>
      <c r="E62" s="20"/>
      <c r="F62" s="20"/>
      <c r="G62" s="215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982"/>
      <c r="D63" s="1008"/>
      <c r="E63" s="20"/>
      <c r="F63" s="20"/>
      <c r="G63" s="215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982"/>
      <c r="D64" s="1008"/>
      <c r="E64" s="20"/>
      <c r="F64" s="20"/>
      <c r="G64" s="215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982"/>
      <c r="D65" s="1008"/>
      <c r="E65" s="20"/>
      <c r="F65" s="20"/>
      <c r="G65" s="215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982"/>
      <c r="D66" s="1008"/>
      <c r="E66" s="20"/>
      <c r="F66" s="20"/>
      <c r="G66" s="21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982"/>
      <c r="D67" s="1008"/>
      <c r="E67" s="20"/>
      <c r="F67" s="20"/>
      <c r="G67" s="215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982"/>
      <c r="D68" s="1008"/>
      <c r="E68" s="20"/>
      <c r="F68" s="20"/>
      <c r="G68" s="215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982"/>
      <c r="D69" s="1008"/>
      <c r="E69" s="20"/>
      <c r="F69" s="20"/>
      <c r="G69" s="215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982"/>
      <c r="D70" s="1008"/>
      <c r="E70" s="20"/>
      <c r="F70" s="20"/>
      <c r="G70" s="215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982"/>
      <c r="D71" s="1008"/>
      <c r="E71" s="20"/>
      <c r="F71" s="20"/>
      <c r="G71" s="215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982"/>
      <c r="D72" s="1008"/>
      <c r="E72" s="20"/>
      <c r="F72" s="20"/>
      <c r="G72" s="21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982"/>
      <c r="D73" s="1008"/>
      <c r="E73" s="20"/>
      <c r="F73" s="20"/>
      <c r="G73" s="21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982"/>
      <c r="D74" s="1008"/>
      <c r="E74" s="20"/>
      <c r="F74" s="20"/>
      <c r="G74" s="215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982"/>
      <c r="D75" s="1008"/>
      <c r="E75" s="20"/>
      <c r="F75" s="20"/>
      <c r="G75" s="215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982"/>
      <c r="D76" s="1008"/>
      <c r="E76" s="20"/>
      <c r="F76" s="20"/>
      <c r="G76" s="215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982"/>
      <c r="D77" s="1008"/>
      <c r="E77" s="20"/>
      <c r="F77" s="20"/>
      <c r="G77" s="215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982"/>
      <c r="D78" s="1008"/>
      <c r="E78" s="20"/>
      <c r="F78" s="20"/>
      <c r="G78" s="21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982"/>
      <c r="D79" s="1008"/>
      <c r="E79" s="20"/>
      <c r="F79" s="20"/>
      <c r="G79" s="215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982"/>
      <c r="D80" s="1008"/>
      <c r="E80" s="20"/>
      <c r="F80" s="20"/>
      <c r="G80" s="215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982"/>
      <c r="D81" s="1008"/>
      <c r="E81" s="20"/>
      <c r="F81" s="20"/>
      <c r="G81" s="215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982"/>
      <c r="D82" s="1008"/>
      <c r="E82" s="20"/>
      <c r="F82" s="20"/>
      <c r="G82" s="215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982"/>
      <c r="D83" s="1008"/>
      <c r="E83" s="20"/>
      <c r="F83" s="20"/>
      <c r="G83" s="215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982"/>
      <c r="D84" s="1008"/>
      <c r="E84" s="20"/>
      <c r="F84" s="20"/>
      <c r="G84" s="215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982"/>
      <c r="D85" s="1008"/>
      <c r="E85" s="20"/>
      <c r="F85" s="20"/>
      <c r="G85" s="215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982"/>
      <c r="D86" s="1008"/>
      <c r="E86" s="20"/>
      <c r="F86" s="20"/>
      <c r="G86" s="215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982"/>
      <c r="D87" s="1008"/>
      <c r="E87" s="20"/>
      <c r="F87" s="20"/>
      <c r="G87" s="215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982"/>
      <c r="D88" s="1008"/>
      <c r="E88" s="20"/>
      <c r="F88" s="20"/>
      <c r="G88" s="215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982"/>
      <c r="D89" s="1008"/>
      <c r="E89" s="20"/>
      <c r="F89" s="20"/>
      <c r="G89" s="215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982"/>
      <c r="D90" s="1008"/>
      <c r="E90" s="20"/>
      <c r="F90" s="20"/>
      <c r="G90" s="21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982"/>
      <c r="D91" s="1008"/>
      <c r="E91" s="20"/>
      <c r="F91" s="20"/>
      <c r="G91" s="21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982"/>
      <c r="D92" s="1008"/>
      <c r="E92" s="20"/>
      <c r="F92" s="20"/>
      <c r="G92" s="215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982"/>
      <c r="D93" s="1008"/>
      <c r="E93" s="20"/>
      <c r="F93" s="20"/>
      <c r="G93" s="215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982"/>
      <c r="D94" s="1008"/>
      <c r="E94" s="20"/>
      <c r="F94" s="20"/>
      <c r="G94" s="215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982"/>
      <c r="D95" s="1008"/>
      <c r="E95" s="20"/>
      <c r="F95" s="20"/>
      <c r="G95" s="215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982"/>
      <c r="D96" s="1008"/>
      <c r="E96" s="20"/>
      <c r="F96" s="20"/>
      <c r="G96" s="215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982"/>
      <c r="D97" s="1008"/>
      <c r="E97" s="20"/>
      <c r="F97" s="20"/>
      <c r="G97" s="215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982"/>
      <c r="D98" s="1008"/>
      <c r="E98" s="20"/>
      <c r="F98" s="20"/>
      <c r="G98" s="215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982"/>
      <c r="D99" s="1008"/>
      <c r="E99" s="20"/>
      <c r="F99" s="20"/>
      <c r="G99" s="215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982"/>
      <c r="D100" s="1008"/>
      <c r="E100" s="20"/>
      <c r="F100" s="20"/>
      <c r="G100" s="215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982"/>
      <c r="D101" s="1008"/>
      <c r="E101" s="20"/>
      <c r="F101" s="20"/>
      <c r="G101" s="215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982"/>
      <c r="D102" s="1008"/>
      <c r="E102" s="20"/>
      <c r="F102" s="20"/>
      <c r="G102" s="215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982"/>
      <c r="D103" s="1008"/>
      <c r="E103" s="20"/>
      <c r="F103" s="20"/>
      <c r="G103" s="215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982"/>
      <c r="D104" s="1008"/>
      <c r="E104" s="20"/>
      <c r="F104" s="20"/>
      <c r="G104" s="215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982"/>
      <c r="D105" s="1008"/>
      <c r="E105" s="20"/>
      <c r="F105" s="20"/>
      <c r="G105" s="215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982"/>
      <c r="D106" s="1008"/>
      <c r="E106" s="20"/>
      <c r="F106" s="20"/>
      <c r="G106" s="215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982"/>
      <c r="D107" s="1008"/>
      <c r="E107" s="20"/>
      <c r="F107" s="20"/>
      <c r="G107" s="215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982"/>
      <c r="D108" s="1008"/>
      <c r="E108" s="20"/>
      <c r="F108" s="20"/>
      <c r="G108" s="215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982"/>
      <c r="D109" s="1008"/>
      <c r="E109" s="20"/>
      <c r="F109" s="20"/>
      <c r="G109" s="215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982"/>
      <c r="D110" s="1008"/>
      <c r="E110" s="20"/>
      <c r="F110" s="20"/>
      <c r="G110" s="215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982"/>
      <c r="D111" s="1008"/>
      <c r="E111" s="20"/>
      <c r="F111" s="20"/>
      <c r="G111" s="215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982"/>
      <c r="D112" s="1008"/>
      <c r="E112" s="20"/>
      <c r="F112" s="20"/>
      <c r="G112" s="215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982"/>
      <c r="D113" s="1008"/>
      <c r="E113" s="20"/>
      <c r="F113" s="20"/>
      <c r="G113" s="215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982"/>
      <c r="D114" s="1008"/>
      <c r="E114" s="20"/>
      <c r="F114" s="20"/>
      <c r="G114" s="215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982"/>
      <c r="D115" s="1008"/>
      <c r="E115" s="20"/>
      <c r="F115" s="20"/>
      <c r="G115" s="215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982"/>
      <c r="D116" s="1008"/>
      <c r="E116" s="20"/>
      <c r="F116" s="20"/>
      <c r="G116" s="215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982"/>
      <c r="D117" s="1008"/>
      <c r="E117" s="20"/>
      <c r="F117" s="20"/>
      <c r="G117" s="215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982"/>
      <c r="D118" s="1008"/>
      <c r="E118" s="20"/>
      <c r="F118" s="20"/>
      <c r="G118" s="215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982"/>
      <c r="D119" s="1008"/>
      <c r="E119" s="20"/>
      <c r="F119" s="20"/>
      <c r="G119" s="215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982"/>
      <c r="D120" s="1008"/>
      <c r="E120" s="20"/>
      <c r="F120" s="20"/>
      <c r="G120" s="215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982"/>
      <c r="D121" s="1008"/>
      <c r="E121" s="20"/>
      <c r="F121" s="20"/>
      <c r="G121" s="215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982"/>
      <c r="D122" s="1008"/>
      <c r="E122" s="20"/>
      <c r="F122" s="20"/>
      <c r="G122" s="215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982"/>
      <c r="D123" s="1008"/>
      <c r="E123" s="20"/>
      <c r="F123" s="20"/>
      <c r="G123" s="215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982"/>
      <c r="D124" s="1008"/>
      <c r="E124" s="20"/>
      <c r="F124" s="20"/>
      <c r="G124" s="215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982"/>
      <c r="D125" s="1008"/>
      <c r="E125" s="20"/>
      <c r="F125" s="20"/>
      <c r="G125" s="215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982"/>
      <c r="D126" s="1008"/>
      <c r="E126" s="20"/>
      <c r="F126" s="20"/>
      <c r="G126" s="215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982"/>
      <c r="D127" s="1008"/>
      <c r="E127" s="20"/>
      <c r="F127" s="20"/>
      <c r="G127" s="215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982"/>
      <c r="D128" s="1008"/>
      <c r="E128" s="20"/>
      <c r="F128" s="20"/>
      <c r="G128" s="215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982"/>
      <c r="D129" s="1008"/>
      <c r="E129" s="20"/>
      <c r="F129" s="20"/>
      <c r="G129" s="215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982"/>
      <c r="D130" s="1008"/>
      <c r="E130" s="20"/>
      <c r="F130" s="20"/>
      <c r="G130" s="215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982"/>
      <c r="D131" s="1008"/>
      <c r="E131" s="20"/>
      <c r="F131" s="20"/>
      <c r="G131" s="215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982"/>
      <c r="D132" s="1008"/>
      <c r="E132" s="20"/>
      <c r="F132" s="20"/>
      <c r="G132" s="215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982"/>
      <c r="D133" s="1008"/>
      <c r="E133" s="20"/>
      <c r="F133" s="20"/>
      <c r="G133" s="215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982"/>
      <c r="D134" s="1008"/>
      <c r="E134" s="20"/>
      <c r="F134" s="20"/>
      <c r="G134" s="215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982"/>
      <c r="D135" s="1008"/>
      <c r="E135" s="20"/>
      <c r="F135" s="20"/>
      <c r="G135" s="215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982"/>
      <c r="D136" s="1008"/>
      <c r="E136" s="20"/>
      <c r="F136" s="20"/>
      <c r="G136" s="215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982"/>
      <c r="D137" s="1008"/>
      <c r="E137" s="20"/>
      <c r="F137" s="20"/>
      <c r="G137" s="215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982"/>
      <c r="D138" s="1008"/>
      <c r="E138" s="20"/>
      <c r="F138" s="20"/>
      <c r="G138" s="215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982"/>
      <c r="D139" s="1008"/>
      <c r="E139" s="20"/>
      <c r="F139" s="20"/>
      <c r="G139" s="215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982"/>
      <c r="D140" s="1008"/>
      <c r="E140" s="20"/>
      <c r="F140" s="20"/>
      <c r="G140" s="215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982"/>
      <c r="D141" s="1008"/>
      <c r="E141" s="20"/>
      <c r="F141" s="20"/>
      <c r="G141" s="215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982"/>
      <c r="D142" s="1008"/>
      <c r="E142" s="20"/>
      <c r="F142" s="20"/>
      <c r="G142" s="215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982"/>
      <c r="D143" s="1008"/>
      <c r="E143" s="20"/>
      <c r="F143" s="20"/>
      <c r="G143" s="215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982"/>
      <c r="D144" s="1008"/>
      <c r="E144" s="20"/>
      <c r="F144" s="20"/>
      <c r="G144" s="215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982"/>
      <c r="D145" s="1008"/>
      <c r="E145" s="20"/>
      <c r="F145" s="20"/>
      <c r="G145" s="215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982"/>
      <c r="D146" s="1008"/>
      <c r="E146" s="20"/>
      <c r="F146" s="20"/>
      <c r="G146" s="215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982"/>
      <c r="D147" s="1008"/>
      <c r="E147" s="20"/>
      <c r="F147" s="20"/>
      <c r="G147" s="215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982"/>
      <c r="D148" s="1008"/>
      <c r="E148" s="20"/>
      <c r="F148" s="20"/>
      <c r="G148" s="215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982"/>
      <c r="D149" s="1008"/>
      <c r="E149" s="20"/>
      <c r="F149" s="20"/>
      <c r="G149" s="215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982"/>
      <c r="D150" s="1008"/>
      <c r="E150" s="20"/>
      <c r="F150" s="20"/>
      <c r="G150" s="215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982"/>
      <c r="D151" s="1008"/>
      <c r="E151" s="20"/>
      <c r="F151" s="20"/>
      <c r="G151" s="21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982"/>
      <c r="D152" s="1008"/>
      <c r="E152" s="20"/>
      <c r="F152" s="20"/>
      <c r="G152" s="215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982"/>
      <c r="D153" s="1008"/>
      <c r="E153" s="20"/>
      <c r="F153" s="20"/>
      <c r="G153" s="215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982"/>
      <c r="D154" s="1008"/>
      <c r="E154" s="20"/>
      <c r="F154" s="20"/>
      <c r="G154" s="215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982"/>
      <c r="D155" s="1008"/>
      <c r="E155" s="20"/>
      <c r="F155" s="20"/>
      <c r="G155" s="215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982"/>
      <c r="D156" s="1008"/>
      <c r="E156" s="20"/>
      <c r="F156" s="20"/>
      <c r="G156" s="215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982"/>
      <c r="D157" s="1008"/>
      <c r="E157" s="20"/>
      <c r="F157" s="20"/>
      <c r="G157" s="215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982"/>
      <c r="D158" s="1008"/>
      <c r="E158" s="20"/>
      <c r="F158" s="20"/>
      <c r="G158" s="215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982"/>
      <c r="D159" s="1008"/>
      <c r="E159" s="20"/>
      <c r="F159" s="20"/>
      <c r="G159" s="215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982"/>
      <c r="D160" s="1008"/>
      <c r="E160" s="20"/>
      <c r="F160" s="20"/>
      <c r="G160" s="215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982"/>
      <c r="D161" s="1008"/>
      <c r="E161" s="20"/>
      <c r="F161" s="20"/>
      <c r="G161" s="215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982"/>
      <c r="D162" s="1008"/>
      <c r="E162" s="20"/>
      <c r="F162" s="20"/>
      <c r="G162" s="215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982"/>
      <c r="D163" s="1008"/>
      <c r="E163" s="20"/>
      <c r="F163" s="20"/>
      <c r="G163" s="215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982"/>
      <c r="D164" s="1008"/>
      <c r="E164" s="20"/>
      <c r="F164" s="20"/>
      <c r="G164" s="215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982"/>
      <c r="D165" s="1008"/>
      <c r="E165" s="20"/>
      <c r="F165" s="20"/>
      <c r="G165" s="215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982"/>
      <c r="D166" s="1008"/>
      <c r="E166" s="20"/>
      <c r="F166" s="20"/>
      <c r="G166" s="215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982"/>
      <c r="D167" s="1008"/>
      <c r="E167" s="20"/>
      <c r="F167" s="20"/>
      <c r="G167" s="215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982"/>
      <c r="D168" s="1008"/>
      <c r="E168" s="20"/>
      <c r="F168" s="20"/>
      <c r="G168" s="215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982"/>
      <c r="D169" s="1008"/>
      <c r="E169" s="20"/>
      <c r="F169" s="20"/>
      <c r="G169" s="215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982"/>
      <c r="D170" s="1008"/>
      <c r="E170" s="20"/>
      <c r="F170" s="20"/>
      <c r="G170" s="215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982"/>
      <c r="D171" s="1008"/>
      <c r="E171" s="20"/>
      <c r="F171" s="20"/>
      <c r="G171" s="215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982"/>
      <c r="D172" s="1008"/>
      <c r="E172" s="20"/>
      <c r="F172" s="20"/>
      <c r="G172" s="215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982"/>
      <c r="D173" s="1008"/>
      <c r="E173" s="20"/>
      <c r="F173" s="20"/>
      <c r="G173" s="215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982"/>
      <c r="D174" s="1008"/>
      <c r="E174" s="20"/>
      <c r="F174" s="20"/>
      <c r="G174" s="215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982"/>
      <c r="D175" s="1008"/>
      <c r="E175" s="20"/>
      <c r="F175" s="20"/>
      <c r="G175" s="215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982"/>
      <c r="D176" s="1008"/>
      <c r="E176" s="20"/>
      <c r="F176" s="20"/>
      <c r="G176" s="215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982"/>
      <c r="D177" s="1008"/>
      <c r="E177" s="20"/>
      <c r="F177" s="20"/>
      <c r="G177" s="215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982"/>
      <c r="D178" s="1008"/>
      <c r="E178" s="20"/>
      <c r="F178" s="20"/>
      <c r="G178" s="215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982"/>
      <c r="D179" s="1008"/>
      <c r="E179" s="20"/>
      <c r="F179" s="20"/>
      <c r="G179" s="215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982"/>
      <c r="D180" s="1008"/>
      <c r="E180" s="20"/>
      <c r="F180" s="20"/>
      <c r="G180" s="215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982"/>
      <c r="D181" s="1008"/>
      <c r="E181" s="20"/>
      <c r="F181" s="20"/>
      <c r="G181" s="21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982"/>
      <c r="D182" s="1008"/>
      <c r="E182" s="20"/>
      <c r="F182" s="20"/>
      <c r="G182" s="215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982"/>
      <c r="D183" s="1008"/>
      <c r="E183" s="20"/>
      <c r="F183" s="20"/>
      <c r="G183" s="215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982"/>
      <c r="D184" s="1008"/>
      <c r="E184" s="20"/>
      <c r="F184" s="20"/>
      <c r="G184" s="215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982"/>
      <c r="D185" s="1008"/>
      <c r="E185" s="20"/>
      <c r="F185" s="20"/>
      <c r="G185" s="215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982"/>
      <c r="D186" s="1008"/>
      <c r="E186" s="20"/>
      <c r="F186" s="20"/>
      <c r="G186" s="215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982"/>
      <c r="D187" s="1008"/>
      <c r="E187" s="20"/>
      <c r="F187" s="20"/>
      <c r="G187" s="215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982"/>
      <c r="D188" s="1008"/>
      <c r="E188" s="20"/>
      <c r="F188" s="20"/>
      <c r="G188" s="215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982"/>
      <c r="D189" s="1008"/>
      <c r="E189" s="20"/>
      <c r="F189" s="20"/>
      <c r="G189" s="215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982"/>
      <c r="D190" s="1008"/>
      <c r="E190" s="20"/>
      <c r="F190" s="20"/>
      <c r="G190" s="215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982"/>
      <c r="D191" s="1008"/>
      <c r="E191" s="20"/>
      <c r="F191" s="20"/>
      <c r="G191" s="215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982"/>
      <c r="D192" s="1008"/>
      <c r="E192" s="20"/>
      <c r="F192" s="20"/>
      <c r="G192" s="215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982"/>
      <c r="D193" s="1008"/>
      <c r="E193" s="20"/>
      <c r="F193" s="20"/>
      <c r="G193" s="215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982"/>
      <c r="D194" s="1008"/>
      <c r="E194" s="20"/>
      <c r="F194" s="20"/>
      <c r="G194" s="215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982"/>
      <c r="D195" s="1008"/>
      <c r="E195" s="20"/>
      <c r="F195" s="20"/>
      <c r="G195" s="215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982"/>
      <c r="D196" s="1008"/>
      <c r="E196" s="20"/>
      <c r="F196" s="20"/>
      <c r="G196" s="215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982"/>
      <c r="D197" s="1008"/>
      <c r="E197" s="20"/>
      <c r="F197" s="20"/>
      <c r="G197" s="215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982"/>
      <c r="D198" s="1008"/>
      <c r="E198" s="20"/>
      <c r="F198" s="20"/>
      <c r="G198" s="215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982"/>
      <c r="D199" s="1008"/>
      <c r="E199" s="20"/>
      <c r="F199" s="20"/>
      <c r="G199" s="215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982"/>
      <c r="D200" s="1008"/>
      <c r="E200" s="20"/>
      <c r="F200" s="20"/>
      <c r="G200" s="215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982"/>
      <c r="D201" s="1008"/>
      <c r="E201" s="20"/>
      <c r="F201" s="20"/>
      <c r="G201" s="215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982"/>
      <c r="D202" s="1008"/>
      <c r="E202" s="20"/>
      <c r="F202" s="20"/>
      <c r="G202" s="215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982"/>
      <c r="D203" s="1008"/>
      <c r="E203" s="20"/>
      <c r="F203" s="20"/>
      <c r="G203" s="215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982"/>
      <c r="D204" s="1008"/>
      <c r="E204" s="20"/>
      <c r="F204" s="20"/>
      <c r="G204" s="215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982"/>
      <c r="D205" s="1008"/>
      <c r="E205" s="20"/>
      <c r="F205" s="20"/>
      <c r="G205" s="215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982"/>
      <c r="D206" s="1008"/>
      <c r="E206" s="20"/>
      <c r="F206" s="20"/>
      <c r="G206" s="215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982"/>
      <c r="D207" s="1008"/>
      <c r="E207" s="20"/>
      <c r="F207" s="20"/>
      <c r="G207" s="215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982"/>
      <c r="D208" s="1008"/>
      <c r="E208" s="20"/>
      <c r="F208" s="20"/>
      <c r="G208" s="215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982"/>
      <c r="D209" s="1008"/>
      <c r="E209" s="20"/>
      <c r="F209" s="20"/>
      <c r="G209" s="215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982"/>
      <c r="D210" s="1008"/>
      <c r="E210" s="20"/>
      <c r="F210" s="20"/>
      <c r="G210" s="215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982"/>
      <c r="D211" s="1008"/>
      <c r="E211" s="20"/>
      <c r="F211" s="20"/>
      <c r="G211" s="21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982"/>
      <c r="D212" s="1008"/>
      <c r="E212" s="20"/>
      <c r="F212" s="20"/>
      <c r="G212" s="215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982"/>
      <c r="D213" s="1008"/>
      <c r="E213" s="20"/>
      <c r="F213" s="20"/>
      <c r="G213" s="215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982"/>
      <c r="D214" s="1008"/>
      <c r="E214" s="20"/>
      <c r="F214" s="20"/>
      <c r="G214" s="215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982"/>
      <c r="D215" s="1008"/>
      <c r="E215" s="20"/>
      <c r="F215" s="20"/>
      <c r="G215" s="215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982"/>
      <c r="D216" s="1008"/>
      <c r="E216" s="20"/>
      <c r="F216" s="20"/>
      <c r="G216" s="215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982"/>
      <c r="D217" s="1008"/>
      <c r="E217" s="20"/>
      <c r="F217" s="20"/>
      <c r="G217" s="215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982"/>
      <c r="D218" s="1008"/>
      <c r="E218" s="20"/>
      <c r="F218" s="20"/>
      <c r="G218" s="215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982"/>
      <c r="D219" s="1008"/>
      <c r="E219" s="20"/>
      <c r="F219" s="20"/>
      <c r="G219" s="215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982"/>
      <c r="D220" s="1008"/>
      <c r="E220" s="20"/>
      <c r="F220" s="20"/>
      <c r="G220" s="215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982"/>
      <c r="D221" s="1008"/>
      <c r="E221" s="20"/>
      <c r="F221" s="20"/>
      <c r="G221" s="215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982"/>
      <c r="D222" s="1008"/>
      <c r="E222" s="20"/>
      <c r="F222" s="20"/>
      <c r="G222" s="215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982"/>
      <c r="D223" s="1008"/>
      <c r="E223" s="20"/>
      <c r="F223" s="20"/>
      <c r="G223" s="215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982"/>
      <c r="D224" s="1008"/>
      <c r="E224" s="20"/>
      <c r="F224" s="20"/>
      <c r="G224" s="215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982"/>
      <c r="D225" s="1008"/>
      <c r="E225" s="20"/>
      <c r="F225" s="20"/>
      <c r="G225" s="215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982"/>
      <c r="D226" s="1008"/>
      <c r="E226" s="20"/>
      <c r="F226" s="20"/>
      <c r="G226" s="215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982"/>
      <c r="D227" s="1008"/>
      <c r="E227" s="20"/>
      <c r="F227" s="20"/>
      <c r="G227" s="215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982"/>
      <c r="D228" s="1008"/>
      <c r="E228" s="20"/>
      <c r="F228" s="20"/>
      <c r="G228" s="215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982"/>
      <c r="D229" s="1008"/>
      <c r="E229" s="20"/>
      <c r="F229" s="20"/>
      <c r="G229" s="215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982"/>
      <c r="D230" s="1008"/>
      <c r="E230" s="20"/>
      <c r="F230" s="20"/>
      <c r="G230" s="215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982"/>
      <c r="D231" s="1008"/>
      <c r="E231" s="20"/>
      <c r="F231" s="20"/>
      <c r="G231" s="215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982"/>
      <c r="D232" s="1008"/>
      <c r="E232" s="20"/>
      <c r="F232" s="20"/>
      <c r="G232" s="215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982"/>
      <c r="D233" s="1008"/>
      <c r="E233" s="20"/>
      <c r="F233" s="20"/>
      <c r="G233" s="215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982"/>
      <c r="D234" s="1008"/>
      <c r="E234" s="20"/>
      <c r="F234" s="20"/>
      <c r="G234" s="215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982"/>
      <c r="D235" s="1008"/>
      <c r="E235" s="20"/>
      <c r="F235" s="20"/>
      <c r="G235" s="215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982"/>
      <c r="D236" s="1008"/>
      <c r="E236" s="20"/>
      <c r="F236" s="20"/>
      <c r="G236" s="215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982"/>
      <c r="D237" s="1008"/>
      <c r="E237" s="20"/>
      <c r="F237" s="20"/>
      <c r="G237" s="215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982"/>
      <c r="D238" s="1008"/>
      <c r="E238" s="20"/>
      <c r="F238" s="20"/>
      <c r="G238" s="215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982"/>
      <c r="D239" s="1008"/>
      <c r="E239" s="20"/>
      <c r="F239" s="20"/>
      <c r="G239" s="215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982"/>
      <c r="D240" s="1008"/>
      <c r="E240" s="20"/>
      <c r="F240" s="20"/>
      <c r="G240" s="215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982"/>
      <c r="D241" s="1008"/>
      <c r="E241" s="20"/>
      <c r="F241" s="20"/>
      <c r="G241" s="215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982"/>
      <c r="D242" s="1008"/>
      <c r="E242" s="20"/>
      <c r="F242" s="20"/>
      <c r="G242" s="215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982"/>
      <c r="D243" s="1008"/>
      <c r="E243" s="20"/>
      <c r="F243" s="20"/>
      <c r="G243" s="215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982"/>
      <c r="D244" s="1008"/>
      <c r="E244" s="20"/>
      <c r="F244" s="20"/>
      <c r="G244" s="215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982"/>
      <c r="D245" s="1008"/>
      <c r="E245" s="20"/>
      <c r="F245" s="20"/>
      <c r="G245" s="215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982"/>
      <c r="D246" s="1008"/>
      <c r="E246" s="20"/>
      <c r="F246" s="20"/>
      <c r="G246" s="215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982"/>
      <c r="D247" s="1008"/>
      <c r="E247" s="20"/>
      <c r="F247" s="20"/>
      <c r="G247" s="215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982"/>
      <c r="D248" s="1008"/>
      <c r="E248" s="20"/>
      <c r="F248" s="20"/>
      <c r="G248" s="215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982"/>
      <c r="D249" s="1008"/>
      <c r="E249" s="20"/>
      <c r="F249" s="20"/>
      <c r="G249" s="215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982"/>
      <c r="D250" s="1008"/>
      <c r="E250" s="20"/>
      <c r="F250" s="20"/>
      <c r="G250" s="215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982"/>
      <c r="D251" s="1008"/>
      <c r="E251" s="20"/>
      <c r="F251" s="20"/>
      <c r="G251" s="215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982"/>
      <c r="D252" s="1008"/>
      <c r="E252" s="20"/>
      <c r="F252" s="20"/>
      <c r="G252" s="215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982"/>
      <c r="D253" s="1008"/>
      <c r="E253" s="20"/>
      <c r="F253" s="20"/>
      <c r="G253" s="215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982"/>
      <c r="D254" s="1008"/>
      <c r="E254" s="20"/>
      <c r="F254" s="20"/>
      <c r="G254" s="215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982"/>
      <c r="D255" s="1008"/>
      <c r="E255" s="20"/>
      <c r="F255" s="20"/>
      <c r="G255" s="215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982"/>
      <c r="D256" s="1008"/>
      <c r="E256" s="20"/>
      <c r="F256" s="20"/>
      <c r="G256" s="215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982"/>
      <c r="D257" s="1008"/>
      <c r="E257" s="20"/>
      <c r="F257" s="20"/>
      <c r="G257" s="215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982"/>
      <c r="D258" s="1008"/>
      <c r="E258" s="20"/>
      <c r="F258" s="20"/>
      <c r="G258" s="215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982"/>
      <c r="D259" s="1008"/>
      <c r="E259" s="20"/>
      <c r="F259" s="20"/>
      <c r="G259" s="215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982"/>
      <c r="D260" s="1008"/>
      <c r="E260" s="20"/>
      <c r="F260" s="20"/>
      <c r="G260" s="215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982"/>
      <c r="D261" s="1008"/>
      <c r="E261" s="20"/>
      <c r="F261" s="20"/>
      <c r="G261" s="215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982"/>
      <c r="D262" s="1008"/>
      <c r="E262" s="20"/>
      <c r="F262" s="20"/>
      <c r="G262" s="215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982"/>
      <c r="D263" s="1008"/>
      <c r="E263" s="20"/>
      <c r="F263" s="20"/>
      <c r="G263" s="215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982"/>
      <c r="D264" s="1008"/>
      <c r="E264" s="20"/>
      <c r="F264" s="20"/>
      <c r="G264" s="215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982"/>
      <c r="D265" s="1008"/>
      <c r="E265" s="20"/>
      <c r="F265" s="20"/>
      <c r="G265" s="215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982"/>
      <c r="D266" s="1008"/>
      <c r="E266" s="20"/>
      <c r="F266" s="20"/>
      <c r="G266" s="215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982"/>
      <c r="D267" s="1008"/>
      <c r="E267" s="20"/>
      <c r="F267" s="20"/>
      <c r="G267" s="215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982"/>
      <c r="D268" s="1008"/>
      <c r="E268" s="20"/>
      <c r="F268" s="20"/>
      <c r="G268" s="215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982"/>
      <c r="D269" s="1008"/>
      <c r="E269" s="20"/>
      <c r="F269" s="20"/>
      <c r="G269" s="215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982"/>
      <c r="D270" s="1008"/>
      <c r="E270" s="20"/>
      <c r="F270" s="20"/>
      <c r="G270" s="215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982"/>
      <c r="D271" s="1008"/>
      <c r="E271" s="20"/>
      <c r="F271" s="20"/>
      <c r="G271" s="215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982"/>
      <c r="D272" s="1008"/>
      <c r="E272" s="20"/>
      <c r="F272" s="20"/>
      <c r="G272" s="215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982"/>
      <c r="D273" s="1008"/>
      <c r="E273" s="20"/>
      <c r="F273" s="20"/>
      <c r="G273" s="215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982"/>
      <c r="D274" s="1008"/>
      <c r="E274" s="20"/>
      <c r="F274" s="20"/>
      <c r="G274" s="215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982"/>
      <c r="D275" s="1008"/>
      <c r="E275" s="20"/>
      <c r="F275" s="20"/>
      <c r="G275" s="215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982"/>
      <c r="D276" s="1008"/>
      <c r="E276" s="20"/>
      <c r="F276" s="20"/>
      <c r="G276" s="215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982"/>
      <c r="D277" s="1008"/>
      <c r="E277" s="20"/>
      <c r="F277" s="20"/>
      <c r="G277" s="215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982"/>
      <c r="D278" s="1008"/>
      <c r="E278" s="20"/>
      <c r="F278" s="20"/>
      <c r="G278" s="215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982"/>
      <c r="D279" s="1008"/>
      <c r="E279" s="20"/>
      <c r="F279" s="20"/>
      <c r="G279" s="215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982"/>
      <c r="D280" s="1008"/>
      <c r="E280" s="20"/>
      <c r="F280" s="20"/>
      <c r="G280" s="215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982"/>
      <c r="D281" s="1008"/>
      <c r="E281" s="20"/>
      <c r="F281" s="20"/>
      <c r="G281" s="215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982"/>
      <c r="D282" s="1008"/>
      <c r="E282" s="20"/>
      <c r="F282" s="20"/>
      <c r="G282" s="215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982"/>
      <c r="D283" s="1008"/>
      <c r="E283" s="20"/>
      <c r="F283" s="20"/>
      <c r="G283" s="215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982"/>
      <c r="D284" s="1008"/>
      <c r="E284" s="20"/>
      <c r="F284" s="20"/>
      <c r="G284" s="215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982"/>
      <c r="D285" s="1008"/>
      <c r="E285" s="20"/>
      <c r="F285" s="20"/>
      <c r="G285" s="215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982"/>
      <c r="D286" s="1008"/>
      <c r="E286" s="20"/>
      <c r="F286" s="20"/>
      <c r="G286" s="215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982"/>
      <c r="D287" s="1008"/>
      <c r="E287" s="20"/>
      <c r="F287" s="20"/>
      <c r="G287" s="215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982"/>
      <c r="D288" s="1008"/>
      <c r="E288" s="20"/>
      <c r="F288" s="20"/>
      <c r="G288" s="215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982"/>
      <c r="D289" s="1008"/>
      <c r="E289" s="20"/>
      <c r="F289" s="20"/>
      <c r="G289" s="215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982"/>
      <c r="D290" s="1008"/>
      <c r="E290" s="20"/>
      <c r="F290" s="20"/>
      <c r="G290" s="215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982"/>
      <c r="D291" s="1008"/>
      <c r="E291" s="20"/>
      <c r="F291" s="20"/>
      <c r="G291" s="215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982"/>
      <c r="D292" s="1008"/>
      <c r="E292" s="20"/>
      <c r="F292" s="20"/>
      <c r="G292" s="215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982"/>
      <c r="D293" s="1008"/>
      <c r="E293" s="20"/>
      <c r="F293" s="20"/>
      <c r="G293" s="215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982"/>
      <c r="D294" s="1008"/>
      <c r="E294" s="20"/>
      <c r="F294" s="20"/>
      <c r="G294" s="215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982"/>
      <c r="D295" s="1008"/>
      <c r="E295" s="20"/>
      <c r="F295" s="20"/>
      <c r="G295" s="215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982"/>
      <c r="D296" s="1008"/>
      <c r="E296" s="20"/>
      <c r="F296" s="20"/>
      <c r="G296" s="215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982"/>
      <c r="D297" s="1008"/>
      <c r="E297" s="20"/>
      <c r="F297" s="20"/>
      <c r="G297" s="215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982"/>
      <c r="D298" s="1008"/>
      <c r="E298" s="20"/>
      <c r="F298" s="20"/>
      <c r="G298" s="215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982"/>
      <c r="D299" s="1008"/>
      <c r="E299" s="20"/>
      <c r="F299" s="20"/>
      <c r="G299" s="215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982"/>
      <c r="D300" s="1008"/>
      <c r="E300" s="20"/>
      <c r="F300" s="20"/>
      <c r="G300" s="215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982"/>
      <c r="D301" s="1008"/>
      <c r="E301" s="20"/>
      <c r="F301" s="20"/>
      <c r="G301" s="215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982"/>
      <c r="D302" s="1008"/>
      <c r="E302" s="20"/>
      <c r="F302" s="20"/>
      <c r="G302" s="215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982"/>
      <c r="D303" s="1008"/>
      <c r="E303" s="20"/>
      <c r="F303" s="20"/>
      <c r="G303" s="215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982"/>
      <c r="D304" s="1008"/>
      <c r="E304" s="20"/>
      <c r="F304" s="20"/>
      <c r="G304" s="215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982"/>
      <c r="D305" s="1008"/>
      <c r="E305" s="20"/>
      <c r="F305" s="20"/>
      <c r="G305" s="215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982"/>
      <c r="D306" s="1008"/>
      <c r="E306" s="20"/>
      <c r="F306" s="20"/>
      <c r="G306" s="215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982"/>
      <c r="D307" s="1008"/>
      <c r="E307" s="20"/>
      <c r="F307" s="20"/>
      <c r="G307" s="215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982"/>
      <c r="D308" s="1008"/>
      <c r="E308" s="20"/>
      <c r="F308" s="20"/>
      <c r="G308" s="215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982"/>
      <c r="D309" s="1008"/>
      <c r="E309" s="20"/>
      <c r="F309" s="20"/>
      <c r="G309" s="215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982"/>
      <c r="D310" s="1008"/>
      <c r="E310" s="20"/>
      <c r="F310" s="20"/>
      <c r="G310" s="215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982"/>
      <c r="D311" s="1008"/>
      <c r="E311" s="20"/>
      <c r="F311" s="20"/>
      <c r="G311" s="215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982"/>
      <c r="D312" s="1008"/>
      <c r="E312" s="20"/>
      <c r="F312" s="20"/>
      <c r="G312" s="215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982"/>
      <c r="D313" s="1008"/>
      <c r="E313" s="20"/>
      <c r="F313" s="20"/>
      <c r="G313" s="215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982"/>
      <c r="D314" s="1008"/>
      <c r="E314" s="20"/>
      <c r="F314" s="20"/>
      <c r="G314" s="215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982"/>
      <c r="D315" s="1008"/>
      <c r="E315" s="20"/>
      <c r="F315" s="20"/>
      <c r="G315" s="215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982"/>
      <c r="D316" s="1008"/>
      <c r="E316" s="20"/>
      <c r="F316" s="20"/>
      <c r="G316" s="215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982"/>
      <c r="D317" s="1008"/>
      <c r="E317" s="20"/>
      <c r="F317" s="20"/>
      <c r="G317" s="215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982"/>
      <c r="D318" s="1008"/>
      <c r="E318" s="20"/>
      <c r="F318" s="20"/>
      <c r="G318" s="215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982"/>
      <c r="D319" s="1008"/>
      <c r="E319" s="20"/>
      <c r="F319" s="20"/>
      <c r="G319" s="215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982"/>
      <c r="D320" s="1008"/>
      <c r="E320" s="20"/>
      <c r="F320" s="20"/>
      <c r="G320" s="215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982"/>
      <c r="D321" s="1008"/>
      <c r="E321" s="20"/>
      <c r="F321" s="20"/>
      <c r="G321" s="215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982"/>
      <c r="D322" s="1008"/>
      <c r="E322" s="20"/>
      <c r="F322" s="20"/>
      <c r="G322" s="215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982"/>
      <c r="D323" s="1008"/>
      <c r="E323" s="20"/>
      <c r="F323" s="20"/>
      <c r="G323" s="215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982"/>
      <c r="D324" s="1008"/>
      <c r="E324" s="20"/>
      <c r="F324" s="20"/>
      <c r="G324" s="21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982"/>
      <c r="D325" s="1008"/>
      <c r="E325" s="20"/>
      <c r="F325" s="20"/>
      <c r="G325" s="215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982"/>
      <c r="D326" s="1008"/>
      <c r="E326" s="20"/>
      <c r="F326" s="20"/>
      <c r="G326" s="215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982"/>
      <c r="D327" s="1008"/>
      <c r="E327" s="20"/>
      <c r="F327" s="20"/>
      <c r="G327" s="215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982"/>
      <c r="D328" s="1008"/>
      <c r="E328" s="20"/>
      <c r="F328" s="20"/>
      <c r="G328" s="215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982"/>
      <c r="D329" s="1008"/>
      <c r="E329" s="20"/>
      <c r="F329" s="20"/>
      <c r="G329" s="215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982"/>
      <c r="D330" s="1008"/>
      <c r="E330" s="20"/>
      <c r="F330" s="20"/>
      <c r="G330" s="215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982"/>
      <c r="D331" s="1008"/>
      <c r="E331" s="20"/>
      <c r="F331" s="20"/>
      <c r="G331" s="215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982"/>
      <c r="D332" s="1008"/>
      <c r="E332" s="20"/>
      <c r="F332" s="20"/>
      <c r="G332" s="215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982"/>
      <c r="D333" s="1008"/>
      <c r="E333" s="20"/>
      <c r="F333" s="20"/>
      <c r="G333" s="215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982"/>
      <c r="D334" s="1008"/>
      <c r="E334" s="20"/>
      <c r="F334" s="20"/>
      <c r="G334" s="215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982"/>
      <c r="D335" s="1008"/>
      <c r="E335" s="20"/>
      <c r="F335" s="20"/>
      <c r="G335" s="215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982"/>
      <c r="D336" s="1008"/>
      <c r="E336" s="20"/>
      <c r="F336" s="20"/>
      <c r="G336" s="215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982"/>
      <c r="D337" s="1008"/>
      <c r="E337" s="20"/>
      <c r="F337" s="20"/>
      <c r="G337" s="215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982"/>
      <c r="D338" s="1008"/>
      <c r="E338" s="20"/>
      <c r="F338" s="20"/>
      <c r="G338" s="215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982"/>
      <c r="D339" s="1008"/>
      <c r="E339" s="20"/>
      <c r="F339" s="20"/>
      <c r="G339" s="215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982"/>
      <c r="D340" s="1008"/>
      <c r="E340" s="20"/>
      <c r="F340" s="20"/>
      <c r="G340" s="215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982"/>
      <c r="D341" s="1008"/>
      <c r="E341" s="20"/>
      <c r="F341" s="20"/>
      <c r="G341" s="215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982"/>
      <c r="D342" s="1008"/>
      <c r="E342" s="20"/>
      <c r="F342" s="20"/>
      <c r="G342" s="21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982"/>
      <c r="D343" s="1008"/>
      <c r="E343" s="20"/>
      <c r="F343" s="20"/>
      <c r="G343" s="21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982"/>
      <c r="D344" s="1008"/>
      <c r="E344" s="20"/>
      <c r="F344" s="20"/>
      <c r="G344" s="215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982"/>
      <c r="D345" s="1008"/>
      <c r="E345" s="20"/>
      <c r="F345" s="20"/>
      <c r="G345" s="215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982"/>
      <c r="D346" s="1008"/>
      <c r="E346" s="20"/>
      <c r="F346" s="20"/>
      <c r="G346" s="215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982"/>
      <c r="D347" s="1008"/>
      <c r="E347" s="20"/>
      <c r="F347" s="20"/>
      <c r="G347" s="215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982"/>
      <c r="D348" s="1008"/>
      <c r="E348" s="20"/>
      <c r="F348" s="20"/>
      <c r="G348" s="215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982"/>
      <c r="D349" s="1008"/>
      <c r="E349" s="20"/>
      <c r="F349" s="20"/>
      <c r="G349" s="21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982"/>
      <c r="D350" s="1008"/>
      <c r="E350" s="20"/>
      <c r="F350" s="20"/>
      <c r="G350" s="215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982"/>
      <c r="D351" s="1008"/>
      <c r="E351" s="20"/>
      <c r="F351" s="20"/>
      <c r="G351" s="215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982"/>
      <c r="D352" s="1008"/>
      <c r="E352" s="20"/>
      <c r="F352" s="20"/>
      <c r="G352" s="21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982"/>
      <c r="D353" s="1008"/>
      <c r="E353" s="20"/>
      <c r="F353" s="20"/>
      <c r="G353" s="21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982"/>
      <c r="D354" s="1008"/>
      <c r="E354" s="20"/>
      <c r="F354" s="20"/>
      <c r="G354" s="21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982"/>
      <c r="D355" s="1008"/>
      <c r="E355" s="20"/>
      <c r="F355" s="20"/>
      <c r="G355" s="215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982"/>
      <c r="D356" s="1008"/>
      <c r="E356" s="20"/>
      <c r="F356" s="20"/>
      <c r="G356" s="215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982"/>
      <c r="D357" s="1008"/>
      <c r="E357" s="20"/>
      <c r="F357" s="20"/>
      <c r="G357" s="215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982"/>
      <c r="D358" s="1008"/>
      <c r="E358" s="20"/>
      <c r="F358" s="20"/>
      <c r="G358" s="215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982"/>
      <c r="D359" s="1008"/>
      <c r="E359" s="20"/>
      <c r="F359" s="20"/>
      <c r="G359" s="215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982"/>
      <c r="D360" s="1008"/>
      <c r="E360" s="20"/>
      <c r="F360" s="20"/>
      <c r="G360" s="215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982"/>
      <c r="D361" s="1008"/>
      <c r="E361" s="20"/>
      <c r="F361" s="20"/>
      <c r="G361" s="215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982"/>
      <c r="D362" s="1008"/>
      <c r="E362" s="20"/>
      <c r="F362" s="20"/>
      <c r="G362" s="215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982"/>
      <c r="D363" s="1008"/>
      <c r="E363" s="20"/>
      <c r="F363" s="20"/>
      <c r="G363" s="215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982"/>
      <c r="D364" s="1008"/>
      <c r="E364" s="20"/>
      <c r="F364" s="20"/>
      <c r="G364" s="21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982"/>
      <c r="D365" s="1008"/>
      <c r="E365" s="20"/>
      <c r="F365" s="20"/>
      <c r="G365" s="21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982"/>
      <c r="D366" s="1008"/>
      <c r="E366" s="20"/>
      <c r="F366" s="20"/>
      <c r="G366" s="215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982"/>
      <c r="D367" s="1008"/>
      <c r="E367" s="20"/>
      <c r="F367" s="20"/>
      <c r="G367" s="215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982"/>
      <c r="D368" s="1008"/>
      <c r="E368" s="20"/>
      <c r="F368" s="20"/>
      <c r="G368" s="215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982"/>
      <c r="D369" s="1008"/>
      <c r="E369" s="20"/>
      <c r="F369" s="20"/>
      <c r="G369" s="215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982"/>
      <c r="D370" s="1008"/>
      <c r="E370" s="20"/>
      <c r="F370" s="20"/>
      <c r="G370" s="215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982"/>
      <c r="D371" s="1008"/>
      <c r="E371" s="20"/>
      <c r="F371" s="20"/>
      <c r="G371" s="215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982"/>
      <c r="D372" s="1008"/>
      <c r="E372" s="20"/>
      <c r="F372" s="20"/>
      <c r="G372" s="215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982"/>
      <c r="D373" s="1008"/>
      <c r="E373" s="20"/>
      <c r="F373" s="20"/>
      <c r="G373" s="215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982"/>
      <c r="D374" s="1008"/>
      <c r="E374" s="20"/>
      <c r="F374" s="20"/>
      <c r="G374" s="215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982"/>
      <c r="D375" s="1008"/>
      <c r="E375" s="20"/>
      <c r="F375" s="20"/>
      <c r="G375" s="21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982"/>
      <c r="D376" s="1008"/>
      <c r="E376" s="20"/>
      <c r="F376" s="20"/>
      <c r="G376" s="21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982"/>
      <c r="D377" s="1008"/>
      <c r="E377" s="20"/>
      <c r="F377" s="20"/>
      <c r="G377" s="215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982"/>
      <c r="D378" s="1008"/>
      <c r="E378" s="20"/>
      <c r="F378" s="20"/>
      <c r="G378" s="215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982"/>
      <c r="D379" s="1008"/>
      <c r="E379" s="20"/>
      <c r="F379" s="20"/>
      <c r="G379" s="215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982"/>
      <c r="D380" s="1008"/>
      <c r="E380" s="20"/>
      <c r="F380" s="20"/>
      <c r="G380" s="21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982"/>
      <c r="D381" s="1008"/>
      <c r="E381" s="20"/>
      <c r="F381" s="20"/>
      <c r="G381" s="21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982"/>
      <c r="D382" s="1008"/>
      <c r="E382" s="20"/>
      <c r="F382" s="20"/>
      <c r="G382" s="215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982"/>
      <c r="D383" s="1008"/>
      <c r="E383" s="20"/>
      <c r="F383" s="20"/>
      <c r="G383" s="215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982"/>
      <c r="D384" s="1008"/>
      <c r="E384" s="20"/>
      <c r="F384" s="20"/>
      <c r="G384" s="215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982"/>
      <c r="D385" s="1008"/>
      <c r="E385" s="20"/>
      <c r="F385" s="20"/>
      <c r="G385" s="215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982"/>
      <c r="D386" s="1008"/>
      <c r="E386" s="20"/>
      <c r="F386" s="20"/>
      <c r="G386" s="21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982"/>
      <c r="D387" s="1008"/>
      <c r="E387" s="20"/>
      <c r="F387" s="20"/>
      <c r="G387" s="21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982"/>
      <c r="D388" s="1008"/>
      <c r="E388" s="20"/>
      <c r="F388" s="20"/>
      <c r="G388" s="215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982"/>
      <c r="D389" s="1008"/>
      <c r="E389" s="20"/>
      <c r="F389" s="20"/>
      <c r="G389" s="215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982"/>
      <c r="D390" s="1008"/>
      <c r="E390" s="20"/>
      <c r="F390" s="20"/>
      <c r="G390" s="215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982"/>
      <c r="D391" s="1008"/>
      <c r="E391" s="20"/>
      <c r="F391" s="20"/>
      <c r="G391" s="215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982"/>
      <c r="D392" s="1008"/>
      <c r="E392" s="20"/>
      <c r="F392" s="20"/>
      <c r="G392" s="215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982"/>
      <c r="D393" s="1008"/>
      <c r="E393" s="20"/>
      <c r="F393" s="20"/>
      <c r="G393" s="215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982"/>
      <c r="D394" s="1008"/>
      <c r="E394" s="20"/>
      <c r="F394" s="20"/>
      <c r="G394" s="215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982"/>
      <c r="D395" s="1008"/>
      <c r="E395" s="20"/>
      <c r="F395" s="20"/>
      <c r="G395" s="215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982"/>
      <c r="D396" s="1008"/>
      <c r="E396" s="20"/>
      <c r="F396" s="20"/>
      <c r="G396" s="215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982"/>
      <c r="D397" s="1008"/>
      <c r="E397" s="20"/>
      <c r="F397" s="20"/>
      <c r="G397" s="21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982"/>
      <c r="D398" s="1008"/>
      <c r="E398" s="20"/>
      <c r="F398" s="20"/>
      <c r="G398" s="21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982"/>
      <c r="D399" s="1008"/>
      <c r="E399" s="20"/>
      <c r="F399" s="20"/>
      <c r="G399" s="215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982"/>
      <c r="D400" s="1008"/>
      <c r="E400" s="20"/>
      <c r="F400" s="20"/>
      <c r="G400" s="215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982"/>
      <c r="D401" s="1008"/>
      <c r="E401" s="20"/>
      <c r="F401" s="20"/>
      <c r="G401" s="215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982"/>
      <c r="D402" s="1008"/>
      <c r="E402" s="20"/>
      <c r="F402" s="20"/>
      <c r="G402" s="215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982"/>
      <c r="D403" s="1008"/>
      <c r="E403" s="20"/>
      <c r="F403" s="20"/>
      <c r="G403" s="215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982"/>
      <c r="D404" s="1008"/>
      <c r="E404" s="20"/>
      <c r="F404" s="20"/>
      <c r="G404" s="215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982"/>
      <c r="D405" s="1008"/>
      <c r="E405" s="20"/>
      <c r="F405" s="20"/>
      <c r="G405" s="215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982"/>
      <c r="D406" s="1008"/>
      <c r="E406" s="20"/>
      <c r="F406" s="20"/>
      <c r="G406" s="215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982"/>
      <c r="D407" s="1008"/>
      <c r="E407" s="20"/>
      <c r="F407" s="20"/>
      <c r="G407" s="21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982"/>
      <c r="D408" s="1008"/>
      <c r="E408" s="20"/>
      <c r="F408" s="20"/>
      <c r="G408" s="21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982"/>
      <c r="D409" s="1008"/>
      <c r="E409" s="20"/>
      <c r="F409" s="20"/>
      <c r="G409" s="21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982"/>
      <c r="D410" s="1008"/>
      <c r="E410" s="20"/>
      <c r="F410" s="20"/>
      <c r="G410" s="215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982"/>
      <c r="D411" s="1008"/>
      <c r="E411" s="20"/>
      <c r="F411" s="20"/>
      <c r="G411" s="215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982"/>
      <c r="D412" s="1008"/>
      <c r="E412" s="20"/>
      <c r="F412" s="20"/>
      <c r="G412" s="215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982"/>
      <c r="D413" s="1008"/>
      <c r="E413" s="20"/>
      <c r="F413" s="20"/>
      <c r="G413" s="215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982"/>
      <c r="D414" s="1008"/>
      <c r="E414" s="20"/>
      <c r="F414" s="20"/>
      <c r="G414" s="215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982"/>
      <c r="D415" s="1008"/>
      <c r="E415" s="20"/>
      <c r="F415" s="20"/>
      <c r="G415" s="215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982"/>
      <c r="D416" s="1008"/>
      <c r="E416" s="20"/>
      <c r="F416" s="20"/>
      <c r="G416" s="215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982"/>
      <c r="D417" s="1008"/>
      <c r="E417" s="20"/>
      <c r="F417" s="20"/>
      <c r="G417" s="215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982"/>
      <c r="D418" s="1008"/>
      <c r="E418" s="20"/>
      <c r="F418" s="20"/>
      <c r="G418" s="215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982"/>
      <c r="D419" s="1008"/>
      <c r="E419" s="20"/>
      <c r="F419" s="20"/>
      <c r="G419" s="21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982"/>
      <c r="D420" s="1008"/>
      <c r="E420" s="20"/>
      <c r="F420" s="20"/>
      <c r="G420" s="21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982"/>
      <c r="D421" s="1008"/>
      <c r="E421" s="20"/>
      <c r="F421" s="20"/>
      <c r="G421" s="215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982"/>
      <c r="D422" s="1008"/>
      <c r="E422" s="20"/>
      <c r="F422" s="20"/>
      <c r="G422" s="215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982"/>
      <c r="D423" s="1008"/>
      <c r="E423" s="20"/>
      <c r="F423" s="20"/>
      <c r="G423" s="215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982"/>
      <c r="D424" s="1008"/>
      <c r="E424" s="20"/>
      <c r="F424" s="20"/>
      <c r="G424" s="215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982"/>
      <c r="D425" s="1008"/>
      <c r="E425" s="20"/>
      <c r="F425" s="20"/>
      <c r="G425" s="215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982"/>
      <c r="D426" s="1008"/>
      <c r="E426" s="20"/>
      <c r="F426" s="20"/>
      <c r="G426" s="215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982"/>
      <c r="D427" s="1008"/>
      <c r="E427" s="20"/>
      <c r="F427" s="20"/>
      <c r="G427" s="215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982"/>
      <c r="D428" s="1008"/>
      <c r="E428" s="20"/>
      <c r="F428" s="20"/>
      <c r="G428" s="215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982"/>
      <c r="D429" s="1008"/>
      <c r="E429" s="20"/>
      <c r="F429" s="20"/>
      <c r="G429" s="215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982"/>
      <c r="D430" s="1008"/>
      <c r="E430" s="20"/>
      <c r="F430" s="20"/>
      <c r="G430" s="21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982"/>
      <c r="D431" s="1008"/>
      <c r="E431" s="20"/>
      <c r="F431" s="20"/>
      <c r="G431" s="21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982"/>
      <c r="D432" s="1008"/>
      <c r="E432" s="20"/>
      <c r="F432" s="20"/>
      <c r="G432" s="215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982"/>
      <c r="D433" s="1008"/>
      <c r="E433" s="20"/>
      <c r="F433" s="20"/>
      <c r="G433" s="215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982"/>
      <c r="D434" s="1008"/>
      <c r="E434" s="20"/>
      <c r="F434" s="20"/>
      <c r="G434" s="215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982"/>
      <c r="D435" s="1008"/>
      <c r="E435" s="20"/>
      <c r="F435" s="20"/>
      <c r="G435" s="21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982"/>
      <c r="D436" s="1008"/>
      <c r="E436" s="20"/>
      <c r="F436" s="20"/>
      <c r="G436" s="215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982"/>
      <c r="D437" s="1008"/>
      <c r="E437" s="20"/>
      <c r="F437" s="20"/>
      <c r="G437" s="215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982"/>
      <c r="D438" s="1008"/>
      <c r="E438" s="20"/>
      <c r="F438" s="20"/>
      <c r="G438" s="215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982"/>
      <c r="D439" s="1008"/>
      <c r="E439" s="20"/>
      <c r="F439" s="20"/>
      <c r="G439" s="215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982"/>
      <c r="D440" s="1008"/>
      <c r="E440" s="20"/>
      <c r="F440" s="20"/>
      <c r="G440" s="215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982"/>
      <c r="D441" s="1008"/>
      <c r="E441" s="20"/>
      <c r="F441" s="20"/>
      <c r="G441" s="21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982"/>
      <c r="D442" s="1008"/>
      <c r="E442" s="20"/>
      <c r="F442" s="20"/>
      <c r="G442" s="21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982"/>
      <c r="D443" s="1008"/>
      <c r="E443" s="20"/>
      <c r="F443" s="20"/>
      <c r="G443" s="215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982"/>
      <c r="D444" s="1008"/>
      <c r="E444" s="20"/>
      <c r="F444" s="20"/>
      <c r="G444" s="215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982"/>
      <c r="D445" s="1008"/>
      <c r="E445" s="20"/>
      <c r="F445" s="20"/>
      <c r="G445" s="215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982"/>
      <c r="D446" s="1008"/>
      <c r="E446" s="20"/>
      <c r="F446" s="20"/>
      <c r="G446" s="215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982"/>
      <c r="D447" s="1008"/>
      <c r="E447" s="20"/>
      <c r="F447" s="20"/>
      <c r="G447" s="215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982"/>
      <c r="D448" s="1008"/>
      <c r="E448" s="20"/>
      <c r="F448" s="20"/>
      <c r="G448" s="215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982"/>
      <c r="D449" s="1008"/>
      <c r="E449" s="20"/>
      <c r="F449" s="20"/>
      <c r="G449" s="215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982"/>
      <c r="D450" s="1008"/>
      <c r="E450" s="20"/>
      <c r="F450" s="20"/>
      <c r="G450" s="215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982"/>
      <c r="D451" s="1008"/>
      <c r="E451" s="20"/>
      <c r="F451" s="20"/>
      <c r="G451" s="215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982"/>
      <c r="D452" s="1008"/>
      <c r="E452" s="20"/>
      <c r="F452" s="20"/>
      <c r="G452" s="21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982"/>
      <c r="D453" s="1008"/>
      <c r="E453" s="20"/>
      <c r="F453" s="20"/>
      <c r="G453" s="21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982"/>
      <c r="D454" s="1008"/>
      <c r="E454" s="20"/>
      <c r="F454" s="20"/>
      <c r="G454" s="215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982"/>
      <c r="D455" s="1008"/>
      <c r="E455" s="20"/>
      <c r="F455" s="20"/>
      <c r="G455" s="215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982"/>
      <c r="D456" s="1008"/>
      <c r="E456" s="20"/>
      <c r="F456" s="20"/>
      <c r="G456" s="215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982"/>
      <c r="D457" s="1008"/>
      <c r="E457" s="20"/>
      <c r="F457" s="20"/>
      <c r="G457" s="215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982"/>
      <c r="D458" s="1008"/>
      <c r="E458" s="20"/>
      <c r="F458" s="20"/>
      <c r="G458" s="215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982"/>
      <c r="D459" s="1008"/>
      <c r="E459" s="20"/>
      <c r="F459" s="20"/>
      <c r="G459" s="215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982"/>
      <c r="D460" s="1008"/>
      <c r="E460" s="20"/>
      <c r="F460" s="20"/>
      <c r="G460" s="215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982"/>
      <c r="D461" s="1008"/>
      <c r="E461" s="20"/>
      <c r="F461" s="20"/>
      <c r="G461" s="215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982"/>
      <c r="D462" s="1008"/>
      <c r="E462" s="20"/>
      <c r="F462" s="20"/>
      <c r="G462" s="215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982"/>
      <c r="D463" s="1008"/>
      <c r="E463" s="20"/>
      <c r="F463" s="20"/>
      <c r="G463" s="21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982"/>
      <c r="D464" s="1008"/>
      <c r="E464" s="20"/>
      <c r="F464" s="20"/>
      <c r="G464" s="21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982"/>
      <c r="D465" s="1008"/>
      <c r="E465" s="20"/>
      <c r="F465" s="20"/>
      <c r="G465" s="215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982"/>
      <c r="D466" s="1008"/>
      <c r="E466" s="20"/>
      <c r="F466" s="20"/>
      <c r="G466" s="215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982"/>
      <c r="D467" s="1008"/>
      <c r="E467" s="20"/>
      <c r="F467" s="20"/>
      <c r="G467" s="215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982"/>
      <c r="D468" s="1008"/>
      <c r="E468" s="20"/>
      <c r="F468" s="20"/>
      <c r="G468" s="215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982"/>
      <c r="D469" s="1008"/>
      <c r="E469" s="20"/>
      <c r="F469" s="20"/>
      <c r="G469" s="215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982"/>
      <c r="D470" s="1008"/>
      <c r="E470" s="20"/>
      <c r="F470" s="20"/>
      <c r="G470" s="215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982"/>
      <c r="D471" s="1008"/>
      <c r="E471" s="20"/>
      <c r="F471" s="20"/>
      <c r="G471" s="215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982"/>
      <c r="D472" s="1008"/>
      <c r="E472" s="20"/>
      <c r="F472" s="20"/>
      <c r="G472" s="215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982"/>
      <c r="D473" s="1008"/>
      <c r="E473" s="20"/>
      <c r="F473" s="20"/>
      <c r="G473" s="215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982"/>
      <c r="D474" s="1008"/>
      <c r="E474" s="20"/>
      <c r="F474" s="20"/>
      <c r="G474" s="21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982"/>
      <c r="D475" s="1008"/>
      <c r="E475" s="20"/>
      <c r="F475" s="20"/>
      <c r="G475" s="21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982"/>
      <c r="D476" s="1008"/>
      <c r="E476" s="20"/>
      <c r="F476" s="20"/>
      <c r="G476" s="21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982"/>
      <c r="D477" s="1008"/>
      <c r="E477" s="20"/>
      <c r="F477" s="20"/>
      <c r="G477" s="215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982"/>
      <c r="D478" s="1008"/>
      <c r="E478" s="20"/>
      <c r="F478" s="20"/>
      <c r="G478" s="215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982"/>
      <c r="D479" s="1008"/>
      <c r="E479" s="20"/>
      <c r="F479" s="20"/>
      <c r="G479" s="215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982"/>
      <c r="D480" s="1008"/>
      <c r="E480" s="20"/>
      <c r="F480" s="20"/>
      <c r="G480" s="215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982"/>
      <c r="D481" s="1008"/>
      <c r="E481" s="20"/>
      <c r="F481" s="20"/>
      <c r="G481" s="215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982"/>
      <c r="D482" s="1008"/>
      <c r="E482" s="20"/>
      <c r="F482" s="20"/>
      <c r="G482" s="215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982"/>
      <c r="D483" s="1008"/>
      <c r="E483" s="20"/>
      <c r="F483" s="20"/>
      <c r="G483" s="215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982"/>
      <c r="D484" s="1008"/>
      <c r="E484" s="20"/>
      <c r="F484" s="20"/>
      <c r="G484" s="215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982"/>
      <c r="D485" s="1008"/>
      <c r="E485" s="20"/>
      <c r="F485" s="20"/>
      <c r="G485" s="21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982"/>
      <c r="D486" s="1008"/>
      <c r="E486" s="20"/>
      <c r="F486" s="20"/>
      <c r="G486" s="21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982"/>
      <c r="D487" s="1008"/>
      <c r="E487" s="20"/>
      <c r="F487" s="20"/>
      <c r="G487" s="215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982"/>
      <c r="D488" s="1008"/>
      <c r="E488" s="20"/>
      <c r="F488" s="20"/>
      <c r="G488" s="215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982"/>
      <c r="D489" s="1008"/>
      <c r="E489" s="20"/>
      <c r="F489" s="20"/>
      <c r="G489" s="215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982"/>
      <c r="D490" s="1008"/>
      <c r="E490" s="20"/>
      <c r="F490" s="20"/>
      <c r="G490" s="215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982"/>
      <c r="D491" s="1008"/>
      <c r="E491" s="20"/>
      <c r="F491" s="20"/>
      <c r="G491" s="215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982"/>
      <c r="D492" s="1008"/>
      <c r="E492" s="20"/>
      <c r="F492" s="20"/>
      <c r="G492" s="215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982"/>
      <c r="D493" s="1008"/>
      <c r="E493" s="20"/>
      <c r="F493" s="20"/>
      <c r="G493" s="215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982"/>
      <c r="D494" s="1008"/>
      <c r="E494" s="20"/>
      <c r="F494" s="20"/>
      <c r="G494" s="215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982"/>
      <c r="D495" s="1008"/>
      <c r="E495" s="20"/>
      <c r="F495" s="20"/>
      <c r="G495" s="215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982"/>
      <c r="D496" s="1008"/>
      <c r="E496" s="20"/>
      <c r="F496" s="20"/>
      <c r="G496" s="21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982"/>
      <c r="D497" s="1008"/>
      <c r="E497" s="20"/>
      <c r="F497" s="20"/>
      <c r="G497" s="21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982"/>
      <c r="D498" s="1008"/>
      <c r="E498" s="20"/>
      <c r="F498" s="20"/>
      <c r="G498" s="215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982"/>
      <c r="D499" s="1008"/>
      <c r="E499" s="20"/>
      <c r="F499" s="20"/>
      <c r="G499" s="215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982"/>
      <c r="D500" s="1008"/>
      <c r="E500" s="20"/>
      <c r="F500" s="20"/>
      <c r="G500" s="215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982"/>
      <c r="D501" s="1008"/>
      <c r="E501" s="20"/>
      <c r="F501" s="20"/>
      <c r="G501" s="21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982"/>
      <c r="D502" s="1008"/>
      <c r="E502" s="20"/>
      <c r="F502" s="20"/>
      <c r="G502" s="21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982"/>
      <c r="D503" s="1008"/>
      <c r="E503" s="20"/>
      <c r="F503" s="20"/>
      <c r="G503" s="215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982"/>
      <c r="D504" s="1008"/>
      <c r="E504" s="20"/>
      <c r="F504" s="20"/>
      <c r="G504" s="215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982"/>
      <c r="D505" s="1008"/>
      <c r="E505" s="20"/>
      <c r="F505" s="20"/>
      <c r="G505" s="215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982"/>
      <c r="D506" s="1008"/>
      <c r="E506" s="20"/>
      <c r="F506" s="20"/>
      <c r="G506" s="215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982"/>
      <c r="D507" s="1008"/>
      <c r="E507" s="20"/>
      <c r="F507" s="20"/>
      <c r="G507" s="21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982"/>
      <c r="D508" s="1008"/>
      <c r="E508" s="20"/>
      <c r="F508" s="20"/>
      <c r="G508" s="21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982"/>
      <c r="D509" s="1008"/>
      <c r="E509" s="20"/>
      <c r="F509" s="20"/>
      <c r="G509" s="215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982"/>
      <c r="D510" s="1008"/>
      <c r="E510" s="20"/>
      <c r="F510" s="20"/>
      <c r="G510" s="215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982"/>
      <c r="D511" s="1008"/>
      <c r="E511" s="20"/>
      <c r="F511" s="20"/>
      <c r="G511" s="215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982"/>
      <c r="D512" s="1008"/>
      <c r="E512" s="20"/>
      <c r="F512" s="20"/>
      <c r="G512" s="215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982"/>
      <c r="D513" s="1008"/>
      <c r="E513" s="20"/>
      <c r="F513" s="20"/>
      <c r="G513" s="215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982"/>
      <c r="D514" s="1008"/>
      <c r="E514" s="20"/>
      <c r="F514" s="20"/>
      <c r="G514" s="215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982"/>
      <c r="D515" s="1008"/>
      <c r="E515" s="20"/>
      <c r="F515" s="20"/>
      <c r="G515" s="215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982"/>
      <c r="D516" s="1008"/>
      <c r="E516" s="20"/>
      <c r="F516" s="20"/>
      <c r="G516" s="215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982"/>
      <c r="D517" s="1008"/>
      <c r="E517" s="20"/>
      <c r="F517" s="20"/>
      <c r="G517" s="215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982"/>
      <c r="D518" s="1008"/>
      <c r="E518" s="20"/>
      <c r="F518" s="20"/>
      <c r="G518" s="21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982"/>
      <c r="D519" s="1008"/>
      <c r="E519" s="20"/>
      <c r="F519" s="20"/>
      <c r="G519" s="21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982"/>
      <c r="D520" s="1008"/>
      <c r="E520" s="20"/>
      <c r="F520" s="20"/>
      <c r="G520" s="215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982"/>
      <c r="D521" s="1008"/>
      <c r="E521" s="20"/>
      <c r="F521" s="20"/>
      <c r="G521" s="215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982"/>
      <c r="D522" s="1008"/>
      <c r="E522" s="20"/>
      <c r="F522" s="20"/>
      <c r="G522" s="215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982"/>
      <c r="D523" s="1008"/>
      <c r="E523" s="20"/>
      <c r="F523" s="20"/>
      <c r="G523" s="215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982"/>
      <c r="D524" s="1008"/>
      <c r="E524" s="20"/>
      <c r="F524" s="20"/>
      <c r="G524" s="215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982"/>
      <c r="D525" s="1008"/>
      <c r="E525" s="20"/>
      <c r="F525" s="20"/>
      <c r="G525" s="215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982"/>
      <c r="D526" s="1008"/>
      <c r="E526" s="20"/>
      <c r="F526" s="20"/>
      <c r="G526" s="215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982"/>
      <c r="D527" s="1008"/>
      <c r="E527" s="20"/>
      <c r="F527" s="20"/>
      <c r="G527" s="215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982"/>
      <c r="D528" s="1008"/>
      <c r="E528" s="20"/>
      <c r="F528" s="20"/>
      <c r="G528" s="215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982"/>
      <c r="D529" s="1008"/>
      <c r="E529" s="20"/>
      <c r="F529" s="20"/>
      <c r="G529" s="21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982"/>
      <c r="D530" s="1008"/>
      <c r="E530" s="20"/>
      <c r="F530" s="20"/>
      <c r="G530" s="21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982"/>
      <c r="D531" s="1008"/>
      <c r="E531" s="20"/>
      <c r="F531" s="20"/>
      <c r="G531" s="215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982"/>
      <c r="D532" s="1008"/>
      <c r="E532" s="20"/>
      <c r="F532" s="20"/>
      <c r="G532" s="215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982"/>
      <c r="D533" s="1008"/>
      <c r="E533" s="20"/>
      <c r="F533" s="20"/>
      <c r="G533" s="215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982"/>
      <c r="D534" s="1008"/>
      <c r="E534" s="20"/>
      <c r="F534" s="20"/>
      <c r="G534" s="215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982"/>
      <c r="D535" s="1008"/>
      <c r="E535" s="20"/>
      <c r="F535" s="20"/>
      <c r="G535" s="215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982"/>
      <c r="D536" s="1008"/>
      <c r="E536" s="20"/>
      <c r="F536" s="20"/>
      <c r="G536" s="215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982"/>
      <c r="D537" s="1008"/>
      <c r="E537" s="20"/>
      <c r="F537" s="20"/>
      <c r="G537" s="215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982"/>
      <c r="D538" s="1008"/>
      <c r="E538" s="20"/>
      <c r="F538" s="20"/>
      <c r="G538" s="215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982"/>
      <c r="D539" s="1008"/>
      <c r="E539" s="20"/>
      <c r="F539" s="20"/>
      <c r="G539" s="215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982"/>
      <c r="D540" s="1008"/>
      <c r="E540" s="20"/>
      <c r="F540" s="20"/>
      <c r="G540" s="21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982"/>
      <c r="D541" s="1008"/>
      <c r="E541" s="20"/>
      <c r="F541" s="20"/>
      <c r="G541" s="21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982"/>
      <c r="D542" s="1008"/>
      <c r="E542" s="20"/>
      <c r="F542" s="20"/>
      <c r="G542" s="215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982"/>
      <c r="D543" s="1008"/>
      <c r="E543" s="20"/>
      <c r="F543" s="20"/>
      <c r="G543" s="215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982"/>
      <c r="D544" s="1008"/>
      <c r="E544" s="20"/>
      <c r="F544" s="20"/>
      <c r="G544" s="215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982"/>
      <c r="D545" s="1008"/>
      <c r="E545" s="20"/>
      <c r="F545" s="20"/>
      <c r="G545" s="215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982"/>
      <c r="D546" s="1008"/>
      <c r="E546" s="20"/>
      <c r="F546" s="20"/>
      <c r="G546" s="215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982"/>
      <c r="D547" s="1008"/>
      <c r="E547" s="20"/>
      <c r="F547" s="20"/>
      <c r="G547" s="215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982"/>
      <c r="D548" s="1008"/>
      <c r="E548" s="20"/>
      <c r="F548" s="20"/>
      <c r="G548" s="215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982"/>
      <c r="D549" s="1008"/>
      <c r="E549" s="20"/>
      <c r="F549" s="20"/>
      <c r="G549" s="215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982"/>
      <c r="D550" s="1008"/>
      <c r="E550" s="20"/>
      <c r="F550" s="20"/>
      <c r="G550" s="215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982"/>
      <c r="D551" s="1008"/>
      <c r="E551" s="20"/>
      <c r="F551" s="20"/>
      <c r="G551" s="21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982"/>
      <c r="D552" s="1008"/>
      <c r="E552" s="20"/>
      <c r="F552" s="20"/>
      <c r="G552" s="21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982"/>
      <c r="D553" s="1008"/>
      <c r="E553" s="20"/>
      <c r="F553" s="20"/>
      <c r="G553" s="215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982"/>
      <c r="D554" s="1008"/>
      <c r="E554" s="20"/>
      <c r="F554" s="20"/>
      <c r="G554" s="215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982"/>
      <c r="D555" s="1008"/>
      <c r="E555" s="20"/>
      <c r="F555" s="20"/>
      <c r="G555" s="215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982"/>
      <c r="D556" s="1008"/>
      <c r="E556" s="20"/>
      <c r="F556" s="20"/>
      <c r="G556" s="215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982"/>
      <c r="D557" s="1008"/>
      <c r="E557" s="20"/>
      <c r="F557" s="20"/>
      <c r="G557" s="215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982"/>
      <c r="D558" s="1008"/>
      <c r="E558" s="20"/>
      <c r="F558" s="20"/>
      <c r="G558" s="215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982"/>
      <c r="D559" s="1008"/>
      <c r="E559" s="20"/>
      <c r="F559" s="20"/>
      <c r="G559" s="215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982"/>
      <c r="D560" s="1008"/>
      <c r="E560" s="20"/>
      <c r="F560" s="20"/>
      <c r="G560" s="215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982"/>
      <c r="D561" s="1008"/>
      <c r="E561" s="20"/>
      <c r="F561" s="20"/>
      <c r="G561" s="215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982"/>
      <c r="D562" s="1008"/>
      <c r="E562" s="20"/>
      <c r="F562" s="20"/>
      <c r="G562" s="21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982"/>
      <c r="D563" s="1008"/>
      <c r="E563" s="20"/>
      <c r="F563" s="20"/>
      <c r="G563" s="21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982"/>
      <c r="D564" s="1008"/>
      <c r="E564" s="20"/>
      <c r="F564" s="20"/>
      <c r="G564" s="215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982"/>
      <c r="D565" s="1008"/>
      <c r="E565" s="20"/>
      <c r="F565" s="20"/>
      <c r="G565" s="215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982"/>
      <c r="D566" s="1008"/>
      <c r="E566" s="20"/>
      <c r="F566" s="20"/>
      <c r="G566" s="215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982"/>
      <c r="D567" s="1008"/>
      <c r="E567" s="20"/>
      <c r="F567" s="20"/>
      <c r="G567" s="215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982"/>
      <c r="D568" s="1008"/>
      <c r="E568" s="20"/>
      <c r="F568" s="20"/>
      <c r="G568" s="215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982"/>
      <c r="D569" s="1008"/>
      <c r="E569" s="20"/>
      <c r="F569" s="20"/>
      <c r="G569" s="215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982"/>
      <c r="D570" s="1008"/>
      <c r="E570" s="20"/>
      <c r="F570" s="20"/>
      <c r="G570" s="215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982"/>
      <c r="D571" s="1008"/>
      <c r="E571" s="20"/>
      <c r="F571" s="20"/>
      <c r="G571" s="215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982"/>
      <c r="D572" s="1008"/>
      <c r="E572" s="20"/>
      <c r="F572" s="20"/>
      <c r="G572" s="215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982"/>
      <c r="D573" s="1008"/>
      <c r="E573" s="20"/>
      <c r="F573" s="20"/>
      <c r="G573" s="21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982"/>
      <c r="D574" s="1008"/>
      <c r="E574" s="20"/>
      <c r="F574" s="20"/>
      <c r="G574" s="21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982"/>
      <c r="D575" s="1008"/>
      <c r="E575" s="20"/>
      <c r="F575" s="20"/>
      <c r="G575" s="215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982"/>
      <c r="D576" s="1008"/>
      <c r="E576" s="20"/>
      <c r="F576" s="20"/>
      <c r="G576" s="215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982"/>
      <c r="D577" s="1008"/>
      <c r="E577" s="20"/>
      <c r="F577" s="20"/>
      <c r="G577" s="215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982"/>
      <c r="D578" s="1008"/>
      <c r="E578" s="20"/>
      <c r="F578" s="20"/>
      <c r="G578" s="215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982"/>
      <c r="D579" s="1008"/>
      <c r="E579" s="20"/>
      <c r="F579" s="20"/>
      <c r="G579" s="21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982"/>
      <c r="D580" s="1008"/>
      <c r="E580" s="20"/>
      <c r="F580" s="20"/>
      <c r="G580" s="215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982"/>
      <c r="D581" s="1008"/>
      <c r="E581" s="20"/>
      <c r="F581" s="20"/>
      <c r="G581" s="215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982"/>
      <c r="D582" s="1008"/>
      <c r="E582" s="20"/>
      <c r="F582" s="20"/>
      <c r="G582" s="215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982"/>
      <c r="D583" s="1008"/>
      <c r="E583" s="20"/>
      <c r="F583" s="20"/>
      <c r="G583" s="215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982"/>
      <c r="D584" s="1008"/>
      <c r="E584" s="20"/>
      <c r="F584" s="20"/>
      <c r="G584" s="21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982"/>
      <c r="D585" s="1008"/>
      <c r="E585" s="20"/>
      <c r="F585" s="20"/>
      <c r="G585" s="21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982"/>
      <c r="D586" s="1008"/>
      <c r="E586" s="20"/>
      <c r="F586" s="20"/>
      <c r="G586" s="215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982"/>
      <c r="D587" s="1008"/>
      <c r="E587" s="20"/>
      <c r="F587" s="20"/>
      <c r="G587" s="215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982"/>
      <c r="D588" s="1008"/>
      <c r="E588" s="20"/>
      <c r="F588" s="20"/>
      <c r="G588" s="215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982"/>
      <c r="D589" s="1008"/>
      <c r="E589" s="20"/>
      <c r="F589" s="20"/>
      <c r="G589" s="215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982"/>
      <c r="D590" s="1008"/>
      <c r="E590" s="20"/>
      <c r="F590" s="20"/>
      <c r="G590" s="215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982"/>
      <c r="D591" s="1008"/>
      <c r="E591" s="20"/>
      <c r="F591" s="20"/>
      <c r="G591" s="215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982"/>
      <c r="D592" s="1008"/>
      <c r="E592" s="20"/>
      <c r="F592" s="20"/>
      <c r="G592" s="215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982"/>
      <c r="D593" s="1008"/>
      <c r="E593" s="20"/>
      <c r="F593" s="20"/>
      <c r="G593" s="215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982"/>
      <c r="D594" s="1008"/>
      <c r="E594" s="20"/>
      <c r="F594" s="20"/>
      <c r="G594" s="215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982"/>
      <c r="D595" s="1008"/>
      <c r="E595" s="20"/>
      <c r="F595" s="20"/>
      <c r="G595" s="21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982"/>
      <c r="D596" s="1008"/>
      <c r="E596" s="20"/>
      <c r="F596" s="20"/>
      <c r="G596" s="21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982"/>
      <c r="D597" s="1008"/>
      <c r="E597" s="20"/>
      <c r="F597" s="20"/>
      <c r="G597" s="215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982"/>
      <c r="D598" s="1008"/>
      <c r="E598" s="20"/>
      <c r="F598" s="20"/>
      <c r="G598" s="215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982"/>
      <c r="D599" s="1008"/>
      <c r="E599" s="20"/>
      <c r="F599" s="20"/>
      <c r="G599" s="215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982"/>
      <c r="D600" s="1008"/>
      <c r="E600" s="20"/>
      <c r="F600" s="20"/>
      <c r="G600" s="215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982"/>
      <c r="D601" s="1008"/>
      <c r="E601" s="20"/>
      <c r="F601" s="20"/>
      <c r="G601" s="215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982"/>
      <c r="D602" s="1008"/>
      <c r="E602" s="20"/>
      <c r="F602" s="20"/>
      <c r="G602" s="215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982"/>
      <c r="D603" s="1008"/>
      <c r="E603" s="20"/>
      <c r="F603" s="20"/>
      <c r="G603" s="215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982"/>
      <c r="D604" s="1008"/>
      <c r="E604" s="20"/>
      <c r="F604" s="20"/>
      <c r="G604" s="215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982"/>
      <c r="D605" s="1008"/>
      <c r="E605" s="20"/>
      <c r="F605" s="20"/>
      <c r="G605" s="215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982"/>
      <c r="D606" s="1008"/>
      <c r="E606" s="20"/>
      <c r="F606" s="20"/>
      <c r="G606" s="21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982"/>
      <c r="D607" s="1008"/>
      <c r="E607" s="20"/>
      <c r="F607" s="20"/>
      <c r="G607" s="21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982"/>
      <c r="D608" s="1008"/>
      <c r="E608" s="20"/>
      <c r="F608" s="20"/>
      <c r="G608" s="215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982"/>
      <c r="D609" s="1008"/>
      <c r="E609" s="20"/>
      <c r="F609" s="20"/>
      <c r="G609" s="215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982"/>
      <c r="D610" s="1008"/>
      <c r="E610" s="20"/>
      <c r="F610" s="20"/>
      <c r="G610" s="215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982"/>
      <c r="D611" s="1008"/>
      <c r="E611" s="20"/>
      <c r="F611" s="20"/>
      <c r="G611" s="215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982"/>
      <c r="D612" s="1008"/>
      <c r="E612" s="20"/>
      <c r="F612" s="20"/>
      <c r="G612" s="215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982"/>
      <c r="D613" s="1008"/>
      <c r="E613" s="20"/>
      <c r="F613" s="20"/>
      <c r="G613" s="215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982"/>
      <c r="D614" s="1008"/>
      <c r="E614" s="20"/>
      <c r="F614" s="20"/>
      <c r="G614" s="215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982"/>
      <c r="D615" s="1008"/>
      <c r="E615" s="20"/>
      <c r="F615" s="20"/>
      <c r="G615" s="215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982"/>
      <c r="D616" s="1008"/>
      <c r="E616" s="20"/>
      <c r="F616" s="20"/>
      <c r="G616" s="215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982"/>
      <c r="D617" s="1008"/>
      <c r="E617" s="20"/>
      <c r="F617" s="20"/>
      <c r="G617" s="21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982"/>
      <c r="D618" s="1008"/>
      <c r="E618" s="20"/>
      <c r="F618" s="20"/>
      <c r="G618" s="21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982"/>
      <c r="D619" s="1008"/>
      <c r="E619" s="20"/>
      <c r="F619" s="20"/>
      <c r="G619" s="215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982"/>
      <c r="D620" s="1008"/>
      <c r="E620" s="20"/>
      <c r="F620" s="20"/>
      <c r="G620" s="215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982"/>
      <c r="D621" s="1008"/>
      <c r="E621" s="20"/>
      <c r="F621" s="20"/>
      <c r="G621" s="215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982"/>
      <c r="D622" s="1008"/>
      <c r="E622" s="20"/>
      <c r="F622" s="20"/>
      <c r="G622" s="215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982"/>
      <c r="D623" s="1008"/>
      <c r="E623" s="20"/>
      <c r="F623" s="20"/>
      <c r="G623" s="215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982"/>
      <c r="D624" s="1008"/>
      <c r="E624" s="20"/>
      <c r="F624" s="20"/>
      <c r="G624" s="215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982"/>
      <c r="D625" s="1008"/>
      <c r="E625" s="20"/>
      <c r="F625" s="20"/>
      <c r="G625" s="215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982"/>
      <c r="D626" s="1008"/>
      <c r="E626" s="20"/>
      <c r="F626" s="20"/>
      <c r="G626" s="215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982"/>
      <c r="D627" s="1008"/>
      <c r="E627" s="20"/>
      <c r="F627" s="20"/>
      <c r="G627" s="215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982"/>
      <c r="D628" s="1008"/>
      <c r="E628" s="20"/>
      <c r="F628" s="20"/>
      <c r="G628" s="21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982"/>
      <c r="D629" s="1008"/>
      <c r="E629" s="20"/>
      <c r="F629" s="20"/>
      <c r="G629" s="21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982"/>
      <c r="D630" s="1008"/>
      <c r="E630" s="20"/>
      <c r="F630" s="20"/>
      <c r="G630" s="215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982"/>
      <c r="D631" s="1008"/>
      <c r="E631" s="20"/>
      <c r="F631" s="20"/>
      <c r="G631" s="215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982"/>
      <c r="D632" s="1008"/>
      <c r="E632" s="20"/>
      <c r="F632" s="20"/>
      <c r="G632" s="215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982"/>
      <c r="D633" s="1008"/>
      <c r="E633" s="20"/>
      <c r="F633" s="20"/>
      <c r="G633" s="215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982"/>
      <c r="D634" s="1008"/>
      <c r="E634" s="20"/>
      <c r="F634" s="20"/>
      <c r="G634" s="215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982"/>
      <c r="D635" s="1008"/>
      <c r="E635" s="20"/>
      <c r="F635" s="20"/>
      <c r="G635" s="215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982"/>
      <c r="D636" s="1008"/>
      <c r="E636" s="20"/>
      <c r="F636" s="20"/>
      <c r="G636" s="215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982"/>
      <c r="D637" s="1008"/>
      <c r="E637" s="20"/>
      <c r="F637" s="20"/>
      <c r="G637" s="215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982"/>
      <c r="D638" s="1008"/>
      <c r="E638" s="20"/>
      <c r="F638" s="20"/>
      <c r="G638" s="215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982"/>
      <c r="D639" s="1008"/>
      <c r="E639" s="20"/>
      <c r="F639" s="20"/>
      <c r="G639" s="21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982"/>
      <c r="D640" s="1008"/>
      <c r="E640" s="20"/>
      <c r="F640" s="20"/>
      <c r="G640" s="21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982"/>
      <c r="D641" s="1008"/>
      <c r="E641" s="20"/>
      <c r="F641" s="20"/>
      <c r="G641" s="215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982"/>
      <c r="D642" s="1008"/>
      <c r="E642" s="20"/>
      <c r="F642" s="20"/>
      <c r="G642" s="215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982"/>
      <c r="D643" s="1008"/>
      <c r="E643" s="20"/>
      <c r="F643" s="20"/>
      <c r="G643" s="215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982"/>
      <c r="D644" s="1008"/>
      <c r="E644" s="20"/>
      <c r="F644" s="20"/>
      <c r="G644" s="215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982"/>
      <c r="D645" s="1008"/>
      <c r="E645" s="20"/>
      <c r="F645" s="20"/>
      <c r="G645" s="215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982"/>
      <c r="D646" s="1008"/>
      <c r="E646" s="20"/>
      <c r="F646" s="20"/>
      <c r="G646" s="215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982"/>
      <c r="D647" s="1008"/>
      <c r="E647" s="20"/>
      <c r="F647" s="20"/>
      <c r="G647" s="215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982"/>
      <c r="D648" s="1008"/>
      <c r="E648" s="20"/>
      <c r="F648" s="20"/>
      <c r="G648" s="215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982"/>
      <c r="D649" s="1008"/>
      <c r="E649" s="20"/>
      <c r="F649" s="20"/>
      <c r="G649" s="215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982"/>
      <c r="D650" s="1008"/>
      <c r="E650" s="20"/>
      <c r="F650" s="20"/>
      <c r="G650" s="21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982"/>
      <c r="D651" s="1008"/>
      <c r="E651" s="20"/>
      <c r="F651" s="20"/>
      <c r="G651" s="21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982"/>
      <c r="D652" s="1008"/>
      <c r="E652" s="20"/>
      <c r="F652" s="20"/>
      <c r="G652" s="21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982"/>
      <c r="D653" s="1008"/>
      <c r="E653" s="20"/>
      <c r="F653" s="20"/>
      <c r="G653" s="215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982"/>
      <c r="D654" s="1008"/>
      <c r="E654" s="20"/>
      <c r="F654" s="20"/>
      <c r="G654" s="215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982"/>
      <c r="D655" s="1008"/>
      <c r="E655" s="20"/>
      <c r="F655" s="20"/>
      <c r="G655" s="215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982"/>
      <c r="D656" s="1008"/>
      <c r="E656" s="20"/>
      <c r="F656" s="20"/>
      <c r="G656" s="215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982"/>
      <c r="D657" s="1008"/>
      <c r="E657" s="20"/>
      <c r="F657" s="20"/>
      <c r="G657" s="215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982"/>
      <c r="D658" s="1008"/>
      <c r="E658" s="20"/>
      <c r="F658" s="20"/>
      <c r="G658" s="215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982"/>
      <c r="D659" s="1008"/>
      <c r="E659" s="20"/>
      <c r="F659" s="20"/>
      <c r="G659" s="215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982"/>
      <c r="D660" s="1008"/>
      <c r="E660" s="20"/>
      <c r="F660" s="20"/>
      <c r="G660" s="215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982"/>
      <c r="D661" s="1008"/>
      <c r="E661" s="20"/>
      <c r="F661" s="20"/>
      <c r="G661" s="21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982"/>
      <c r="D662" s="1008"/>
      <c r="E662" s="20"/>
      <c r="F662" s="20"/>
      <c r="G662" s="21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982"/>
      <c r="D663" s="1008"/>
      <c r="E663" s="20"/>
      <c r="F663" s="20"/>
      <c r="G663" s="21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982"/>
      <c r="D664" s="1008"/>
      <c r="E664" s="20"/>
      <c r="F664" s="20"/>
      <c r="G664" s="215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982"/>
      <c r="D665" s="1008"/>
      <c r="E665" s="20"/>
      <c r="F665" s="20"/>
      <c r="G665" s="215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982"/>
      <c r="D666" s="1008"/>
      <c r="E666" s="20"/>
      <c r="F666" s="20"/>
      <c r="G666" s="215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982"/>
      <c r="D667" s="1008"/>
      <c r="E667" s="20"/>
      <c r="F667" s="20"/>
      <c r="G667" s="215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982"/>
      <c r="D668" s="1008"/>
      <c r="E668" s="20"/>
      <c r="F668" s="20"/>
      <c r="G668" s="215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982"/>
      <c r="D669" s="1008"/>
      <c r="E669" s="20"/>
      <c r="F669" s="20"/>
      <c r="G669" s="215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982"/>
      <c r="D670" s="1008"/>
      <c r="E670" s="20"/>
      <c r="F670" s="20"/>
      <c r="G670" s="215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982"/>
      <c r="D671" s="1008"/>
      <c r="E671" s="20"/>
      <c r="F671" s="20"/>
      <c r="G671" s="215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982"/>
      <c r="D672" s="1008"/>
      <c r="E672" s="20"/>
      <c r="F672" s="20"/>
      <c r="G672" s="215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982"/>
      <c r="D673" s="1008"/>
      <c r="E673" s="20"/>
      <c r="F673" s="20"/>
      <c r="G673" s="21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982"/>
      <c r="D674" s="1008"/>
      <c r="E674" s="20"/>
      <c r="F674" s="20"/>
      <c r="G674" s="21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982"/>
      <c r="D675" s="1008"/>
      <c r="E675" s="20"/>
      <c r="F675" s="20"/>
      <c r="G675" s="215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982"/>
      <c r="D676" s="1008"/>
      <c r="E676" s="20"/>
      <c r="F676" s="20"/>
      <c r="G676" s="215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982"/>
      <c r="D677" s="1008"/>
      <c r="E677" s="20"/>
      <c r="F677" s="20"/>
      <c r="G677" s="215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982"/>
      <c r="D678" s="1008"/>
      <c r="E678" s="20"/>
      <c r="F678" s="20"/>
      <c r="G678" s="215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982"/>
      <c r="D679" s="1008"/>
      <c r="E679" s="20"/>
      <c r="F679" s="20"/>
      <c r="G679" s="215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982"/>
      <c r="D680" s="1008"/>
      <c r="E680" s="20"/>
      <c r="F680" s="20"/>
      <c r="G680" s="215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982"/>
      <c r="D681" s="1008"/>
      <c r="E681" s="20"/>
      <c r="F681" s="20"/>
      <c r="G681" s="215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982"/>
      <c r="D682" s="1008"/>
      <c r="E682" s="20"/>
      <c r="F682" s="20"/>
      <c r="G682" s="215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982"/>
      <c r="D683" s="1008"/>
      <c r="E683" s="20"/>
      <c r="F683" s="20"/>
      <c r="G683" s="215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982"/>
      <c r="D684" s="1008"/>
      <c r="E684" s="20"/>
      <c r="F684" s="20"/>
      <c r="G684" s="21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982"/>
      <c r="D685" s="1008"/>
      <c r="E685" s="20"/>
      <c r="F685" s="20"/>
      <c r="G685" s="21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982"/>
      <c r="D686" s="1008"/>
      <c r="E686" s="20"/>
      <c r="F686" s="20"/>
      <c r="G686" s="215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982"/>
      <c r="D687" s="1008"/>
      <c r="E687" s="20"/>
      <c r="F687" s="20"/>
      <c r="G687" s="215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982"/>
      <c r="D688" s="1008"/>
      <c r="E688" s="20"/>
      <c r="F688" s="20"/>
      <c r="G688" s="215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982"/>
      <c r="D689" s="1008"/>
      <c r="E689" s="20"/>
      <c r="F689" s="20"/>
      <c r="G689" s="215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982"/>
      <c r="D690" s="1008"/>
      <c r="E690" s="20"/>
      <c r="F690" s="20"/>
      <c r="G690" s="215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982"/>
      <c r="D691" s="1008"/>
      <c r="E691" s="20"/>
      <c r="F691" s="20"/>
      <c r="G691" s="215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982"/>
      <c r="D692" s="1008"/>
      <c r="E692" s="20"/>
      <c r="F692" s="20"/>
      <c r="G692" s="215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982"/>
      <c r="D693" s="1008"/>
      <c r="E693" s="20"/>
      <c r="F693" s="20"/>
      <c r="G693" s="215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982"/>
      <c r="D694" s="1008"/>
      <c r="E694" s="20"/>
      <c r="F694" s="20"/>
      <c r="G694" s="215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982"/>
      <c r="D695" s="1008"/>
      <c r="E695" s="20"/>
      <c r="F695" s="20"/>
      <c r="G695" s="215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982"/>
      <c r="D696" s="1008"/>
      <c r="E696" s="20"/>
      <c r="F696" s="20"/>
      <c r="G696" s="215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982"/>
      <c r="D697" s="1008"/>
      <c r="E697" s="20"/>
      <c r="F697" s="20"/>
      <c r="G697" s="215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982"/>
      <c r="D698" s="1008"/>
      <c r="E698" s="20"/>
      <c r="F698" s="20"/>
      <c r="G698" s="215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982"/>
      <c r="D699" s="1008"/>
      <c r="E699" s="20"/>
      <c r="F699" s="20"/>
      <c r="G699" s="215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982"/>
      <c r="D700" s="1008"/>
      <c r="E700" s="20"/>
      <c r="F700" s="20"/>
      <c r="G700" s="215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982"/>
      <c r="D701" s="1008"/>
      <c r="E701" s="20"/>
      <c r="F701" s="20"/>
      <c r="G701" s="215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982"/>
      <c r="D702" s="1008"/>
      <c r="E702" s="20"/>
      <c r="F702" s="20"/>
      <c r="G702" s="215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982"/>
      <c r="D703" s="1008"/>
      <c r="E703" s="20"/>
      <c r="F703" s="20"/>
      <c r="G703" s="215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982"/>
      <c r="D704" s="1008"/>
      <c r="E704" s="20"/>
      <c r="F704" s="20"/>
      <c r="G704" s="215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982"/>
      <c r="D705" s="1008"/>
      <c r="E705" s="20"/>
      <c r="F705" s="20"/>
      <c r="G705" s="215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982"/>
      <c r="D706" s="1008"/>
      <c r="E706" s="20"/>
      <c r="F706" s="20"/>
      <c r="G706" s="215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982"/>
      <c r="D707" s="1008"/>
      <c r="E707" s="20"/>
      <c r="F707" s="20"/>
      <c r="G707" s="215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982"/>
      <c r="D708" s="1008"/>
      <c r="E708" s="20"/>
      <c r="F708" s="20"/>
      <c r="G708" s="215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982"/>
      <c r="D709" s="1008"/>
      <c r="E709" s="20"/>
      <c r="F709" s="20"/>
      <c r="G709" s="215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982"/>
      <c r="D710" s="1008"/>
      <c r="E710" s="20"/>
      <c r="F710" s="20"/>
      <c r="G710" s="215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982"/>
      <c r="D711" s="1008"/>
      <c r="E711" s="20"/>
      <c r="F711" s="20"/>
      <c r="G711" s="215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982"/>
      <c r="D712" s="1008"/>
      <c r="E712" s="20"/>
      <c r="F712" s="20"/>
      <c r="G712" s="215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982"/>
      <c r="D713" s="1008"/>
      <c r="E713" s="20"/>
      <c r="F713" s="20"/>
      <c r="G713" s="215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982"/>
      <c r="D714" s="1008"/>
      <c r="E714" s="20"/>
      <c r="F714" s="20"/>
      <c r="G714" s="215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982"/>
      <c r="D715" s="1008"/>
      <c r="E715" s="20"/>
      <c r="F715" s="20"/>
      <c r="G715" s="215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982"/>
      <c r="D716" s="1008"/>
      <c r="E716" s="20"/>
      <c r="F716" s="20"/>
      <c r="G716" s="215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982"/>
      <c r="D717" s="1008"/>
      <c r="E717" s="20"/>
      <c r="F717" s="20"/>
      <c r="G717" s="215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982"/>
      <c r="D718" s="1008"/>
      <c r="E718" s="20"/>
      <c r="F718" s="20"/>
      <c r="G718" s="215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982"/>
      <c r="D719" s="1008"/>
      <c r="E719" s="20"/>
      <c r="F719" s="20"/>
      <c r="G719" s="215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982"/>
      <c r="D720" s="1008"/>
      <c r="E720" s="20"/>
      <c r="F720" s="20"/>
      <c r="G720" s="215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982"/>
      <c r="D721" s="1008"/>
      <c r="E721" s="20"/>
      <c r="F721" s="20"/>
      <c r="G721" s="215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982"/>
      <c r="D722" s="1008"/>
      <c r="E722" s="20"/>
      <c r="F722" s="20"/>
      <c r="G722" s="215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982"/>
      <c r="D723" s="1008"/>
      <c r="E723" s="20"/>
      <c r="F723" s="20"/>
      <c r="G723" s="215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982"/>
      <c r="D724" s="1008"/>
      <c r="E724" s="20"/>
      <c r="F724" s="20"/>
      <c r="G724" s="215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982"/>
      <c r="D725" s="1008"/>
      <c r="E725" s="20"/>
      <c r="F725" s="20"/>
      <c r="G725" s="215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982"/>
      <c r="D726" s="1008"/>
      <c r="E726" s="20"/>
      <c r="F726" s="20"/>
      <c r="G726" s="215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982"/>
      <c r="D727" s="1008"/>
      <c r="E727" s="20"/>
      <c r="F727" s="20"/>
      <c r="G727" s="215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982"/>
      <c r="D728" s="1008"/>
      <c r="E728" s="20"/>
      <c r="F728" s="20"/>
      <c r="G728" s="215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982"/>
      <c r="D729" s="1008"/>
      <c r="E729" s="20"/>
      <c r="F729" s="20"/>
      <c r="G729" s="215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982"/>
      <c r="D730" s="1008"/>
      <c r="E730" s="20"/>
      <c r="F730" s="20"/>
      <c r="G730" s="215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982"/>
      <c r="D731" s="1008"/>
      <c r="E731" s="20"/>
      <c r="F731" s="20"/>
      <c r="G731" s="215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982"/>
      <c r="D732" s="1008"/>
      <c r="E732" s="20"/>
      <c r="F732" s="20"/>
      <c r="G732" s="215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982"/>
      <c r="D733" s="1008"/>
      <c r="E733" s="20"/>
      <c r="F733" s="20"/>
      <c r="G733" s="215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982"/>
      <c r="D734" s="1008"/>
      <c r="E734" s="20"/>
      <c r="F734" s="20"/>
      <c r="G734" s="215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982"/>
      <c r="D735" s="1008"/>
      <c r="E735" s="20"/>
      <c r="F735" s="20"/>
      <c r="G735" s="215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982"/>
      <c r="D736" s="1008"/>
      <c r="E736" s="20"/>
      <c r="F736" s="20"/>
      <c r="G736" s="215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982"/>
      <c r="D737" s="1008"/>
      <c r="E737" s="20"/>
      <c r="F737" s="20"/>
      <c r="G737" s="215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982"/>
      <c r="D738" s="1008"/>
      <c r="E738" s="20"/>
      <c r="F738" s="20"/>
      <c r="G738" s="215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982"/>
      <c r="D739" s="1008"/>
      <c r="E739" s="20"/>
      <c r="F739" s="20"/>
      <c r="G739" s="215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982"/>
      <c r="D740" s="1008"/>
      <c r="E740" s="20"/>
      <c r="F740" s="20"/>
      <c r="G740" s="215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982"/>
      <c r="D741" s="1008"/>
      <c r="E741" s="20"/>
      <c r="F741" s="20"/>
      <c r="G741" s="215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982"/>
      <c r="D742" s="1008"/>
      <c r="E742" s="20"/>
      <c r="F742" s="20"/>
      <c r="G742" s="215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982"/>
      <c r="D743" s="1008"/>
      <c r="E743" s="20"/>
      <c r="F743" s="20"/>
      <c r="G743" s="215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982"/>
      <c r="D744" s="1008"/>
      <c r="E744" s="20"/>
      <c r="F744" s="20"/>
      <c r="G744" s="215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982"/>
      <c r="D745" s="1008"/>
      <c r="E745" s="20"/>
      <c r="F745" s="20"/>
      <c r="G745" s="215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982"/>
      <c r="D746" s="1008"/>
      <c r="E746" s="20"/>
      <c r="F746" s="20"/>
      <c r="G746" s="215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982"/>
      <c r="D747" s="1008"/>
      <c r="E747" s="20"/>
      <c r="F747" s="20"/>
      <c r="G747" s="215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982"/>
      <c r="D748" s="1008"/>
      <c r="E748" s="20"/>
      <c r="F748" s="20"/>
      <c r="G748" s="215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982"/>
      <c r="D749" s="1008"/>
      <c r="E749" s="20"/>
      <c r="F749" s="20"/>
      <c r="G749" s="215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982"/>
      <c r="D750" s="1008"/>
      <c r="E750" s="20"/>
      <c r="F750" s="20"/>
      <c r="G750" s="215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982"/>
      <c r="D751" s="1008"/>
      <c r="E751" s="20"/>
      <c r="F751" s="20"/>
      <c r="G751" s="215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982"/>
      <c r="D752" s="1008"/>
      <c r="E752" s="20"/>
      <c r="F752" s="20"/>
      <c r="G752" s="215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982"/>
      <c r="D753" s="1008"/>
      <c r="E753" s="20"/>
      <c r="F753" s="20"/>
      <c r="G753" s="215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982"/>
      <c r="D754" s="1008"/>
      <c r="E754" s="20"/>
      <c r="F754" s="20"/>
      <c r="G754" s="215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982"/>
      <c r="D755" s="1008"/>
      <c r="E755" s="20"/>
      <c r="F755" s="20"/>
      <c r="G755" s="215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982"/>
      <c r="D756" s="1008"/>
      <c r="E756" s="20"/>
      <c r="F756" s="20"/>
      <c r="G756" s="215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982"/>
      <c r="D757" s="1008"/>
      <c r="E757" s="20"/>
      <c r="F757" s="20"/>
      <c r="G757" s="215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982"/>
      <c r="D758" s="1008"/>
      <c r="E758" s="20"/>
      <c r="F758" s="20"/>
      <c r="G758" s="215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982"/>
      <c r="D759" s="1008"/>
      <c r="E759" s="20"/>
      <c r="F759" s="20"/>
      <c r="G759" s="215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982"/>
      <c r="D760" s="1008"/>
      <c r="E760" s="20"/>
      <c r="F760" s="20"/>
      <c r="G760" s="215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982"/>
      <c r="D761" s="1008"/>
      <c r="E761" s="20"/>
      <c r="F761" s="20"/>
      <c r="G761" s="215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982"/>
      <c r="D762" s="1008"/>
      <c r="E762" s="20"/>
      <c r="F762" s="20"/>
      <c r="G762" s="215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982"/>
      <c r="D763" s="1008"/>
      <c r="E763" s="20"/>
      <c r="F763" s="20"/>
      <c r="G763" s="215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982"/>
      <c r="D764" s="1008"/>
      <c r="E764" s="20"/>
      <c r="F764" s="20"/>
      <c r="G764" s="215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982"/>
      <c r="D765" s="1008"/>
      <c r="E765" s="20"/>
      <c r="F765" s="20"/>
      <c r="G765" s="215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982"/>
      <c r="D766" s="1008"/>
      <c r="E766" s="20"/>
      <c r="F766" s="20"/>
      <c r="G766" s="215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982"/>
      <c r="D767" s="1008"/>
      <c r="E767" s="20"/>
      <c r="F767" s="20"/>
      <c r="G767" s="215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982"/>
      <c r="D768" s="1008"/>
      <c r="E768" s="20"/>
      <c r="F768" s="20"/>
      <c r="G768" s="215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982"/>
      <c r="D769" s="1008"/>
      <c r="E769" s="20"/>
      <c r="F769" s="20"/>
      <c r="G769" s="215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982"/>
      <c r="D770" s="1008"/>
      <c r="E770" s="20"/>
      <c r="F770" s="20"/>
      <c r="G770" s="215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982"/>
      <c r="D771" s="1008"/>
      <c r="E771" s="20"/>
      <c r="F771" s="20"/>
      <c r="G771" s="215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982"/>
      <c r="D772" s="1008"/>
      <c r="E772" s="20"/>
      <c r="F772" s="20"/>
      <c r="G772" s="215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982"/>
      <c r="D773" s="1008"/>
      <c r="E773" s="20"/>
      <c r="F773" s="20"/>
      <c r="G773" s="215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982"/>
      <c r="D774" s="1008"/>
      <c r="E774" s="20"/>
      <c r="F774" s="20"/>
      <c r="G774" s="215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982"/>
      <c r="D775" s="1008"/>
      <c r="E775" s="20"/>
      <c r="F775" s="20"/>
      <c r="G775" s="215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982"/>
      <c r="D776" s="1008"/>
      <c r="E776" s="20"/>
      <c r="F776" s="20"/>
      <c r="G776" s="215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982"/>
      <c r="D777" s="1008"/>
      <c r="E777" s="20"/>
      <c r="F777" s="20"/>
      <c r="G777" s="215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982"/>
      <c r="D778" s="1008"/>
      <c r="E778" s="20"/>
      <c r="F778" s="20"/>
      <c r="G778" s="215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982"/>
      <c r="D779" s="1008"/>
      <c r="E779" s="20"/>
      <c r="F779" s="20"/>
      <c r="G779" s="215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982"/>
      <c r="D780" s="1008"/>
      <c r="E780" s="20"/>
      <c r="F780" s="20"/>
      <c r="G780" s="215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982"/>
      <c r="D781" s="1008"/>
      <c r="E781" s="20"/>
      <c r="F781" s="20"/>
      <c r="G781" s="215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982"/>
      <c r="D782" s="1008"/>
      <c r="E782" s="20"/>
      <c r="F782" s="20"/>
      <c r="G782" s="215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982"/>
      <c r="D783" s="1008"/>
      <c r="E783" s="20"/>
      <c r="F783" s="20"/>
      <c r="G783" s="215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982"/>
      <c r="D784" s="1008"/>
      <c r="E784" s="20"/>
      <c r="F784" s="20"/>
      <c r="G784" s="215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982"/>
      <c r="D785" s="1008"/>
      <c r="E785" s="20"/>
      <c r="F785" s="20"/>
      <c r="G785" s="215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982"/>
      <c r="D786" s="1008"/>
      <c r="E786" s="20"/>
      <c r="F786" s="20"/>
      <c r="G786" s="215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982"/>
      <c r="D787" s="1008"/>
      <c r="E787" s="20"/>
      <c r="F787" s="20"/>
      <c r="G787" s="215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982"/>
      <c r="D788" s="1008"/>
      <c r="E788" s="20"/>
      <c r="F788" s="20"/>
      <c r="G788" s="215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982"/>
      <c r="D789" s="1008"/>
      <c r="E789" s="20"/>
      <c r="F789" s="20"/>
      <c r="G789" s="215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982"/>
      <c r="D790" s="1008"/>
      <c r="E790" s="20"/>
      <c r="F790" s="20"/>
      <c r="G790" s="215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982"/>
      <c r="D791" s="1008"/>
      <c r="E791" s="20"/>
      <c r="F791" s="20"/>
      <c r="G791" s="215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982"/>
      <c r="D792" s="1008"/>
      <c r="E792" s="20"/>
      <c r="F792" s="20"/>
      <c r="G792" s="215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982"/>
      <c r="D793" s="1008"/>
      <c r="E793" s="20"/>
      <c r="F793" s="20"/>
      <c r="G793" s="215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982"/>
      <c r="D794" s="1008"/>
      <c r="E794" s="20"/>
      <c r="F794" s="20"/>
      <c r="G794" s="215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982"/>
      <c r="D795" s="1008"/>
      <c r="E795" s="20"/>
      <c r="F795" s="20"/>
      <c r="G795" s="215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982"/>
      <c r="D796" s="1008"/>
      <c r="E796" s="20"/>
      <c r="F796" s="20"/>
      <c r="G796" s="215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982"/>
      <c r="D797" s="1008"/>
      <c r="E797" s="20"/>
      <c r="F797" s="20"/>
      <c r="G797" s="215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982"/>
      <c r="D798" s="1008"/>
      <c r="E798" s="20"/>
      <c r="F798" s="20"/>
      <c r="G798" s="215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982"/>
      <c r="D799" s="1008"/>
      <c r="E799" s="20"/>
      <c r="F799" s="20"/>
      <c r="G799" s="215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982"/>
      <c r="D800" s="1008"/>
      <c r="E800" s="20"/>
      <c r="F800" s="20"/>
      <c r="G800" s="215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982"/>
      <c r="D801" s="1008"/>
      <c r="E801" s="20"/>
      <c r="F801" s="20"/>
      <c r="G801" s="215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982"/>
      <c r="D802" s="1008"/>
      <c r="E802" s="20"/>
      <c r="F802" s="20"/>
      <c r="G802" s="215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982"/>
      <c r="D803" s="1008"/>
      <c r="E803" s="20"/>
      <c r="F803" s="20"/>
      <c r="G803" s="215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982"/>
      <c r="D804" s="1008"/>
      <c r="E804" s="20"/>
      <c r="F804" s="20"/>
      <c r="G804" s="215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982"/>
      <c r="D805" s="1008"/>
      <c r="E805" s="20"/>
      <c r="F805" s="20"/>
      <c r="G805" s="215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982"/>
      <c r="D806" s="1008"/>
      <c r="E806" s="20"/>
      <c r="F806" s="20"/>
      <c r="G806" s="215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982"/>
      <c r="D807" s="1008"/>
      <c r="E807" s="20"/>
      <c r="F807" s="20"/>
      <c r="G807" s="215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982"/>
      <c r="D808" s="1008"/>
      <c r="E808" s="20"/>
      <c r="F808" s="20"/>
      <c r="G808" s="215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982"/>
      <c r="D809" s="1008"/>
      <c r="E809" s="20"/>
      <c r="F809" s="20"/>
      <c r="G809" s="215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982"/>
      <c r="D810" s="1008"/>
      <c r="E810" s="20"/>
      <c r="F810" s="20"/>
      <c r="G810" s="215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982"/>
      <c r="D811" s="1008"/>
      <c r="E811" s="20"/>
      <c r="F811" s="20"/>
      <c r="G811" s="215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982"/>
      <c r="D812" s="1008"/>
      <c r="E812" s="20"/>
      <c r="F812" s="20"/>
      <c r="G812" s="215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982"/>
      <c r="D813" s="1008"/>
      <c r="E813" s="20"/>
      <c r="F813" s="20"/>
      <c r="G813" s="215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982"/>
      <c r="D814" s="1008"/>
      <c r="E814" s="20"/>
      <c r="F814" s="20"/>
      <c r="G814" s="215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982"/>
      <c r="D815" s="1008"/>
      <c r="E815" s="20"/>
      <c r="F815" s="20"/>
      <c r="G815" s="215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982"/>
      <c r="D816" s="1008"/>
      <c r="E816" s="20"/>
      <c r="F816" s="20"/>
      <c r="G816" s="215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982"/>
      <c r="D817" s="1008"/>
      <c r="E817" s="20"/>
      <c r="F817" s="20"/>
      <c r="G817" s="215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982"/>
      <c r="D818" s="1008"/>
      <c r="E818" s="20"/>
      <c r="F818" s="20"/>
      <c r="G818" s="215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982"/>
      <c r="D819" s="1008"/>
      <c r="E819" s="20"/>
      <c r="F819" s="20"/>
      <c r="G819" s="215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982"/>
      <c r="D820" s="1008"/>
      <c r="E820" s="20"/>
      <c r="F820" s="20"/>
      <c r="G820" s="215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982"/>
      <c r="D821" s="1008"/>
      <c r="E821" s="20"/>
      <c r="F821" s="20"/>
      <c r="G821" s="215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982"/>
      <c r="D822" s="1008"/>
      <c r="E822" s="20"/>
      <c r="F822" s="20"/>
      <c r="G822" s="215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982"/>
      <c r="D823" s="1008"/>
      <c r="E823" s="20"/>
      <c r="F823" s="20"/>
      <c r="G823" s="215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982"/>
      <c r="D824" s="1008"/>
      <c r="E824" s="20"/>
      <c r="F824" s="20"/>
      <c r="G824" s="215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982"/>
      <c r="D825" s="1008"/>
      <c r="E825" s="20"/>
      <c r="F825" s="20"/>
      <c r="G825" s="215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982"/>
      <c r="D826" s="1008"/>
      <c r="E826" s="20"/>
      <c r="F826" s="20"/>
      <c r="G826" s="215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982"/>
      <c r="D827" s="1008"/>
      <c r="E827" s="20"/>
      <c r="F827" s="20"/>
      <c r="G827" s="215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982"/>
      <c r="D828" s="1008"/>
      <c r="E828" s="20"/>
      <c r="F828" s="20"/>
      <c r="G828" s="215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982"/>
      <c r="D829" s="1008"/>
      <c r="E829" s="20"/>
      <c r="F829" s="20"/>
      <c r="G829" s="215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982"/>
      <c r="D830" s="1008"/>
      <c r="E830" s="20"/>
      <c r="F830" s="20"/>
      <c r="G830" s="215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982"/>
      <c r="D831" s="1008"/>
      <c r="E831" s="20"/>
      <c r="F831" s="20"/>
      <c r="G831" s="215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982"/>
      <c r="D832" s="1008"/>
      <c r="E832" s="20"/>
      <c r="F832" s="20"/>
      <c r="G832" s="215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982"/>
      <c r="D833" s="1008"/>
      <c r="E833" s="20"/>
      <c r="F833" s="20"/>
      <c r="G833" s="215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982"/>
      <c r="D834" s="1008"/>
      <c r="E834" s="20"/>
      <c r="F834" s="20"/>
      <c r="G834" s="215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982"/>
      <c r="D835" s="1008"/>
      <c r="E835" s="20"/>
      <c r="F835" s="20"/>
      <c r="G835" s="215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982"/>
      <c r="D836" s="1008"/>
      <c r="E836" s="20"/>
      <c r="F836" s="20"/>
      <c r="G836" s="215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982"/>
      <c r="D837" s="1008"/>
      <c r="E837" s="20"/>
      <c r="F837" s="20"/>
      <c r="G837" s="215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982"/>
      <c r="D838" s="1008"/>
      <c r="E838" s="20"/>
      <c r="F838" s="20"/>
      <c r="G838" s="215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982"/>
      <c r="D839" s="1008"/>
      <c r="E839" s="20"/>
      <c r="F839" s="20"/>
      <c r="G839" s="215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982"/>
      <c r="D840" s="1008"/>
      <c r="E840" s="20"/>
      <c r="F840" s="20"/>
      <c r="G840" s="215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982"/>
      <c r="D841" s="1008"/>
      <c r="E841" s="20"/>
      <c r="F841" s="20"/>
      <c r="G841" s="215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982"/>
      <c r="D842" s="1008"/>
      <c r="E842" s="20"/>
      <c r="F842" s="20"/>
      <c r="G842" s="215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982"/>
      <c r="D843" s="1008"/>
      <c r="E843" s="20"/>
      <c r="F843" s="20"/>
      <c r="G843" s="215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982"/>
      <c r="D844" s="1008"/>
      <c r="E844" s="20"/>
      <c r="F844" s="20"/>
      <c r="G844" s="215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982"/>
      <c r="D845" s="1008"/>
      <c r="E845" s="20"/>
      <c r="F845" s="20"/>
      <c r="G845" s="215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982"/>
      <c r="D846" s="1008"/>
      <c r="E846" s="20"/>
      <c r="F846" s="20"/>
      <c r="G846" s="215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982"/>
      <c r="D847" s="1008"/>
      <c r="E847" s="20"/>
      <c r="F847" s="20"/>
      <c r="G847" s="215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982"/>
      <c r="D848" s="1008"/>
      <c r="E848" s="20"/>
      <c r="F848" s="20"/>
      <c r="G848" s="215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982"/>
      <c r="D849" s="1008"/>
      <c r="E849" s="20"/>
      <c r="F849" s="20"/>
      <c r="G849" s="215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982"/>
      <c r="D850" s="1008"/>
      <c r="E850" s="20"/>
      <c r="F850" s="20"/>
      <c r="G850" s="215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982"/>
      <c r="D851" s="1008"/>
      <c r="E851" s="20"/>
      <c r="F851" s="20"/>
      <c r="G851" s="215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982"/>
      <c r="D852" s="1008"/>
      <c r="E852" s="20"/>
      <c r="F852" s="20"/>
      <c r="G852" s="215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982"/>
      <c r="D853" s="1008"/>
      <c r="E853" s="20"/>
      <c r="F853" s="20"/>
      <c r="G853" s="215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982"/>
      <c r="D854" s="1008"/>
      <c r="E854" s="20"/>
      <c r="F854" s="20"/>
      <c r="G854" s="215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982"/>
      <c r="D855" s="1008"/>
      <c r="E855" s="20"/>
      <c r="F855" s="20"/>
      <c r="G855" s="215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982"/>
      <c r="D856" s="1008"/>
      <c r="E856" s="20"/>
      <c r="F856" s="20"/>
      <c r="G856" s="215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982"/>
      <c r="D857" s="1008"/>
      <c r="E857" s="20"/>
      <c r="F857" s="20"/>
      <c r="G857" s="215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982"/>
      <c r="D858" s="1008"/>
      <c r="E858" s="20"/>
      <c r="F858" s="20"/>
      <c r="G858" s="215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982"/>
      <c r="D859" s="1008"/>
      <c r="E859" s="20"/>
      <c r="F859" s="20"/>
      <c r="G859" s="215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982"/>
      <c r="D860" s="1008"/>
      <c r="E860" s="20"/>
      <c r="F860" s="20"/>
      <c r="G860" s="215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982"/>
      <c r="D861" s="1008"/>
      <c r="E861" s="20"/>
      <c r="F861" s="20"/>
      <c r="G861" s="215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982"/>
      <c r="D862" s="1008"/>
      <c r="E862" s="20"/>
      <c r="F862" s="20"/>
      <c r="G862" s="215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982"/>
      <c r="D863" s="1008"/>
      <c r="E863" s="20"/>
      <c r="F863" s="20"/>
      <c r="G863" s="215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982"/>
      <c r="D864" s="1008"/>
      <c r="E864" s="20"/>
      <c r="F864" s="20"/>
      <c r="G864" s="215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982"/>
      <c r="D865" s="1008"/>
      <c r="E865" s="20"/>
      <c r="F865" s="20"/>
      <c r="G865" s="215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982"/>
      <c r="D866" s="1008"/>
      <c r="E866" s="20"/>
      <c r="F866" s="20"/>
      <c r="G866" s="215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982"/>
      <c r="D867" s="1008"/>
      <c r="E867" s="20"/>
      <c r="F867" s="20"/>
      <c r="G867" s="215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982"/>
      <c r="D868" s="1008"/>
      <c r="E868" s="20"/>
      <c r="F868" s="20"/>
      <c r="G868" s="215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982"/>
      <c r="D869" s="1008"/>
      <c r="E869" s="20"/>
      <c r="F869" s="20"/>
      <c r="G869" s="215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982"/>
      <c r="D870" s="1008"/>
      <c r="E870" s="20"/>
      <c r="F870" s="20"/>
      <c r="G870" s="215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982"/>
      <c r="D871" s="1008"/>
      <c r="E871" s="20"/>
      <c r="F871" s="20"/>
      <c r="G871" s="215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982"/>
      <c r="D872" s="1008"/>
      <c r="E872" s="20"/>
      <c r="F872" s="20"/>
      <c r="G872" s="215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982"/>
      <c r="D873" s="1008"/>
      <c r="E873" s="20"/>
      <c r="F873" s="20"/>
      <c r="G873" s="215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982"/>
      <c r="D874" s="1008"/>
      <c r="E874" s="20"/>
      <c r="F874" s="20"/>
      <c r="G874" s="215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982"/>
      <c r="D875" s="1008"/>
      <c r="E875" s="20"/>
      <c r="F875" s="20"/>
      <c r="G875" s="215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982"/>
      <c r="D876" s="1008"/>
      <c r="E876" s="20"/>
      <c r="F876" s="20"/>
      <c r="G876" s="215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982"/>
      <c r="D877" s="1008"/>
      <c r="E877" s="20"/>
      <c r="F877" s="20"/>
      <c r="G877" s="215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982"/>
      <c r="D878" s="1008"/>
      <c r="E878" s="20"/>
      <c r="F878" s="20"/>
      <c r="G878" s="215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982"/>
      <c r="D879" s="1008"/>
      <c r="E879" s="20"/>
      <c r="F879" s="20"/>
      <c r="G879" s="215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982"/>
      <c r="D880" s="1008"/>
      <c r="E880" s="20"/>
      <c r="F880" s="20"/>
      <c r="G880" s="215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982"/>
      <c r="D881" s="1008"/>
      <c r="E881" s="20"/>
      <c r="F881" s="20"/>
      <c r="G881" s="215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982"/>
      <c r="D882" s="1008"/>
      <c r="E882" s="20"/>
      <c r="F882" s="20"/>
      <c r="G882" s="215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982"/>
      <c r="D883" s="1008"/>
      <c r="E883" s="20"/>
      <c r="F883" s="20"/>
      <c r="G883" s="215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982"/>
      <c r="D884" s="1008"/>
      <c r="E884" s="20"/>
      <c r="F884" s="20"/>
      <c r="G884" s="215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982"/>
      <c r="D885" s="1008"/>
      <c r="E885" s="20"/>
      <c r="F885" s="20"/>
      <c r="G885" s="215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982"/>
      <c r="D886" s="1008"/>
      <c r="E886" s="20"/>
      <c r="F886" s="20"/>
      <c r="G886" s="215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982"/>
      <c r="D887" s="1008"/>
      <c r="E887" s="20"/>
      <c r="F887" s="20"/>
      <c r="G887" s="215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982"/>
      <c r="D888" s="1008"/>
      <c r="E888" s="20"/>
      <c r="F888" s="20"/>
      <c r="G888" s="215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982"/>
      <c r="D889" s="1008"/>
      <c r="E889" s="20"/>
      <c r="F889" s="20"/>
      <c r="G889" s="215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982"/>
      <c r="D890" s="1008"/>
      <c r="E890" s="20"/>
      <c r="F890" s="20"/>
      <c r="G890" s="215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982"/>
      <c r="D891" s="1008"/>
      <c r="E891" s="20"/>
      <c r="F891" s="20"/>
      <c r="G891" s="215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982"/>
      <c r="D892" s="1008"/>
      <c r="E892" s="20"/>
      <c r="F892" s="20"/>
      <c r="G892" s="215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982"/>
      <c r="D893" s="1008"/>
      <c r="E893" s="20"/>
      <c r="F893" s="20"/>
      <c r="G893" s="215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982"/>
      <c r="D894" s="1008"/>
      <c r="E894" s="20"/>
      <c r="F894" s="20"/>
      <c r="G894" s="215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982"/>
      <c r="D895" s="1008"/>
      <c r="E895" s="20"/>
      <c r="F895" s="20"/>
      <c r="G895" s="215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982"/>
      <c r="D896" s="1008"/>
      <c r="E896" s="20"/>
      <c r="F896" s="20"/>
      <c r="G896" s="215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982"/>
      <c r="D897" s="1008"/>
      <c r="E897" s="20"/>
      <c r="F897" s="20"/>
      <c r="G897" s="215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982"/>
      <c r="D898" s="1008"/>
      <c r="E898" s="20"/>
      <c r="F898" s="20"/>
      <c r="G898" s="215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982"/>
      <c r="D899" s="1008"/>
      <c r="E899" s="20"/>
      <c r="F899" s="20"/>
      <c r="G899" s="215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982"/>
      <c r="D900" s="1008"/>
      <c r="E900" s="20"/>
      <c r="F900" s="20"/>
      <c r="G900" s="215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982"/>
      <c r="D901" s="1008"/>
      <c r="E901" s="20"/>
      <c r="F901" s="20"/>
      <c r="G901" s="215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982"/>
      <c r="D902" s="1008"/>
      <c r="E902" s="20"/>
      <c r="F902" s="20"/>
      <c r="G902" s="215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982"/>
      <c r="D903" s="1008"/>
      <c r="E903" s="20"/>
      <c r="F903" s="20"/>
      <c r="G903" s="215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982"/>
      <c r="D904" s="1008"/>
      <c r="E904" s="20"/>
      <c r="F904" s="20"/>
      <c r="G904" s="215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982"/>
      <c r="D905" s="1008"/>
      <c r="E905" s="20"/>
      <c r="F905" s="20"/>
      <c r="G905" s="215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982"/>
      <c r="D906" s="1008"/>
      <c r="E906" s="20"/>
      <c r="F906" s="20"/>
      <c r="G906" s="215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982"/>
      <c r="D907" s="1008"/>
      <c r="E907" s="20"/>
      <c r="F907" s="20"/>
      <c r="G907" s="215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982"/>
      <c r="D908" s="1008"/>
      <c r="E908" s="20"/>
      <c r="F908" s="20"/>
      <c r="G908" s="215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982"/>
      <c r="D909" s="1008"/>
      <c r="E909" s="20"/>
      <c r="F909" s="20"/>
      <c r="G909" s="215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982"/>
      <c r="D910" s="1008"/>
      <c r="E910" s="20"/>
      <c r="F910" s="20"/>
      <c r="G910" s="215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982"/>
      <c r="D911" s="1008"/>
      <c r="E911" s="20"/>
      <c r="F911" s="20"/>
      <c r="G911" s="215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982"/>
      <c r="D912" s="1008"/>
      <c r="E912" s="20"/>
      <c r="F912" s="20"/>
      <c r="G912" s="215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982"/>
      <c r="D913" s="1008"/>
      <c r="E913" s="20"/>
      <c r="F913" s="20"/>
      <c r="G913" s="215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982"/>
      <c r="D914" s="1008"/>
      <c r="E914" s="20"/>
      <c r="F914" s="20"/>
      <c r="G914" s="215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982"/>
      <c r="D915" s="1008"/>
      <c r="E915" s="20"/>
      <c r="F915" s="20"/>
      <c r="G915" s="215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982"/>
      <c r="D916" s="1008"/>
      <c r="E916" s="20"/>
      <c r="F916" s="20"/>
      <c r="G916" s="215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982"/>
      <c r="D917" s="1008"/>
      <c r="E917" s="20"/>
      <c r="F917" s="20"/>
      <c r="G917" s="215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982"/>
      <c r="D918" s="1008"/>
      <c r="E918" s="20"/>
      <c r="F918" s="20"/>
      <c r="G918" s="215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982"/>
      <c r="D919" s="1008"/>
      <c r="E919" s="20"/>
      <c r="F919" s="20"/>
      <c r="G919" s="215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982"/>
      <c r="D920" s="1008"/>
      <c r="E920" s="20"/>
      <c r="F920" s="20"/>
      <c r="G920" s="215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982"/>
      <c r="D921" s="1008"/>
      <c r="E921" s="20"/>
      <c r="F921" s="20"/>
      <c r="G921" s="215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982"/>
      <c r="D922" s="1008"/>
      <c r="E922" s="20"/>
      <c r="F922" s="20"/>
      <c r="G922" s="215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982"/>
      <c r="D923" s="1008"/>
      <c r="E923" s="20"/>
      <c r="F923" s="20"/>
      <c r="G923" s="215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982"/>
      <c r="D924" s="1008"/>
      <c r="E924" s="20"/>
      <c r="F924" s="20"/>
      <c r="G924" s="215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982"/>
      <c r="D925" s="1008"/>
      <c r="E925" s="20"/>
      <c r="F925" s="20"/>
      <c r="G925" s="215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982"/>
      <c r="D926" s="1008"/>
      <c r="E926" s="20"/>
      <c r="F926" s="20"/>
      <c r="G926" s="215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982"/>
      <c r="D927" s="1008"/>
      <c r="E927" s="20"/>
      <c r="F927" s="20"/>
      <c r="G927" s="215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982"/>
      <c r="D928" s="1008"/>
      <c r="E928" s="20"/>
      <c r="F928" s="20"/>
      <c r="G928" s="215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982"/>
      <c r="D929" s="1008"/>
      <c r="E929" s="20"/>
      <c r="F929" s="20"/>
      <c r="G929" s="215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982"/>
      <c r="D930" s="1008"/>
      <c r="E930" s="20"/>
      <c r="F930" s="20"/>
      <c r="G930" s="215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982"/>
      <c r="D931" s="1008"/>
      <c r="E931" s="20"/>
      <c r="F931" s="20"/>
      <c r="G931" s="215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982"/>
      <c r="D932" s="1008"/>
      <c r="E932" s="20"/>
      <c r="F932" s="20"/>
      <c r="G932" s="215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982"/>
      <c r="D933" s="1008"/>
      <c r="E933" s="20"/>
      <c r="F933" s="20"/>
      <c r="G933" s="215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982"/>
      <c r="D934" s="1008"/>
      <c r="E934" s="20"/>
      <c r="F934" s="20"/>
      <c r="G934" s="215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982"/>
      <c r="D935" s="1008"/>
      <c r="E935" s="20"/>
      <c r="F935" s="20"/>
      <c r="G935" s="215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982"/>
      <c r="D936" s="1008"/>
      <c r="E936" s="20"/>
      <c r="F936" s="20"/>
      <c r="G936" s="215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982"/>
      <c r="D937" s="1008"/>
      <c r="E937" s="20"/>
      <c r="F937" s="20"/>
      <c r="G937" s="215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982"/>
      <c r="D938" s="1008"/>
      <c r="E938" s="20"/>
      <c r="F938" s="20"/>
      <c r="G938" s="215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982"/>
      <c r="D939" s="1008"/>
      <c r="E939" s="20"/>
      <c r="F939" s="20"/>
      <c r="G939" s="215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982"/>
      <c r="D940" s="1008"/>
      <c r="E940" s="20"/>
      <c r="F940" s="20"/>
      <c r="G940" s="215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982"/>
      <c r="D941" s="1008"/>
      <c r="E941" s="20"/>
      <c r="F941" s="20"/>
      <c r="G941" s="215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982"/>
      <c r="D942" s="1008"/>
      <c r="E942" s="20"/>
      <c r="F942" s="20"/>
      <c r="G942" s="215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982"/>
      <c r="D943" s="1008"/>
      <c r="E943" s="20"/>
      <c r="F943" s="20"/>
      <c r="G943" s="215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982"/>
      <c r="D944" s="1008"/>
      <c r="E944" s="20"/>
      <c r="F944" s="20"/>
      <c r="G944" s="215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982"/>
      <c r="D945" s="1008"/>
      <c r="E945" s="20"/>
      <c r="F945" s="20"/>
      <c r="G945" s="215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982"/>
      <c r="D946" s="1008"/>
      <c r="E946" s="20"/>
      <c r="F946" s="20"/>
      <c r="G946" s="215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982"/>
      <c r="D947" s="1008"/>
      <c r="E947" s="20"/>
      <c r="F947" s="20"/>
      <c r="G947" s="215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982"/>
      <c r="D948" s="1008"/>
      <c r="E948" s="20"/>
      <c r="F948" s="20"/>
      <c r="G948" s="215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982"/>
      <c r="D949" s="1008"/>
      <c r="E949" s="20"/>
      <c r="F949" s="20"/>
      <c r="G949" s="215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982"/>
      <c r="D950" s="1008"/>
      <c r="E950" s="20"/>
      <c r="F950" s="20"/>
      <c r="G950" s="215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982"/>
      <c r="D951" s="1008"/>
      <c r="E951" s="20"/>
      <c r="F951" s="20"/>
      <c r="G951" s="215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982"/>
      <c r="D952" s="1008"/>
      <c r="E952" s="20"/>
      <c r="F952" s="20"/>
      <c r="G952" s="215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982"/>
      <c r="D953" s="1008"/>
      <c r="E953" s="20"/>
      <c r="F953" s="20"/>
      <c r="G953" s="215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982"/>
      <c r="D954" s="1008"/>
      <c r="E954" s="20"/>
      <c r="F954" s="20"/>
      <c r="G954" s="215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982"/>
      <c r="D955" s="1008"/>
      <c r="E955" s="20"/>
      <c r="F955" s="20"/>
      <c r="G955" s="215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982"/>
      <c r="D956" s="1008"/>
      <c r="E956" s="20"/>
      <c r="F956" s="20"/>
      <c r="G956" s="215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982"/>
      <c r="D957" s="1008"/>
      <c r="E957" s="20"/>
      <c r="F957" s="20"/>
      <c r="G957" s="215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982"/>
      <c r="D958" s="1008"/>
      <c r="E958" s="20"/>
      <c r="F958" s="20"/>
      <c r="G958" s="215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982"/>
      <c r="D959" s="1008"/>
      <c r="E959" s="20"/>
      <c r="F959" s="20"/>
      <c r="G959" s="215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982"/>
      <c r="D960" s="1008"/>
      <c r="E960" s="20"/>
      <c r="F960" s="20"/>
      <c r="G960" s="215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982"/>
      <c r="D961" s="1008"/>
      <c r="E961" s="20"/>
      <c r="F961" s="20"/>
      <c r="G961" s="215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982"/>
      <c r="D962" s="1008"/>
      <c r="E962" s="20"/>
      <c r="F962" s="20"/>
      <c r="G962" s="215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982"/>
      <c r="D963" s="1008"/>
      <c r="E963" s="20"/>
      <c r="F963" s="20"/>
      <c r="G963" s="215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982"/>
      <c r="D964" s="1008"/>
      <c r="E964" s="20"/>
      <c r="F964" s="20"/>
      <c r="G964" s="215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982"/>
      <c r="D965" s="1008"/>
      <c r="E965" s="20"/>
      <c r="F965" s="20"/>
      <c r="G965" s="215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982"/>
      <c r="D966" s="1008"/>
      <c r="E966" s="20"/>
      <c r="F966" s="20"/>
      <c r="G966" s="215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982"/>
      <c r="D967" s="1008"/>
      <c r="E967" s="20"/>
      <c r="F967" s="20"/>
      <c r="G967" s="215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982"/>
      <c r="D968" s="1008"/>
      <c r="E968" s="20"/>
      <c r="F968" s="20"/>
      <c r="G968" s="215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982"/>
      <c r="D969" s="1008"/>
      <c r="E969" s="20"/>
      <c r="F969" s="20"/>
      <c r="G969" s="215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982"/>
      <c r="D970" s="1008"/>
      <c r="E970" s="20"/>
      <c r="F970" s="20"/>
      <c r="G970" s="215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982"/>
      <c r="D971" s="1008"/>
      <c r="E971" s="20"/>
      <c r="F971" s="20"/>
      <c r="G971" s="215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982"/>
      <c r="D972" s="1008"/>
      <c r="E972" s="20"/>
      <c r="F972" s="20"/>
      <c r="G972" s="215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982"/>
      <c r="D973" s="1008"/>
      <c r="E973" s="20"/>
      <c r="F973" s="20"/>
      <c r="G973" s="215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982"/>
      <c r="D974" s="1008"/>
      <c r="E974" s="20"/>
      <c r="F974" s="20"/>
      <c r="G974" s="215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982"/>
      <c r="D975" s="1008"/>
      <c r="E975" s="20"/>
      <c r="F975" s="20"/>
      <c r="G975" s="215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982"/>
      <c r="D976" s="1008"/>
      <c r="E976" s="20"/>
      <c r="F976" s="20"/>
      <c r="G976" s="215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982"/>
      <c r="D977" s="1008"/>
      <c r="E977" s="20"/>
      <c r="F977" s="20"/>
      <c r="G977" s="215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982"/>
      <c r="D978" s="1008"/>
      <c r="E978" s="20"/>
      <c r="F978" s="20"/>
      <c r="G978" s="215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982"/>
      <c r="D979" s="1008"/>
      <c r="E979" s="20"/>
      <c r="F979" s="20"/>
      <c r="G979" s="215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982"/>
      <c r="D980" s="1008"/>
      <c r="E980" s="20"/>
      <c r="F980" s="20"/>
      <c r="G980" s="215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982"/>
      <c r="D981" s="1008"/>
      <c r="E981" s="20"/>
      <c r="F981" s="20"/>
      <c r="G981" s="215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982"/>
      <c r="D982" s="1008"/>
      <c r="E982" s="20"/>
      <c r="F982" s="20"/>
      <c r="G982" s="215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982"/>
      <c r="D983" s="1008"/>
      <c r="E983" s="20"/>
      <c r="F983" s="20"/>
      <c r="G983" s="215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982"/>
      <c r="D984" s="1008"/>
      <c r="E984" s="20"/>
      <c r="F984" s="20"/>
      <c r="G984" s="215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982"/>
      <c r="D985" s="1008"/>
      <c r="E985" s="20"/>
      <c r="F985" s="20"/>
      <c r="G985" s="215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982"/>
      <c r="D986" s="1008"/>
      <c r="E986" s="20"/>
      <c r="F986" s="20"/>
      <c r="G986" s="215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982"/>
      <c r="D987" s="1008"/>
      <c r="E987" s="20"/>
      <c r="F987" s="20"/>
      <c r="G987" s="215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982"/>
      <c r="D988" s="1008"/>
      <c r="E988" s="20"/>
      <c r="F988" s="20"/>
      <c r="G988" s="215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982"/>
      <c r="D989" s="1008"/>
      <c r="E989" s="20"/>
      <c r="F989" s="20"/>
      <c r="G989" s="215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982"/>
      <c r="D990" s="1008"/>
      <c r="E990" s="20"/>
      <c r="F990" s="20"/>
      <c r="G990" s="215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982"/>
      <c r="D991" s="1008"/>
      <c r="E991" s="20"/>
      <c r="F991" s="20"/>
      <c r="G991" s="215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982"/>
      <c r="D992" s="1008"/>
      <c r="E992" s="20"/>
      <c r="F992" s="20"/>
      <c r="G992" s="215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982"/>
      <c r="D993" s="1008"/>
      <c r="E993" s="20"/>
      <c r="F993" s="20"/>
      <c r="G993" s="215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982"/>
      <c r="D994" s="1008"/>
      <c r="E994" s="20"/>
      <c r="F994" s="20"/>
      <c r="G994" s="215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982"/>
      <c r="D995" s="1008"/>
      <c r="E995" s="20"/>
      <c r="F995" s="20"/>
      <c r="G995" s="215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982"/>
      <c r="D996" s="1008"/>
      <c r="E996" s="20"/>
      <c r="F996" s="20"/>
      <c r="G996" s="215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982"/>
      <c r="D997" s="1008"/>
      <c r="E997" s="20"/>
      <c r="F997" s="20"/>
      <c r="G997" s="215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982"/>
      <c r="D998" s="1008"/>
      <c r="E998" s="20"/>
      <c r="F998" s="20"/>
      <c r="G998" s="215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982"/>
      <c r="D999" s="1008"/>
      <c r="E999" s="20"/>
      <c r="F999" s="20"/>
      <c r="G999" s="215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982"/>
      <c r="D1000" s="1008"/>
      <c r="E1000" s="20"/>
      <c r="F1000" s="20"/>
      <c r="G1000" s="215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A22:H23"/>
    <mergeCell ref="A32:H33"/>
    <mergeCell ref="B34:J34"/>
    <mergeCell ref="A1:F2"/>
    <mergeCell ref="G1:H1"/>
    <mergeCell ref="I1:J1"/>
    <mergeCell ref="G2:H2"/>
    <mergeCell ref="A3:I3"/>
    <mergeCell ref="E4:F4"/>
    <mergeCell ref="A24:I24"/>
    <mergeCell ref="I2:J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38"/>
    <col customWidth="1" min="2" max="2" width="30.5"/>
    <col customWidth="1" min="3" max="3" width="10.38"/>
    <col customWidth="1" min="4" max="4" width="9.75"/>
    <col customWidth="1" min="5" max="6" width="8.0"/>
    <col customWidth="1" min="7" max="7" width="8.75"/>
    <col customWidth="1" min="8" max="8" width="8.0"/>
    <col customWidth="1" min="9" max="9" width="9.75"/>
    <col customWidth="1" min="10" max="10" width="9.25"/>
    <col customWidth="1" min="11" max="26" width="8.0"/>
  </cols>
  <sheetData>
    <row r="1" ht="18.0" customHeight="1">
      <c r="A1" s="11" t="s">
        <v>5</v>
      </c>
      <c r="B1" s="3"/>
      <c r="C1" s="3"/>
      <c r="D1" s="3"/>
      <c r="E1" s="3"/>
      <c r="F1" s="4"/>
      <c r="G1" s="13" t="s">
        <v>6</v>
      </c>
      <c r="H1" s="7"/>
      <c r="I1" s="19">
        <v>408021.0</v>
      </c>
      <c r="J1" s="7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8.0" customHeight="1">
      <c r="A2" s="49"/>
      <c r="B2" s="50"/>
      <c r="C2" s="50"/>
      <c r="D2" s="50"/>
      <c r="E2" s="50"/>
      <c r="F2" s="51"/>
      <c r="G2" s="100" t="s">
        <v>18</v>
      </c>
      <c r="H2" s="7"/>
      <c r="I2" s="101">
        <v>263200.0</v>
      </c>
      <c r="J2" s="7"/>
      <c r="K2" s="20" t="s">
        <v>36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35" t="s">
        <v>19</v>
      </c>
      <c r="B3" s="10"/>
      <c r="C3" s="10"/>
      <c r="D3" s="10"/>
      <c r="E3" s="10"/>
      <c r="F3" s="10"/>
      <c r="G3" s="10"/>
      <c r="H3" s="10"/>
      <c r="I3" s="137"/>
      <c r="J3" s="138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59"/>
      <c r="B4" s="160"/>
      <c r="C4" s="161"/>
      <c r="D4" s="162"/>
      <c r="E4" s="160"/>
      <c r="F4" s="160"/>
      <c r="G4" s="168"/>
      <c r="H4" s="169"/>
      <c r="I4" s="170"/>
      <c r="J4" s="17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6.25" customHeight="1">
      <c r="A5" s="172" t="s">
        <v>26</v>
      </c>
      <c r="B5" s="173" t="s">
        <v>25</v>
      </c>
      <c r="C5" s="173" t="s">
        <v>47</v>
      </c>
      <c r="D5" s="173" t="s">
        <v>48</v>
      </c>
      <c r="E5" s="174" t="s">
        <v>64</v>
      </c>
      <c r="F5" s="175"/>
      <c r="G5" s="212" t="s">
        <v>65</v>
      </c>
      <c r="H5" s="213" t="s">
        <v>55</v>
      </c>
      <c r="I5" s="242">
        <v>2015.0</v>
      </c>
      <c r="J5" s="280">
        <v>2016.0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81" t="s">
        <v>101</v>
      </c>
      <c r="B6" s="283" t="s">
        <v>102</v>
      </c>
      <c r="C6" s="284" t="s">
        <v>104</v>
      </c>
      <c r="D6" s="284" t="s">
        <v>105</v>
      </c>
      <c r="E6" s="285">
        <v>42005.0</v>
      </c>
      <c r="F6" s="285">
        <v>42339.0</v>
      </c>
      <c r="G6" s="287">
        <v>53960.0</v>
      </c>
      <c r="H6" s="284" t="s">
        <v>83</v>
      </c>
      <c r="I6" s="287">
        <v>53960.0</v>
      </c>
      <c r="J6" s="289">
        <v>0.0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91"/>
      <c r="B7" s="293" t="s">
        <v>106</v>
      </c>
      <c r="C7" s="294" t="s">
        <v>107</v>
      </c>
      <c r="D7" s="294" t="s">
        <v>105</v>
      </c>
      <c r="E7" s="285">
        <v>42005.0</v>
      </c>
      <c r="F7" s="285">
        <v>42339.0</v>
      </c>
      <c r="G7" s="295">
        <v>92761.0</v>
      </c>
      <c r="H7" s="294" t="s">
        <v>83</v>
      </c>
      <c r="I7" s="295">
        <v>92761.0</v>
      </c>
      <c r="J7" s="296">
        <v>0.0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91"/>
      <c r="B8" s="283" t="s">
        <v>108</v>
      </c>
      <c r="C8" s="284" t="s">
        <v>109</v>
      </c>
      <c r="D8" s="284" t="s">
        <v>105</v>
      </c>
      <c r="E8" s="285">
        <v>42005.0</v>
      </c>
      <c r="F8" s="285">
        <v>42339.0</v>
      </c>
      <c r="G8" s="287">
        <v>38052.0</v>
      </c>
      <c r="H8" s="284" t="s">
        <v>83</v>
      </c>
      <c r="I8" s="287">
        <v>38052.0</v>
      </c>
      <c r="J8" s="289">
        <v>0.0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97"/>
      <c r="B9" s="298" t="s">
        <v>110</v>
      </c>
      <c r="C9" s="299" t="s">
        <v>111</v>
      </c>
      <c r="D9" s="299" t="s">
        <v>105</v>
      </c>
      <c r="E9" s="285">
        <v>42005.0</v>
      </c>
      <c r="F9" s="285">
        <v>42339.0</v>
      </c>
      <c r="G9" s="301">
        <v>193248.0</v>
      </c>
      <c r="H9" s="299" t="s">
        <v>83</v>
      </c>
      <c r="I9" s="301">
        <v>193248.0</v>
      </c>
      <c r="J9" s="302">
        <v>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303"/>
      <c r="B10" s="360"/>
      <c r="C10" s="361"/>
      <c r="D10" s="362"/>
      <c r="E10" s="363"/>
      <c r="F10" s="366"/>
      <c r="G10" s="416"/>
      <c r="H10" s="417"/>
      <c r="I10" s="418"/>
      <c r="J10" s="4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421" t="s">
        <v>216</v>
      </c>
      <c r="B11" s="422"/>
      <c r="C11" s="422"/>
      <c r="D11" s="422"/>
      <c r="E11" s="422"/>
      <c r="F11" s="422"/>
      <c r="G11" s="422"/>
      <c r="H11" s="502"/>
      <c r="I11" s="504" t="str">
        <f t="shared" ref="I11:J11" si="1">SUM(I6:I9)</f>
        <v>378,021</v>
      </c>
      <c r="J11" s="505" t="str">
        <f t="shared" si="1"/>
        <v>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0" customHeight="1">
      <c r="A12" s="49"/>
      <c r="B12" s="50"/>
      <c r="C12" s="50"/>
      <c r="D12" s="50"/>
      <c r="E12" s="50"/>
      <c r="F12" s="50"/>
      <c r="G12" s="50"/>
      <c r="H12" s="507"/>
      <c r="I12" s="509" t="str">
        <f>I11/I1</f>
        <v>93%</v>
      </c>
      <c r="J12" s="562" t="str">
        <f>J11/I2</f>
        <v>0%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6.5" customHeight="1">
      <c r="A13" s="140"/>
      <c r="B13" s="141"/>
      <c r="C13" s="563"/>
      <c r="D13" s="564"/>
      <c r="E13" s="566"/>
      <c r="F13" s="566"/>
      <c r="G13" s="631"/>
      <c r="H13" s="633"/>
      <c r="I13" s="638"/>
      <c r="J13" s="63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28.5" customHeight="1">
      <c r="A14" s="193" t="s">
        <v>366</v>
      </c>
      <c r="B14" s="677" t="s">
        <v>25</v>
      </c>
      <c r="C14" s="678" t="s">
        <v>457</v>
      </c>
      <c r="D14" s="679" t="s">
        <v>48</v>
      </c>
      <c r="E14" s="680" t="s">
        <v>458</v>
      </c>
      <c r="F14" s="681" t="s">
        <v>459</v>
      </c>
      <c r="G14" s="686" t="s">
        <v>460</v>
      </c>
      <c r="H14" s="688" t="s">
        <v>461</v>
      </c>
      <c r="I14" s="242">
        <v>2015.0</v>
      </c>
      <c r="J14" s="280">
        <v>2016.0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6.5" customHeight="1">
      <c r="A15" s="135" t="s">
        <v>462</v>
      </c>
      <c r="B15" s="10"/>
      <c r="C15" s="10"/>
      <c r="D15" s="10"/>
      <c r="E15" s="10"/>
      <c r="F15" s="10"/>
      <c r="G15" s="10"/>
      <c r="H15" s="10"/>
      <c r="I15" s="137"/>
      <c r="J15" s="138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25.5" customHeight="1">
      <c r="A16" s="732" t="s">
        <v>463</v>
      </c>
      <c r="B16" s="733" t="s">
        <v>502</v>
      </c>
      <c r="C16" s="734" t="s">
        <v>503</v>
      </c>
      <c r="D16" s="732" t="s">
        <v>504</v>
      </c>
      <c r="E16" s="735">
        <v>42217.0</v>
      </c>
      <c r="F16" s="734">
        <v>8.0</v>
      </c>
      <c r="G16" s="624">
        <v>120000.0</v>
      </c>
      <c r="H16" s="625">
        <v>0.0</v>
      </c>
      <c r="I16" s="624">
        <v>45000.0</v>
      </c>
      <c r="J16" s="624">
        <v>75000.0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25.5" customHeight="1">
      <c r="A17" s="743" t="s">
        <v>463</v>
      </c>
      <c r="B17" s="745" t="s">
        <v>507</v>
      </c>
      <c r="C17" s="746" t="s">
        <v>508</v>
      </c>
      <c r="D17" s="743" t="s">
        <v>509</v>
      </c>
      <c r="E17" s="747">
        <v>42217.0</v>
      </c>
      <c r="F17" s="746">
        <v>3.0</v>
      </c>
      <c r="G17" s="784">
        <v>45000.0</v>
      </c>
      <c r="H17" s="785">
        <v>0.0</v>
      </c>
      <c r="I17" s="784">
        <v>45000.0</v>
      </c>
      <c r="J17" s="784">
        <v>0.0</v>
      </c>
      <c r="K17" s="698"/>
      <c r="L17" s="698"/>
      <c r="M17" s="698"/>
      <c r="N17" s="698"/>
      <c r="O17" s="698"/>
      <c r="P17" s="698"/>
      <c r="Q17" s="698"/>
      <c r="R17" s="698"/>
      <c r="S17" s="698"/>
      <c r="T17" s="698"/>
      <c r="U17" s="698"/>
      <c r="V17" s="698"/>
      <c r="W17" s="698"/>
      <c r="X17" s="698"/>
      <c r="Y17" s="698"/>
      <c r="Z17" s="698"/>
    </row>
    <row r="18" ht="38.25" customHeight="1">
      <c r="A18" s="732" t="s">
        <v>463</v>
      </c>
      <c r="B18" s="733" t="s">
        <v>547</v>
      </c>
      <c r="C18" s="734" t="s">
        <v>548</v>
      </c>
      <c r="D18" s="732" t="s">
        <v>549</v>
      </c>
      <c r="E18" s="735">
        <v>42217.0</v>
      </c>
      <c r="F18" s="734">
        <v>24.0</v>
      </c>
      <c r="G18" s="624">
        <v>55000.0</v>
      </c>
      <c r="H18" s="625">
        <v>0.0</v>
      </c>
      <c r="I18" s="624">
        <v>0.0</v>
      </c>
      <c r="J18" s="624">
        <v>27500.0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25.5" customHeight="1">
      <c r="A19" s="743" t="s">
        <v>463</v>
      </c>
      <c r="B19" s="745" t="s">
        <v>550</v>
      </c>
      <c r="C19" s="746" t="s">
        <v>508</v>
      </c>
      <c r="D19" s="743" t="s">
        <v>196</v>
      </c>
      <c r="E19" s="747">
        <v>42217.0</v>
      </c>
      <c r="F19" s="746">
        <v>6.0</v>
      </c>
      <c r="G19" s="784">
        <v>70000.0</v>
      </c>
      <c r="H19" s="785">
        <v>0.0</v>
      </c>
      <c r="I19" s="784">
        <v>35000.0</v>
      </c>
      <c r="J19" s="784">
        <v>35000.0</v>
      </c>
      <c r="K19" s="698"/>
      <c r="L19" s="698"/>
      <c r="M19" s="698"/>
      <c r="N19" s="698"/>
      <c r="O19" s="698"/>
      <c r="P19" s="698"/>
      <c r="Q19" s="698"/>
      <c r="R19" s="698"/>
      <c r="S19" s="698"/>
      <c r="T19" s="698"/>
      <c r="U19" s="698"/>
      <c r="V19" s="698"/>
      <c r="W19" s="698"/>
      <c r="X19" s="698"/>
      <c r="Y19" s="698"/>
      <c r="Z19" s="698"/>
    </row>
    <row r="20" ht="25.5" customHeight="1">
      <c r="A20" s="743" t="s">
        <v>551</v>
      </c>
      <c r="B20" s="745" t="s">
        <v>552</v>
      </c>
      <c r="C20" s="746" t="s">
        <v>508</v>
      </c>
      <c r="D20" s="743" t="s">
        <v>553</v>
      </c>
      <c r="E20" s="747">
        <v>42217.0</v>
      </c>
      <c r="F20" s="746">
        <v>6.0</v>
      </c>
      <c r="G20" s="784">
        <v>25000.0</v>
      </c>
      <c r="H20" s="785">
        <v>0.0</v>
      </c>
      <c r="I20" s="784">
        <v>12500.0</v>
      </c>
      <c r="J20" s="784">
        <v>12500.0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732" t="s">
        <v>554</v>
      </c>
      <c r="B21" s="788" t="s">
        <v>555</v>
      </c>
      <c r="C21" s="734" t="s">
        <v>548</v>
      </c>
      <c r="D21" s="732" t="s">
        <v>80</v>
      </c>
      <c r="E21" s="735">
        <v>42125.0</v>
      </c>
      <c r="F21" s="734">
        <v>24.0</v>
      </c>
      <c r="G21" s="789">
        <v>235000.0</v>
      </c>
      <c r="H21" s="819">
        <v>0.0</v>
      </c>
      <c r="I21" s="789">
        <v>37600.0</v>
      </c>
      <c r="J21" s="789">
        <v>117500.0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6.5" customHeight="1">
      <c r="A22" s="732" t="s">
        <v>554</v>
      </c>
      <c r="B22" s="820" t="s">
        <v>572</v>
      </c>
      <c r="C22" s="734" t="s">
        <v>503</v>
      </c>
      <c r="D22" s="732" t="s">
        <v>504</v>
      </c>
      <c r="E22" s="735">
        <v>42186.0</v>
      </c>
      <c r="F22" s="832">
        <v>16.0</v>
      </c>
      <c r="G22" s="789">
        <v>21000.0</v>
      </c>
      <c r="H22" s="819">
        <v>0.0</v>
      </c>
      <c r="I22" s="789">
        <v>5250.0</v>
      </c>
      <c r="J22" s="789">
        <v>15750.0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25.5" customHeight="1">
      <c r="A23" s="732" t="s">
        <v>102</v>
      </c>
      <c r="B23" s="820" t="s">
        <v>574</v>
      </c>
      <c r="C23" s="734" t="s">
        <v>548</v>
      </c>
      <c r="D23" s="732" t="s">
        <v>575</v>
      </c>
      <c r="E23" s="735">
        <v>42186.0</v>
      </c>
      <c r="F23" s="832">
        <v>12.0</v>
      </c>
      <c r="G23" s="789">
        <v>45000.0</v>
      </c>
      <c r="H23" s="819">
        <v>0.0</v>
      </c>
      <c r="I23" s="789">
        <v>11250.0</v>
      </c>
      <c r="J23" s="789">
        <v>33750.0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7.25" customHeight="1">
      <c r="A24" s="848"/>
      <c r="B24" s="849"/>
      <c r="C24" s="850"/>
      <c r="D24" s="851"/>
      <c r="E24" s="849"/>
      <c r="F24" s="849"/>
      <c r="G24" s="852"/>
      <c r="H24" s="857"/>
      <c r="I24" s="858"/>
      <c r="J24" s="85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6.5" customHeight="1">
      <c r="A25" s="861" t="s">
        <v>579</v>
      </c>
      <c r="B25" s="863"/>
      <c r="C25" s="863"/>
      <c r="D25" s="863"/>
      <c r="E25" s="863"/>
      <c r="F25" s="863"/>
      <c r="G25" s="863"/>
      <c r="H25" s="864"/>
      <c r="I25" s="892" t="str">
        <f t="shared" ref="I25:J25" si="2">SUM(I16:I23)</f>
        <v>191,600</v>
      </c>
      <c r="J25" s="893" t="str">
        <f t="shared" si="2"/>
        <v>317,000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895" t="s">
        <v>584</v>
      </c>
      <c r="B26" s="897"/>
      <c r="C26" s="897"/>
      <c r="D26" s="897"/>
      <c r="E26" s="897"/>
      <c r="F26" s="897"/>
      <c r="G26" s="897"/>
      <c r="H26" s="899"/>
      <c r="I26" s="901" t="str">
        <f t="shared" ref="I26:J26" si="3">I20+I17+I19</f>
        <v>92,500</v>
      </c>
      <c r="J26" s="903" t="str">
        <f t="shared" si="3"/>
        <v>47,500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905" t="s">
        <v>605</v>
      </c>
      <c r="B27" s="907"/>
      <c r="C27" s="907"/>
      <c r="D27" s="907"/>
      <c r="E27" s="907"/>
      <c r="F27" s="907"/>
      <c r="G27" s="907"/>
      <c r="H27" s="909"/>
      <c r="I27" s="911" t="str">
        <f t="shared" ref="I27:J27" si="4">I11+I26</f>
        <v>470,521</v>
      </c>
      <c r="J27" s="912" t="str">
        <f t="shared" si="4"/>
        <v>47,500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49"/>
      <c r="B28" s="50"/>
      <c r="C28" s="50"/>
      <c r="D28" s="50"/>
      <c r="E28" s="50"/>
      <c r="F28" s="50"/>
      <c r="G28" s="50"/>
      <c r="H28" s="919"/>
      <c r="I28" s="947" t="str">
        <f>I27/I1</f>
        <v>115%</v>
      </c>
      <c r="J28" s="961" t="str">
        <f>J27/I2</f>
        <v>18%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6.5" customHeight="1">
      <c r="A29" s="966" t="s">
        <v>623</v>
      </c>
      <c r="B29" s="981" t="s">
        <v>626</v>
      </c>
      <c r="C29" s="5"/>
      <c r="D29" s="5"/>
      <c r="E29" s="5"/>
      <c r="F29" s="5"/>
      <c r="G29" s="5"/>
      <c r="H29" s="5"/>
      <c r="I29" s="5"/>
      <c r="J29" s="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3">
    <mergeCell ref="A27:H28"/>
    <mergeCell ref="A25:H25"/>
    <mergeCell ref="A26:H26"/>
    <mergeCell ref="A11:H12"/>
    <mergeCell ref="A15:I15"/>
    <mergeCell ref="A3:I3"/>
    <mergeCell ref="E5:F5"/>
    <mergeCell ref="G2:H2"/>
    <mergeCell ref="I2:J2"/>
    <mergeCell ref="I1:J1"/>
    <mergeCell ref="G1:H1"/>
    <mergeCell ref="B29:J29"/>
    <mergeCell ref="A1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0"/>
    <col customWidth="1" min="2" max="2" width="44.13"/>
    <col customWidth="1" min="3" max="3" width="8.0"/>
    <col customWidth="1" min="4" max="4" width="15.5"/>
    <col customWidth="1" min="5" max="5" width="15.88"/>
    <col customWidth="1" min="6" max="6" width="15.38"/>
    <col customWidth="1" min="7" max="7" width="12.13"/>
    <col customWidth="1" min="8" max="8" width="10.0"/>
    <col customWidth="1" min="9" max="9" width="10.25"/>
    <col customWidth="1" min="10" max="10" width="2.25"/>
    <col customWidth="1" min="11" max="11" width="10.75"/>
    <col customWidth="1" min="12" max="26" width="8.0"/>
  </cols>
  <sheetData>
    <row r="1" ht="38.25" customHeight="1">
      <c r="A1" s="47"/>
      <c r="B1" s="52"/>
      <c r="C1" s="53"/>
      <c r="D1" s="52"/>
      <c r="E1" s="54"/>
      <c r="F1" s="55"/>
      <c r="G1" s="55"/>
      <c r="H1" s="57" t="s">
        <v>21</v>
      </c>
      <c r="I1" s="59" t="s">
        <v>23</v>
      </c>
      <c r="J1" s="47"/>
      <c r="K1" s="57" t="s">
        <v>22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25.5" customHeight="1">
      <c r="A2" s="60" t="s">
        <v>24</v>
      </c>
      <c r="B2" s="110" t="s">
        <v>25</v>
      </c>
      <c r="C2" s="110" t="s">
        <v>47</v>
      </c>
      <c r="D2" s="110" t="s">
        <v>48</v>
      </c>
      <c r="E2" s="121" t="s">
        <v>50</v>
      </c>
      <c r="F2" s="122" t="s">
        <v>52</v>
      </c>
      <c r="G2" s="122" t="s">
        <v>53</v>
      </c>
      <c r="H2" s="57"/>
      <c r="I2" s="59"/>
      <c r="J2" s="47"/>
      <c r="K2" s="5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2.75" customHeight="1">
      <c r="A3" s="123" t="s">
        <v>54</v>
      </c>
      <c r="B3" s="124" t="s">
        <v>56</v>
      </c>
      <c r="C3" s="124" t="s">
        <v>57</v>
      </c>
      <c r="D3" s="124" t="s">
        <v>58</v>
      </c>
      <c r="E3" s="125">
        <v>1422755.4078167651</v>
      </c>
      <c r="F3" s="125">
        <v>459462.51127916155</v>
      </c>
      <c r="G3" s="125">
        <v>0.0</v>
      </c>
      <c r="H3" s="126"/>
      <c r="I3" s="127"/>
      <c r="J3" s="47"/>
      <c r="K3" s="5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2.75" customHeight="1">
      <c r="A4" s="123" t="s">
        <v>59</v>
      </c>
      <c r="B4" s="128" t="s">
        <v>60</v>
      </c>
      <c r="C4" s="128" t="s">
        <v>61</v>
      </c>
      <c r="D4" s="128" t="s">
        <v>58</v>
      </c>
      <c r="E4" s="125">
        <v>833333.0</v>
      </c>
      <c r="F4" s="125">
        <v>297691.37</v>
      </c>
      <c r="G4" s="125" t="str">
        <f>F4</f>
        <v>297,691</v>
      </c>
      <c r="H4" s="126"/>
      <c r="I4" s="127"/>
      <c r="J4" s="47"/>
      <c r="K4" s="5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2.75" customHeight="1">
      <c r="A5" s="183" t="s">
        <v>62</v>
      </c>
      <c r="B5" s="184" t="s">
        <v>67</v>
      </c>
      <c r="C5" s="206" t="s">
        <v>68</v>
      </c>
      <c r="D5" s="206" t="s">
        <v>70</v>
      </c>
      <c r="E5" s="207">
        <v>6000.0</v>
      </c>
      <c r="F5" s="208">
        <v>6000.0</v>
      </c>
      <c r="G5" s="208">
        <v>0.0</v>
      </c>
      <c r="H5" s="126"/>
      <c r="I5" s="127"/>
      <c r="J5" s="47"/>
      <c r="K5" s="5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2.75" customHeight="1">
      <c r="A6" s="123"/>
      <c r="B6" s="124"/>
      <c r="C6" s="124"/>
      <c r="D6" s="252" t="s">
        <v>71</v>
      </c>
      <c r="E6" s="269" t="str">
        <f t="shared" ref="E6:G6" si="1">SUM(E3:E5)</f>
        <v>2,262,088</v>
      </c>
      <c r="F6" s="269" t="str">
        <f t="shared" si="1"/>
        <v>763,154</v>
      </c>
      <c r="G6" s="269" t="str">
        <f t="shared" si="1"/>
        <v>297,691</v>
      </c>
      <c r="H6" s="126" t="str">
        <f>E6/E149*100</f>
        <v>  5.81 </v>
      </c>
      <c r="I6" s="127" t="str">
        <f>E6/3</f>
        <v>  754,029 </v>
      </c>
      <c r="J6" s="47"/>
      <c r="K6" s="57" t="str">
        <f>F6/F149*100</f>
        <v>  5.94 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2.75" customHeight="1">
      <c r="A7" s="273"/>
      <c r="B7" s="274"/>
      <c r="C7" s="274"/>
      <c r="D7" s="275"/>
      <c r="E7" s="276"/>
      <c r="F7" s="276"/>
      <c r="G7" s="276"/>
      <c r="H7" s="126"/>
      <c r="I7" s="127"/>
      <c r="J7" s="47"/>
      <c r="K7" s="5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2.75" customHeight="1">
      <c r="A8" s="123" t="s">
        <v>54</v>
      </c>
      <c r="B8" s="128" t="s">
        <v>88</v>
      </c>
      <c r="C8" s="128" t="s">
        <v>89</v>
      </c>
      <c r="D8" s="128" t="s">
        <v>90</v>
      </c>
      <c r="E8" s="125">
        <v>1961681.158928382</v>
      </c>
      <c r="F8" s="125">
        <v>275090.72</v>
      </c>
      <c r="G8" s="125">
        <v>0.0</v>
      </c>
      <c r="H8" s="126"/>
      <c r="I8" s="127"/>
      <c r="J8" s="47"/>
      <c r="K8" s="5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75" customHeight="1">
      <c r="A9" s="123" t="s">
        <v>54</v>
      </c>
      <c r="B9" s="128" t="s">
        <v>91</v>
      </c>
      <c r="C9" s="128" t="s">
        <v>92</v>
      </c>
      <c r="D9" s="321" t="s">
        <v>90</v>
      </c>
      <c r="E9" s="125">
        <v>6490660.0</v>
      </c>
      <c r="F9" s="125">
        <v>531582.4898333333</v>
      </c>
      <c r="G9" s="125" t="str">
        <f>E9/4</f>
        <v>1,622,665</v>
      </c>
      <c r="H9" s="126"/>
      <c r="I9" s="127"/>
      <c r="J9" s="47"/>
      <c r="K9" s="5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25.5" customHeight="1">
      <c r="A10" s="123" t="s">
        <v>93</v>
      </c>
      <c r="B10" s="323" t="s">
        <v>94</v>
      </c>
      <c r="C10" s="128" t="s">
        <v>95</v>
      </c>
      <c r="D10" s="128" t="s">
        <v>90</v>
      </c>
      <c r="E10" s="125">
        <v>1259763.1646757994</v>
      </c>
      <c r="F10" s="125">
        <v>299924.4591229778</v>
      </c>
      <c r="G10" s="125">
        <v>0.0</v>
      </c>
      <c r="H10" s="126"/>
      <c r="I10" s="127"/>
      <c r="J10" s="47"/>
      <c r="K10" s="5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2.75" customHeight="1">
      <c r="A11" s="123" t="s">
        <v>96</v>
      </c>
      <c r="B11" s="323" t="s">
        <v>97</v>
      </c>
      <c r="C11" s="128" t="s">
        <v>98</v>
      </c>
      <c r="D11" s="128" t="s">
        <v>90</v>
      </c>
      <c r="E11" s="125">
        <v>1188108.0</v>
      </c>
      <c r="F11" s="125">
        <v>397136.2</v>
      </c>
      <c r="G11" s="125">
        <v>400000.0</v>
      </c>
      <c r="H11" s="126"/>
      <c r="I11" s="127"/>
      <c r="J11" s="47"/>
      <c r="K11" s="5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2.75" customHeight="1">
      <c r="A12" s="123"/>
      <c r="B12" s="323"/>
      <c r="C12" s="128"/>
      <c r="D12" s="351" t="s">
        <v>90</v>
      </c>
      <c r="E12" s="269" t="str">
        <f t="shared" ref="E12:G12" si="2">SUM(E8:E11)</f>
        <v>10,900,212</v>
      </c>
      <c r="F12" s="269" t="str">
        <f t="shared" si="2"/>
        <v>1,503,734</v>
      </c>
      <c r="G12" s="269" t="str">
        <f t="shared" si="2"/>
        <v>2,022,665</v>
      </c>
      <c r="H12" s="126" t="str">
        <f>E12/E149*100</f>
        <v>  27.99 </v>
      </c>
      <c r="I12" s="127" t="str">
        <f>E12/4</f>
        <v>  2,725,053 </v>
      </c>
      <c r="J12" s="47"/>
      <c r="K12" s="57" t="str">
        <f>F12/F149*100</f>
        <v>  11.71 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2.75" customHeight="1">
      <c r="A13" s="273"/>
      <c r="B13" s="377"/>
      <c r="C13" s="52"/>
      <c r="D13" s="52"/>
      <c r="E13" s="378"/>
      <c r="F13" s="378"/>
      <c r="G13" s="378"/>
      <c r="H13" s="379"/>
      <c r="I13" s="380"/>
      <c r="J13" s="274"/>
      <c r="K13" s="402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274"/>
      <c r="Z13" s="274"/>
    </row>
    <row r="14" ht="12.75" customHeight="1">
      <c r="A14" s="123" t="s">
        <v>54</v>
      </c>
      <c r="B14" s="128" t="s">
        <v>206</v>
      </c>
      <c r="C14" s="128" t="s">
        <v>207</v>
      </c>
      <c r="D14" s="128" t="s">
        <v>208</v>
      </c>
      <c r="E14" s="125">
        <v>13535.84</v>
      </c>
      <c r="F14" s="125">
        <v>13535.84</v>
      </c>
      <c r="G14" s="125">
        <v>0.0</v>
      </c>
      <c r="H14" s="126"/>
      <c r="I14" s="127"/>
      <c r="J14" s="47"/>
      <c r="K14" s="5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2.75" customHeight="1">
      <c r="A15" s="404" t="s">
        <v>123</v>
      </c>
      <c r="B15" s="435" t="s">
        <v>210</v>
      </c>
      <c r="C15" s="435" t="s">
        <v>225</v>
      </c>
      <c r="D15" s="435" t="s">
        <v>226</v>
      </c>
      <c r="E15" s="436">
        <v>9500.0</v>
      </c>
      <c r="F15" s="488">
        <v>9400.0</v>
      </c>
      <c r="G15" s="488">
        <v>0.0</v>
      </c>
      <c r="H15" s="126"/>
      <c r="I15" s="127"/>
      <c r="J15" s="47"/>
      <c r="K15" s="5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25.5" customHeight="1">
      <c r="A16" s="489" t="s">
        <v>247</v>
      </c>
      <c r="B16" s="490" t="s">
        <v>250</v>
      </c>
      <c r="C16" s="490" t="s">
        <v>251</v>
      </c>
      <c r="D16" s="490" t="s">
        <v>252</v>
      </c>
      <c r="E16" s="436" t="str">
        <f>50000+10000</f>
        <v>60,000</v>
      </c>
      <c r="F16" s="436">
        <v>61671.0</v>
      </c>
      <c r="G16" s="436" t="s">
        <v>253</v>
      </c>
      <c r="H16" s="126"/>
      <c r="I16" s="127"/>
      <c r="J16" s="47"/>
      <c r="K16" s="5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25.5" customHeight="1">
      <c r="A17" s="489" t="s">
        <v>247</v>
      </c>
      <c r="B17" s="490" t="s">
        <v>254</v>
      </c>
      <c r="C17" s="490" t="s">
        <v>255</v>
      </c>
      <c r="D17" s="490" t="s">
        <v>256</v>
      </c>
      <c r="E17" s="436" t="str">
        <f t="shared" ref="E17:E19" si="3">F17</f>
        <v>14,500</v>
      </c>
      <c r="F17" s="436">
        <v>14500.0</v>
      </c>
      <c r="G17" s="436"/>
      <c r="H17" s="126"/>
      <c r="I17" s="127"/>
      <c r="J17" s="47"/>
      <c r="K17" s="5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25.5" customHeight="1">
      <c r="A18" s="489" t="s">
        <v>247</v>
      </c>
      <c r="B18" s="490" t="s">
        <v>257</v>
      </c>
      <c r="C18" s="490" t="s">
        <v>255</v>
      </c>
      <c r="D18" s="490" t="s">
        <v>258</v>
      </c>
      <c r="E18" s="436" t="str">
        <f t="shared" si="3"/>
        <v>12,000</v>
      </c>
      <c r="F18" s="436">
        <v>12000.0</v>
      </c>
      <c r="G18" s="436"/>
      <c r="H18" s="126"/>
      <c r="I18" s="127"/>
      <c r="J18" s="47"/>
      <c r="K18" s="5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25.5" customHeight="1">
      <c r="A19" s="489" t="s">
        <v>247</v>
      </c>
      <c r="B19" s="490" t="s">
        <v>259</v>
      </c>
      <c r="C19" s="490" t="s">
        <v>255</v>
      </c>
      <c r="D19" s="490" t="s">
        <v>260</v>
      </c>
      <c r="E19" s="436" t="str">
        <f t="shared" si="3"/>
        <v>10,000</v>
      </c>
      <c r="F19" s="436">
        <v>10000.0</v>
      </c>
      <c r="G19" s="436" t="s">
        <v>253</v>
      </c>
      <c r="H19" s="126"/>
      <c r="I19" s="127"/>
      <c r="J19" s="47"/>
      <c r="K19" s="5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5.5" customHeight="1">
      <c r="A20" s="489" t="s">
        <v>247</v>
      </c>
      <c r="B20" s="490" t="s">
        <v>261</v>
      </c>
      <c r="C20" s="490" t="s">
        <v>262</v>
      </c>
      <c r="D20" s="490" t="s">
        <v>263</v>
      </c>
      <c r="E20" s="436">
        <v>44000.0</v>
      </c>
      <c r="F20" s="436">
        <v>7478.68</v>
      </c>
      <c r="G20" s="436">
        <v>0.0</v>
      </c>
      <c r="H20" s="126"/>
      <c r="I20" s="127"/>
      <c r="J20" s="47"/>
      <c r="K20" s="5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75" customHeight="1">
      <c r="A21" s="404" t="s">
        <v>204</v>
      </c>
      <c r="B21" s="492" t="s">
        <v>264</v>
      </c>
      <c r="C21" s="435" t="s">
        <v>265</v>
      </c>
      <c r="D21" s="435" t="s">
        <v>266</v>
      </c>
      <c r="E21" s="436" t="str">
        <f t="shared" ref="E21:E22" si="4">F21</f>
        <v>23,693</v>
      </c>
      <c r="F21" s="488">
        <v>23693.0</v>
      </c>
      <c r="G21" s="488">
        <v>0.0</v>
      </c>
      <c r="H21" s="126"/>
      <c r="I21" s="127"/>
      <c r="J21" s="47"/>
      <c r="K21" s="5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2.75" customHeight="1">
      <c r="A22" s="489" t="s">
        <v>244</v>
      </c>
      <c r="B22" s="492" t="s">
        <v>267</v>
      </c>
      <c r="C22" s="435" t="s">
        <v>268</v>
      </c>
      <c r="D22" s="435" t="s">
        <v>269</v>
      </c>
      <c r="E22" s="436" t="str">
        <f t="shared" si="4"/>
        <v>12,600</v>
      </c>
      <c r="F22" s="436" t="str">
        <f>7000+1000+4600</f>
        <v>12,600</v>
      </c>
      <c r="G22" s="488" t="s">
        <v>253</v>
      </c>
      <c r="H22" s="126"/>
      <c r="I22" s="127"/>
      <c r="J22" s="47"/>
      <c r="K22" s="5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2.75" customHeight="1">
      <c r="A23" s="489" t="s">
        <v>244</v>
      </c>
      <c r="B23" s="492" t="s">
        <v>270</v>
      </c>
      <c r="C23" s="435" t="s">
        <v>268</v>
      </c>
      <c r="D23" s="435" t="s">
        <v>271</v>
      </c>
      <c r="E23" s="436">
        <v>10927.0</v>
      </c>
      <c r="F23" s="436">
        <v>10927.0</v>
      </c>
      <c r="G23" s="488">
        <v>0.0</v>
      </c>
      <c r="H23" s="126"/>
      <c r="I23" s="127"/>
      <c r="J23" s="47"/>
      <c r="K23" s="5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2.75" customHeight="1">
      <c r="A24" s="489" t="s">
        <v>244</v>
      </c>
      <c r="B24" s="492" t="s">
        <v>272</v>
      </c>
      <c r="C24" s="435" t="s">
        <v>273</v>
      </c>
      <c r="D24" s="435" t="s">
        <v>274</v>
      </c>
      <c r="E24" s="436" t="str">
        <f>1.1*F24</f>
        <v>27,926</v>
      </c>
      <c r="F24" s="436">
        <v>25387.0</v>
      </c>
      <c r="G24" s="488" t="s">
        <v>253</v>
      </c>
      <c r="H24" s="126"/>
      <c r="I24" s="127"/>
      <c r="J24" s="47"/>
      <c r="K24" s="5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2.75" customHeight="1">
      <c r="A25" s="489" t="s">
        <v>244</v>
      </c>
      <c r="B25" s="492" t="s">
        <v>275</v>
      </c>
      <c r="C25" s="435" t="s">
        <v>276</v>
      </c>
      <c r="D25" s="435" t="s">
        <v>277</v>
      </c>
      <c r="E25" s="436">
        <v>27448.0</v>
      </c>
      <c r="F25" s="436">
        <v>27448.0</v>
      </c>
      <c r="G25" s="488">
        <v>0.0</v>
      </c>
      <c r="H25" s="126"/>
      <c r="I25" s="127"/>
      <c r="J25" s="47"/>
      <c r="K25" s="5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2.75" customHeight="1">
      <c r="A26" s="404" t="s">
        <v>123</v>
      </c>
      <c r="B26" s="435" t="s">
        <v>278</v>
      </c>
      <c r="C26" s="435" t="s">
        <v>225</v>
      </c>
      <c r="D26" s="435" t="s">
        <v>279</v>
      </c>
      <c r="E26" s="436" t="str">
        <f>F26</f>
        <v>4,768</v>
      </c>
      <c r="F26" s="488">
        <v>4768.0</v>
      </c>
      <c r="G26" s="488">
        <v>0.0</v>
      </c>
      <c r="H26" s="126"/>
      <c r="I26" s="127"/>
      <c r="J26" s="47"/>
      <c r="K26" s="5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2.75" customHeight="1">
      <c r="A27" s="521" t="s">
        <v>72</v>
      </c>
      <c r="B27" s="522" t="s">
        <v>78</v>
      </c>
      <c r="C27" s="522" t="s">
        <v>79</v>
      </c>
      <c r="D27" s="522" t="s">
        <v>80</v>
      </c>
      <c r="E27" s="488">
        <v>60000.0</v>
      </c>
      <c r="F27" s="488">
        <v>30000.0</v>
      </c>
      <c r="G27" s="488">
        <v>30000.0</v>
      </c>
      <c r="H27" s="126"/>
      <c r="I27" s="127"/>
      <c r="J27" s="47"/>
      <c r="K27" s="5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2.75" customHeight="1">
      <c r="A28" s="521"/>
      <c r="B28" s="522"/>
      <c r="C28" s="522"/>
      <c r="D28" s="548" t="s">
        <v>284</v>
      </c>
      <c r="E28" s="549" t="str">
        <f t="shared" ref="E28:G28" si="5">SUM(E14:E27)</f>
        <v>330,898</v>
      </c>
      <c r="F28" s="549" t="str">
        <f t="shared" si="5"/>
        <v>263,409</v>
      </c>
      <c r="G28" s="549" t="str">
        <f t="shared" si="5"/>
        <v>30,000</v>
      </c>
      <c r="H28" s="126" t="str">
        <f>E28/E149*100</f>
        <v>  0.85 </v>
      </c>
      <c r="I28" s="127" t="str">
        <f>E28/14</f>
        <v>  23,636 </v>
      </c>
      <c r="J28" s="47"/>
      <c r="K28" s="57" t="str">
        <f>F28/F149*100</f>
        <v>  2.05 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2.75" customHeight="1">
      <c r="A29" s="552"/>
      <c r="B29" s="553"/>
      <c r="C29" s="553"/>
      <c r="D29" s="553"/>
      <c r="E29" s="378"/>
      <c r="F29" s="378"/>
      <c r="G29" s="378"/>
      <c r="H29" s="379"/>
      <c r="I29" s="380"/>
      <c r="J29" s="274"/>
      <c r="K29" s="402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274"/>
      <c r="Z29" s="274"/>
    </row>
    <row r="30" ht="30.75" customHeight="1">
      <c r="A30" s="123" t="s">
        <v>54</v>
      </c>
      <c r="B30" s="323" t="s">
        <v>128</v>
      </c>
      <c r="C30" s="128" t="s">
        <v>129</v>
      </c>
      <c r="D30" s="128" t="s">
        <v>130</v>
      </c>
      <c r="E30" s="125">
        <v>876179.0</v>
      </c>
      <c r="F30" s="125">
        <v>453912.83962499996</v>
      </c>
      <c r="G30" s="125">
        <v>0.0</v>
      </c>
      <c r="H30" s="126"/>
      <c r="I30" s="127"/>
      <c r="J30" s="47"/>
      <c r="K30" s="5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2.75" customHeight="1">
      <c r="A31" s="573" t="s">
        <v>131</v>
      </c>
      <c r="B31" s="618" t="s">
        <v>132</v>
      </c>
      <c r="C31" s="619" t="s">
        <v>133</v>
      </c>
      <c r="D31" s="619" t="s">
        <v>134</v>
      </c>
      <c r="E31" s="641">
        <v>36257.0</v>
      </c>
      <c r="F31" s="642" t="str">
        <f>E31</f>
        <v>36,257</v>
      </c>
      <c r="G31" s="642">
        <v>0.0</v>
      </c>
      <c r="H31" s="126"/>
      <c r="I31" s="127"/>
      <c r="J31" s="47"/>
      <c r="K31" s="5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2.75" customHeight="1">
      <c r="A32" s="674" t="s">
        <v>135</v>
      </c>
      <c r="B32" s="206" t="s">
        <v>136</v>
      </c>
      <c r="C32" s="206" t="s">
        <v>137</v>
      </c>
      <c r="D32" s="206" t="s">
        <v>130</v>
      </c>
      <c r="E32" s="208">
        <v>26000.0</v>
      </c>
      <c r="F32" s="675">
        <v>24685.0</v>
      </c>
      <c r="G32" s="206">
        <v>0.0</v>
      </c>
      <c r="H32" s="126"/>
      <c r="I32" s="127"/>
      <c r="J32" s="47"/>
      <c r="K32" s="5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2.75" customHeight="1">
      <c r="A33" s="674" t="s">
        <v>135</v>
      </c>
      <c r="B33" s="206" t="s">
        <v>138</v>
      </c>
      <c r="C33" s="206" t="s">
        <v>139</v>
      </c>
      <c r="D33" s="206" t="s">
        <v>140</v>
      </c>
      <c r="E33" s="208">
        <v>70000.0</v>
      </c>
      <c r="F33" s="675">
        <v>67700.0</v>
      </c>
      <c r="G33" s="206">
        <v>0.0</v>
      </c>
      <c r="H33" s="126"/>
      <c r="I33" s="127"/>
      <c r="J33" s="47"/>
      <c r="K33" s="5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2.75" customHeight="1">
      <c r="A34" s="691" t="s">
        <v>74</v>
      </c>
      <c r="B34" s="692" t="s">
        <v>141</v>
      </c>
      <c r="C34" s="692" t="s">
        <v>142</v>
      </c>
      <c r="D34" s="692" t="s">
        <v>143</v>
      </c>
      <c r="E34" s="693">
        <v>428250.0</v>
      </c>
      <c r="F34" s="693">
        <v>249207.0</v>
      </c>
      <c r="G34" s="693" t="str">
        <f>E34-F34</f>
        <v>179,043</v>
      </c>
      <c r="H34" s="126"/>
      <c r="I34" s="127"/>
      <c r="J34" s="47"/>
      <c r="K34" s="5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2.75" customHeight="1">
      <c r="A35" s="674"/>
      <c r="B35" s="206"/>
      <c r="C35" s="206"/>
      <c r="D35" s="695" t="s">
        <v>469</v>
      </c>
      <c r="E35" s="697" t="str">
        <f t="shared" ref="E35:G35" si="6">SUM(E30:E34)</f>
        <v>1,436,686</v>
      </c>
      <c r="F35" s="697" t="str">
        <f t="shared" si="6"/>
        <v>831,762</v>
      </c>
      <c r="G35" s="697" t="str">
        <f t="shared" si="6"/>
        <v>179,043</v>
      </c>
      <c r="H35" s="126" t="str">
        <f>E35/E149*100</f>
        <v>  3.69 </v>
      </c>
      <c r="I35" s="127" t="str">
        <f>E35/5</f>
        <v>  287,337 </v>
      </c>
      <c r="J35" s="47"/>
      <c r="K35" s="57" t="str">
        <f>F35/F149*100</f>
        <v>  6.48 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2.75" customHeight="1">
      <c r="A36" s="719"/>
      <c r="B36" s="720"/>
      <c r="C36" s="720"/>
      <c r="D36" s="720"/>
      <c r="E36" s="754"/>
      <c r="F36" s="755"/>
      <c r="G36" s="720"/>
      <c r="H36" s="379"/>
      <c r="I36" s="380"/>
      <c r="J36" s="274"/>
      <c r="K36" s="402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274"/>
      <c r="Z36" s="274"/>
    </row>
    <row r="37" ht="25.5" customHeight="1">
      <c r="A37" s="123" t="s">
        <v>54</v>
      </c>
      <c r="B37" s="128" t="s">
        <v>124</v>
      </c>
      <c r="C37" s="128" t="s">
        <v>125</v>
      </c>
      <c r="D37" s="124" t="s">
        <v>126</v>
      </c>
      <c r="E37" s="125">
        <v>1249971.51</v>
      </c>
      <c r="F37" s="125">
        <v>390093.2356770833</v>
      </c>
      <c r="G37" s="125" t="str">
        <f>E37/3</f>
        <v>416,657</v>
      </c>
      <c r="H37" s="126"/>
      <c r="I37" s="127"/>
      <c r="J37" s="47"/>
      <c r="K37" s="5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25.5" customHeight="1">
      <c r="A38" s="123" t="s">
        <v>151</v>
      </c>
      <c r="B38" s="323" t="s">
        <v>152</v>
      </c>
      <c r="C38" s="128" t="s">
        <v>153</v>
      </c>
      <c r="D38" s="128" t="s">
        <v>154</v>
      </c>
      <c r="E38" s="125">
        <v>223000.0</v>
      </c>
      <c r="F38" s="125">
        <v>75485.03666666667</v>
      </c>
      <c r="G38" s="125">
        <v>0.0</v>
      </c>
      <c r="H38" s="126"/>
      <c r="I38" s="127"/>
      <c r="J38" s="47"/>
      <c r="K38" s="5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2.75" customHeight="1">
      <c r="A39" s="757" t="s">
        <v>516</v>
      </c>
      <c r="B39" s="619" t="s">
        <v>517</v>
      </c>
      <c r="C39" s="619" t="s">
        <v>518</v>
      </c>
      <c r="D39" s="619" t="s">
        <v>158</v>
      </c>
      <c r="E39" s="758" t="s">
        <v>519</v>
      </c>
      <c r="F39" s="642"/>
      <c r="G39" s="642"/>
      <c r="H39" s="126"/>
      <c r="I39" s="127"/>
      <c r="J39" s="47"/>
      <c r="K39" s="5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2.75" customHeight="1">
      <c r="A40" s="757" t="s">
        <v>155</v>
      </c>
      <c r="B40" s="619" t="s">
        <v>156</v>
      </c>
      <c r="C40" s="619" t="s">
        <v>157</v>
      </c>
      <c r="D40" s="619" t="s">
        <v>158</v>
      </c>
      <c r="E40" s="759">
        <v>5478260.0</v>
      </c>
      <c r="F40" s="642">
        <v>1450000.0</v>
      </c>
      <c r="G40" s="642" t="str">
        <f>F40/12*2</f>
        <v>241,667</v>
      </c>
      <c r="H40" s="126"/>
      <c r="I40" s="127"/>
      <c r="J40" s="47"/>
      <c r="K40" s="5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2.75" customHeight="1">
      <c r="A41" s="573" t="s">
        <v>159</v>
      </c>
      <c r="B41" s="619" t="s">
        <v>160</v>
      </c>
      <c r="C41" s="619" t="s">
        <v>161</v>
      </c>
      <c r="D41" s="619" t="s">
        <v>162</v>
      </c>
      <c r="E41" s="759">
        <v>538698.0</v>
      </c>
      <c r="F41" s="642" t="str">
        <f>E41/30*12</f>
        <v>215,479</v>
      </c>
      <c r="G41" s="642" t="str">
        <f>E41/30*5</f>
        <v>89,783</v>
      </c>
      <c r="H41" s="126"/>
      <c r="I41" s="127"/>
      <c r="J41" s="47"/>
      <c r="K41" s="5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2.75" customHeight="1">
      <c r="A42" s="573" t="s">
        <v>163</v>
      </c>
      <c r="B42" s="618" t="s">
        <v>164</v>
      </c>
      <c r="C42" s="619" t="s">
        <v>165</v>
      </c>
      <c r="D42" s="619" t="s">
        <v>162</v>
      </c>
      <c r="E42" s="641">
        <v>25000.0</v>
      </c>
      <c r="F42" s="642">
        <v>5000.0</v>
      </c>
      <c r="G42" s="642" t="str">
        <f t="shared" ref="G42:G43" si="7">E42-F42</f>
        <v>20,000</v>
      </c>
      <c r="H42" s="126"/>
      <c r="I42" s="127"/>
      <c r="J42" s="47"/>
      <c r="K42" s="5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2.75" customHeight="1">
      <c r="A43" s="762" t="s">
        <v>163</v>
      </c>
      <c r="B43" s="619" t="s">
        <v>166</v>
      </c>
      <c r="C43" s="619" t="s">
        <v>167</v>
      </c>
      <c r="D43" s="619" t="s">
        <v>168</v>
      </c>
      <c r="E43" s="642">
        <v>331650.0</v>
      </c>
      <c r="F43" s="642" t="str">
        <f>E43/24*12</f>
        <v>165,825</v>
      </c>
      <c r="G43" s="642" t="str">
        <f t="shared" si="7"/>
        <v>165,825</v>
      </c>
      <c r="H43" s="126"/>
      <c r="I43" s="127"/>
      <c r="J43" s="47"/>
      <c r="K43" s="5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2.75" customHeight="1">
      <c r="A44" s="674" t="s">
        <v>135</v>
      </c>
      <c r="B44" s="768" t="s">
        <v>169</v>
      </c>
      <c r="C44" s="769" t="s">
        <v>170</v>
      </c>
      <c r="D44" s="769" t="s">
        <v>171</v>
      </c>
      <c r="E44" s="208">
        <v>204376.0</v>
      </c>
      <c r="F44" s="208">
        <v>63000.0</v>
      </c>
      <c r="G44" s="208">
        <v>0.0</v>
      </c>
      <c r="H44" s="126"/>
      <c r="I44" s="127"/>
      <c r="J44" s="47"/>
      <c r="K44" s="5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2.75" customHeight="1">
      <c r="A45" s="674" t="s">
        <v>135</v>
      </c>
      <c r="B45" s="206" t="s">
        <v>172</v>
      </c>
      <c r="C45" s="206" t="s">
        <v>173</v>
      </c>
      <c r="D45" s="206" t="s">
        <v>174</v>
      </c>
      <c r="E45" s="208">
        <v>579115.0</v>
      </c>
      <c r="F45" s="208">
        <v>127982.0</v>
      </c>
      <c r="G45" s="208">
        <v>42000.0</v>
      </c>
      <c r="H45" s="126"/>
      <c r="I45" s="127"/>
      <c r="J45" s="47"/>
      <c r="K45" s="5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2.75" customHeight="1">
      <c r="A46" s="183" t="s">
        <v>175</v>
      </c>
      <c r="B46" s="206" t="s">
        <v>176</v>
      </c>
      <c r="C46" s="206" t="s">
        <v>177</v>
      </c>
      <c r="D46" s="206" t="s">
        <v>158</v>
      </c>
      <c r="E46" s="208">
        <v>492303.0</v>
      </c>
      <c r="F46" s="675">
        <v>205897.0</v>
      </c>
      <c r="G46" s="675">
        <v>0.0</v>
      </c>
      <c r="H46" s="126"/>
      <c r="I46" s="127"/>
      <c r="J46" s="47"/>
      <c r="K46" s="5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2.75" customHeight="1">
      <c r="A47" s="183" t="s">
        <v>178</v>
      </c>
      <c r="B47" s="184" t="s">
        <v>179</v>
      </c>
      <c r="C47" s="206" t="s">
        <v>180</v>
      </c>
      <c r="D47" s="206" t="s">
        <v>181</v>
      </c>
      <c r="E47" s="208">
        <v>502947.0</v>
      </c>
      <c r="F47" s="675">
        <v>184503.0</v>
      </c>
      <c r="G47" s="675">
        <v>0.0</v>
      </c>
      <c r="H47" s="126"/>
      <c r="I47" s="127"/>
      <c r="J47" s="47"/>
      <c r="K47" s="5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2.75" customHeight="1">
      <c r="A48" s="691" t="s">
        <v>182</v>
      </c>
      <c r="B48" s="805" t="s">
        <v>183</v>
      </c>
      <c r="C48" s="692" t="s">
        <v>184</v>
      </c>
      <c r="D48" s="692" t="s">
        <v>185</v>
      </c>
      <c r="E48" s="806" t="str">
        <f>613995/1.18*75%</f>
        <v>390,251</v>
      </c>
      <c r="F48" s="693">
        <v>0.0</v>
      </c>
      <c r="G48" s="693">
        <v>0.0</v>
      </c>
      <c r="H48" s="126"/>
      <c r="I48" s="127"/>
      <c r="J48" s="47"/>
      <c r="K48" s="5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2.75" customHeight="1">
      <c r="A49" s="691" t="s">
        <v>74</v>
      </c>
      <c r="B49" s="692" t="s">
        <v>103</v>
      </c>
      <c r="C49" s="692" t="s">
        <v>112</v>
      </c>
      <c r="D49" s="692" t="s">
        <v>80</v>
      </c>
      <c r="E49" s="693" t="str">
        <f>739992.04/1.18</f>
        <v>627,112</v>
      </c>
      <c r="F49" s="693">
        <v>277681.0</v>
      </c>
      <c r="G49" s="693">
        <v>0.0</v>
      </c>
      <c r="H49" s="126"/>
      <c r="I49" s="127"/>
      <c r="J49" s="47"/>
      <c r="K49" s="5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2.75" customHeight="1">
      <c r="A50" s="691" t="s">
        <v>74</v>
      </c>
      <c r="B50" s="692" t="s">
        <v>115</v>
      </c>
      <c r="C50" s="692" t="s">
        <v>116</v>
      </c>
      <c r="D50" s="692" t="s">
        <v>117</v>
      </c>
      <c r="E50" s="693">
        <v>83850.0</v>
      </c>
      <c r="F50" s="693">
        <v>29050.0</v>
      </c>
      <c r="G50" s="693">
        <v>0.0</v>
      </c>
      <c r="H50" s="126"/>
      <c r="I50" s="127"/>
      <c r="J50" s="47"/>
      <c r="K50" s="5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2.75" customHeight="1">
      <c r="A51" s="691" t="s">
        <v>74</v>
      </c>
      <c r="B51" s="692" t="s">
        <v>148</v>
      </c>
      <c r="C51" s="692" t="s">
        <v>149</v>
      </c>
      <c r="D51" s="692" t="s">
        <v>80</v>
      </c>
      <c r="E51" s="693">
        <v>295135.0</v>
      </c>
      <c r="F51" s="693">
        <v>150391.0</v>
      </c>
      <c r="G51" s="693" t="str">
        <f>E51-F51</f>
        <v>144,744</v>
      </c>
      <c r="H51" s="126"/>
      <c r="I51" s="127"/>
      <c r="J51" s="47"/>
      <c r="K51" s="5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2.75" customHeight="1">
      <c r="A52" s="691"/>
      <c r="B52" s="692"/>
      <c r="C52" s="692"/>
      <c r="D52" s="839" t="s">
        <v>186</v>
      </c>
      <c r="E52" s="884" t="str">
        <f t="shared" ref="E52:G52" si="8">SUM(E37:E51)</f>
        <v>11,021,668</v>
      </c>
      <c r="F52" s="884" t="str">
        <f t="shared" si="8"/>
        <v>3,340,386</v>
      </c>
      <c r="G52" s="884" t="str">
        <f t="shared" si="8"/>
        <v>1,120,676</v>
      </c>
      <c r="H52" s="126" t="str">
        <f>E52/E149*100</f>
        <v>  28.30 </v>
      </c>
      <c r="I52" s="127" t="str">
        <f>E52/14</f>
        <v>  787,262 </v>
      </c>
      <c r="J52" s="47"/>
      <c r="K52" s="57" t="str">
        <f>F52/F149*100</f>
        <v>  26.01 </v>
      </c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2.75" customHeight="1">
      <c r="A53" s="273"/>
      <c r="B53" s="720"/>
      <c r="C53" s="720"/>
      <c r="D53" s="720"/>
      <c r="E53" s="755"/>
      <c r="F53" s="755"/>
      <c r="G53" s="755"/>
      <c r="H53" s="379"/>
      <c r="I53" s="380"/>
      <c r="J53" s="274"/>
      <c r="K53" s="402"/>
      <c r="L53" s="274"/>
      <c r="M53" s="274"/>
      <c r="N53" s="274"/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</row>
    <row r="54" ht="25.5" customHeight="1">
      <c r="A54" s="123" t="s">
        <v>54</v>
      </c>
      <c r="B54" s="128" t="s">
        <v>187</v>
      </c>
      <c r="C54" s="128" t="s">
        <v>188</v>
      </c>
      <c r="D54" s="124" t="s">
        <v>189</v>
      </c>
      <c r="E54" s="125">
        <v>1687546.0</v>
      </c>
      <c r="F54" s="125">
        <v>341979.73197569925</v>
      </c>
      <c r="G54" s="125" t="str">
        <f>(12/36)*E54</f>
        <v>562,515</v>
      </c>
      <c r="H54" s="126"/>
      <c r="I54" s="127"/>
      <c r="J54" s="47"/>
      <c r="K54" s="5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2.75" customHeight="1">
      <c r="A55" s="123" t="s">
        <v>93</v>
      </c>
      <c r="B55" s="323" t="s">
        <v>190</v>
      </c>
      <c r="C55" s="128" t="s">
        <v>191</v>
      </c>
      <c r="D55" s="128" t="s">
        <v>189</v>
      </c>
      <c r="E55" s="125">
        <v>990265.0</v>
      </c>
      <c r="F55" s="125">
        <v>313056.0705</v>
      </c>
      <c r="G55" s="125">
        <v>98662.0</v>
      </c>
      <c r="H55" s="126"/>
      <c r="I55" s="127"/>
      <c r="J55" s="47"/>
      <c r="K55" s="5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2.75" customHeight="1">
      <c r="A56" s="123" t="s">
        <v>93</v>
      </c>
      <c r="B56" s="323" t="s">
        <v>192</v>
      </c>
      <c r="C56" s="128" t="s">
        <v>193</v>
      </c>
      <c r="D56" s="128" t="s">
        <v>194</v>
      </c>
      <c r="E56" s="125">
        <v>1322180.0</v>
      </c>
      <c r="F56" s="125">
        <v>379597.6949803528</v>
      </c>
      <c r="G56" s="125" t="str">
        <f>E56/2</f>
        <v>661,090</v>
      </c>
      <c r="H56" s="126"/>
      <c r="I56" s="127"/>
      <c r="J56" s="47"/>
      <c r="K56" s="5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2.75" customHeight="1">
      <c r="A57" s="123" t="s">
        <v>195</v>
      </c>
      <c r="B57" s="323" t="s">
        <v>196</v>
      </c>
      <c r="C57" s="128" t="s">
        <v>197</v>
      </c>
      <c r="D57" s="128" t="s">
        <v>198</v>
      </c>
      <c r="E57" s="125">
        <v>794831.0</v>
      </c>
      <c r="F57" s="125">
        <v>222351.09</v>
      </c>
      <c r="G57" s="125" t="str">
        <f>F57</f>
        <v>222,351</v>
      </c>
      <c r="H57" s="126"/>
      <c r="I57" s="127"/>
      <c r="J57" s="47"/>
      <c r="K57" s="5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2.75" customHeight="1">
      <c r="A58" s="123" t="s">
        <v>199</v>
      </c>
      <c r="B58" s="323" t="s">
        <v>200</v>
      </c>
      <c r="C58" s="128" t="s">
        <v>201</v>
      </c>
      <c r="D58" s="128" t="s">
        <v>202</v>
      </c>
      <c r="E58" s="125">
        <v>251749.0</v>
      </c>
      <c r="F58" s="125">
        <v>199505.50249999997</v>
      </c>
      <c r="G58" s="125" t="str">
        <f>E58-F58</f>
        <v>52,243</v>
      </c>
      <c r="H58" s="126"/>
      <c r="I58" s="127"/>
      <c r="J58" s="47"/>
      <c r="K58" s="5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2.75" customHeight="1">
      <c r="A59" s="404" t="s">
        <v>123</v>
      </c>
      <c r="B59" s="435" t="s">
        <v>145</v>
      </c>
      <c r="C59" s="435" t="s">
        <v>146</v>
      </c>
      <c r="D59" s="435" t="s">
        <v>147</v>
      </c>
      <c r="E59" s="436">
        <v>170270.0</v>
      </c>
      <c r="F59" s="488">
        <v>101510.0</v>
      </c>
      <c r="G59" s="488" t="s">
        <v>253</v>
      </c>
      <c r="H59" s="126"/>
      <c r="I59" s="127"/>
      <c r="J59" s="47"/>
      <c r="K59" s="5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25.5" customHeight="1">
      <c r="A60" s="489" t="s">
        <v>247</v>
      </c>
      <c r="B60" s="435" t="s">
        <v>248</v>
      </c>
      <c r="C60" s="435" t="s">
        <v>249</v>
      </c>
      <c r="D60" s="435" t="s">
        <v>147</v>
      </c>
      <c r="E60" s="436">
        <v>136927.88998311257</v>
      </c>
      <c r="F60" s="488">
        <v>54765.0</v>
      </c>
      <c r="G60" s="488" t="s">
        <v>253</v>
      </c>
      <c r="H60" s="126"/>
      <c r="I60" s="127"/>
      <c r="J60" s="47"/>
      <c r="K60" s="5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2.75" customHeight="1">
      <c r="A61" s="404" t="s">
        <v>204</v>
      </c>
      <c r="B61" s="492" t="s">
        <v>205</v>
      </c>
      <c r="C61" s="435" t="s">
        <v>227</v>
      </c>
      <c r="D61" s="435" t="s">
        <v>147</v>
      </c>
      <c r="E61" s="436">
        <v>304662.5</v>
      </c>
      <c r="F61" s="488">
        <v>88037.0</v>
      </c>
      <c r="G61" s="488" t="s">
        <v>253</v>
      </c>
      <c r="H61" s="126"/>
      <c r="I61" s="127"/>
      <c r="J61" s="47"/>
      <c r="K61" s="5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2.75" customHeight="1">
      <c r="A62" s="489" t="s">
        <v>228</v>
      </c>
      <c r="B62" s="492" t="s">
        <v>239</v>
      </c>
      <c r="C62" s="435" t="s">
        <v>240</v>
      </c>
      <c r="D62" s="435" t="s">
        <v>147</v>
      </c>
      <c r="E62" s="436">
        <v>408318.98</v>
      </c>
      <c r="F62" s="488">
        <v>106873.0</v>
      </c>
      <c r="G62" s="488" t="s">
        <v>253</v>
      </c>
      <c r="H62" s="126"/>
      <c r="I62" s="127"/>
      <c r="J62" s="47"/>
      <c r="K62" s="5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2.75" customHeight="1">
      <c r="A63" s="404" t="s">
        <v>241</v>
      </c>
      <c r="B63" s="435" t="s">
        <v>242</v>
      </c>
      <c r="C63" s="435" t="s">
        <v>243</v>
      </c>
      <c r="D63" s="435" t="s">
        <v>147</v>
      </c>
      <c r="E63" s="488">
        <v>173801.2625</v>
      </c>
      <c r="F63" s="488">
        <v>51512.0</v>
      </c>
      <c r="G63" s="488" t="s">
        <v>253</v>
      </c>
      <c r="H63" s="126"/>
      <c r="I63" s="127"/>
      <c r="J63" s="47"/>
      <c r="K63" s="5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2.75" customHeight="1">
      <c r="A64" s="489" t="s">
        <v>244</v>
      </c>
      <c r="B64" s="492" t="s">
        <v>242</v>
      </c>
      <c r="C64" s="435" t="s">
        <v>243</v>
      </c>
      <c r="D64" s="435" t="s">
        <v>147</v>
      </c>
      <c r="E64" s="436">
        <v>173801.0</v>
      </c>
      <c r="F64" s="436">
        <v>33902.0</v>
      </c>
      <c r="G64" s="488" t="s">
        <v>253</v>
      </c>
      <c r="H64" s="126"/>
      <c r="I64" s="127"/>
      <c r="J64" s="47"/>
      <c r="K64" s="5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2.75" customHeight="1">
      <c r="A65" s="674" t="s">
        <v>135</v>
      </c>
      <c r="B65" s="769" t="s">
        <v>245</v>
      </c>
      <c r="C65" s="769" t="s">
        <v>246</v>
      </c>
      <c r="D65" s="769" t="s">
        <v>189</v>
      </c>
      <c r="E65" s="208">
        <v>24745.0</v>
      </c>
      <c r="F65" s="208">
        <v>12373.0</v>
      </c>
      <c r="G65" s="769">
        <v>0.0</v>
      </c>
      <c r="H65" s="126"/>
      <c r="I65" s="127"/>
      <c r="J65" s="47"/>
      <c r="K65" s="5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2.75" customHeight="1">
      <c r="A66" s="123"/>
      <c r="B66" s="128"/>
      <c r="C66" s="128"/>
      <c r="D66" s="252" t="s">
        <v>189</v>
      </c>
      <c r="E66" s="269" t="str">
        <f t="shared" ref="E66:G66" si="9">SUM(E54:E65)</f>
        <v>6,439,098</v>
      </c>
      <c r="F66" s="269" t="str">
        <f t="shared" si="9"/>
        <v>1,905,462</v>
      </c>
      <c r="G66" s="269" t="str">
        <f t="shared" si="9"/>
        <v>1,596,862</v>
      </c>
      <c r="H66" s="126" t="str">
        <f>E66/E149*100</f>
        <v>  16.54 </v>
      </c>
      <c r="I66" s="127" t="str">
        <f>E66/12</f>
        <v>  536,591 </v>
      </c>
      <c r="J66" s="47"/>
      <c r="K66" s="57" t="str">
        <f>F66/F149*100</f>
        <v>  14.84 </v>
      </c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2.75" customHeight="1">
      <c r="A67" s="273"/>
      <c r="B67" s="52"/>
      <c r="C67" s="52"/>
      <c r="D67" s="274"/>
      <c r="E67" s="378"/>
      <c r="F67" s="378"/>
      <c r="G67" s="378"/>
      <c r="H67" s="379"/>
      <c r="I67" s="380"/>
      <c r="J67" s="274"/>
      <c r="K67" s="402"/>
      <c r="L67" s="274"/>
      <c r="M67" s="274"/>
      <c r="N67" s="274"/>
      <c r="O67" s="274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</row>
    <row r="68" ht="12.75" customHeight="1">
      <c r="A68" s="573" t="s">
        <v>159</v>
      </c>
      <c r="B68" s="619" t="s">
        <v>301</v>
      </c>
      <c r="C68" s="924" t="s">
        <v>302</v>
      </c>
      <c r="D68" s="619" t="s">
        <v>287</v>
      </c>
      <c r="E68" s="759" t="str">
        <f>399988-40000</f>
        <v>359,988</v>
      </c>
      <c r="F68" s="642" t="str">
        <f>(100000/12*3)+(50000/12*9)</f>
        <v>62,500</v>
      </c>
      <c r="G68" s="642" t="str">
        <f>50000/12*3</f>
        <v>12,500</v>
      </c>
      <c r="H68" s="126"/>
      <c r="I68" s="127"/>
      <c r="J68" s="47"/>
      <c r="K68" s="5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573" t="s">
        <v>159</v>
      </c>
      <c r="B69" s="619" t="s">
        <v>304</v>
      </c>
      <c r="C69" s="545"/>
      <c r="D69" s="619" t="s">
        <v>287</v>
      </c>
      <c r="E69" s="759">
        <v>64890.0</v>
      </c>
      <c r="F69" s="642" t="str">
        <f>E69/12*3</f>
        <v>16,223</v>
      </c>
      <c r="G69" s="642">
        <v>0.0</v>
      </c>
      <c r="H69" s="126"/>
      <c r="I69" s="127"/>
      <c r="J69" s="47"/>
      <c r="K69" s="5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573" t="s">
        <v>159</v>
      </c>
      <c r="B70" s="619" t="s">
        <v>285</v>
      </c>
      <c r="C70" s="942" t="s">
        <v>286</v>
      </c>
      <c r="D70" s="619" t="s">
        <v>287</v>
      </c>
      <c r="E70" s="759">
        <v>510901.0</v>
      </c>
      <c r="F70" s="642">
        <v>100000.0</v>
      </c>
      <c r="G70" s="642" t="str">
        <f>100000/12*3</f>
        <v>25,000</v>
      </c>
      <c r="H70" s="126"/>
      <c r="I70" s="127"/>
      <c r="J70" s="47"/>
      <c r="K70" s="5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573" t="s">
        <v>159</v>
      </c>
      <c r="B71" s="619" t="s">
        <v>288</v>
      </c>
      <c r="C71" s="545"/>
      <c r="D71" s="619" t="s">
        <v>287</v>
      </c>
      <c r="E71" s="759">
        <v>18711.0</v>
      </c>
      <c r="F71" s="642" t="str">
        <f>E71</f>
        <v>18,711</v>
      </c>
      <c r="G71" s="642">
        <v>0.0</v>
      </c>
      <c r="H71" s="126"/>
      <c r="I71" s="127"/>
      <c r="J71" s="47"/>
      <c r="K71" s="5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573" t="s">
        <v>305</v>
      </c>
      <c r="B72" s="619" t="s">
        <v>306</v>
      </c>
      <c r="C72" s="619" t="s">
        <v>307</v>
      </c>
      <c r="D72" s="619" t="s">
        <v>287</v>
      </c>
      <c r="E72" s="642">
        <v>389998.0</v>
      </c>
      <c r="F72" s="642">
        <v>100000.0</v>
      </c>
      <c r="G72" s="642" t="str">
        <f>100000/12*3</f>
        <v>25,000</v>
      </c>
      <c r="H72" s="126"/>
      <c r="I72" s="127"/>
      <c r="J72" s="47"/>
      <c r="K72" s="5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183" t="s">
        <v>609</v>
      </c>
      <c r="B73" s="206" t="s">
        <v>232</v>
      </c>
      <c r="C73" s="206" t="s">
        <v>233</v>
      </c>
      <c r="D73" s="206" t="s">
        <v>308</v>
      </c>
      <c r="E73" s="208">
        <v>200000.0</v>
      </c>
      <c r="F73" s="675">
        <v>100000.0</v>
      </c>
      <c r="G73" s="675">
        <v>100000.0</v>
      </c>
      <c r="H73" s="126"/>
      <c r="I73" s="127"/>
      <c r="J73" s="47"/>
      <c r="K73" s="5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183" t="s">
        <v>609</v>
      </c>
      <c r="B74" s="206" t="s">
        <v>309</v>
      </c>
      <c r="C74" s="206" t="s">
        <v>310</v>
      </c>
      <c r="D74" s="206" t="s">
        <v>308</v>
      </c>
      <c r="E74" s="208">
        <v>300000.0</v>
      </c>
      <c r="F74" s="675">
        <v>89927.0</v>
      </c>
      <c r="G74" s="675">
        <v>0.0</v>
      </c>
      <c r="H74" s="126"/>
      <c r="I74" s="127"/>
      <c r="J74" s="47"/>
      <c r="K74" s="5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674" t="s">
        <v>135</v>
      </c>
      <c r="B75" s="206" t="s">
        <v>311</v>
      </c>
      <c r="C75" s="206" t="s">
        <v>312</v>
      </c>
      <c r="D75" s="206" t="s">
        <v>266</v>
      </c>
      <c r="E75" s="208">
        <v>16000.0</v>
      </c>
      <c r="F75" s="675">
        <v>13959.0</v>
      </c>
      <c r="G75" s="675">
        <v>0.0</v>
      </c>
      <c r="H75" s="126"/>
      <c r="I75" s="127"/>
      <c r="J75" s="47"/>
      <c r="K75" s="5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183" t="s">
        <v>175</v>
      </c>
      <c r="B76" s="206" t="s">
        <v>303</v>
      </c>
      <c r="C76" s="206" t="s">
        <v>313</v>
      </c>
      <c r="D76" s="206" t="s">
        <v>266</v>
      </c>
      <c r="E76" s="208">
        <v>263361.0</v>
      </c>
      <c r="F76" s="675">
        <v>195168.0</v>
      </c>
      <c r="G76" s="675">
        <v>68862.0</v>
      </c>
      <c r="H76" s="126"/>
      <c r="I76" s="127"/>
      <c r="J76" s="47"/>
      <c r="K76" s="5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183" t="s">
        <v>314</v>
      </c>
      <c r="B77" s="967" t="s">
        <v>315</v>
      </c>
      <c r="C77" s="206" t="s">
        <v>335</v>
      </c>
      <c r="D77" s="206" t="s">
        <v>336</v>
      </c>
      <c r="E77" s="208">
        <v>70000.0</v>
      </c>
      <c r="F77" s="675">
        <v>33365.0</v>
      </c>
      <c r="G77" s="675">
        <v>0.0</v>
      </c>
      <c r="H77" s="126"/>
      <c r="I77" s="127"/>
      <c r="J77" s="47"/>
      <c r="K77" s="5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691" t="s">
        <v>332</v>
      </c>
      <c r="B78" s="968" t="s">
        <v>337</v>
      </c>
      <c r="C78" s="692" t="s">
        <v>338</v>
      </c>
      <c r="D78" s="692" t="s">
        <v>266</v>
      </c>
      <c r="E78" s="693">
        <v>75029.0</v>
      </c>
      <c r="F78" s="693">
        <v>75029.0</v>
      </c>
      <c r="G78" s="806">
        <v>0.0</v>
      </c>
      <c r="H78" s="126"/>
      <c r="I78" s="127"/>
      <c r="J78" s="47"/>
      <c r="K78" s="5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980" t="s">
        <v>314</v>
      </c>
      <c r="B79" s="968" t="s">
        <v>350</v>
      </c>
      <c r="C79" s="968" t="s">
        <v>351</v>
      </c>
      <c r="D79" s="968" t="s">
        <v>266</v>
      </c>
      <c r="E79" s="806">
        <v>41800.0</v>
      </c>
      <c r="F79" s="806" t="str">
        <f>E79</f>
        <v>41,800</v>
      </c>
      <c r="G79" s="968">
        <v>0.0</v>
      </c>
      <c r="H79" s="126"/>
      <c r="I79" s="127"/>
      <c r="J79" s="47"/>
      <c r="K79" s="5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980"/>
      <c r="B80" s="968"/>
      <c r="C80" s="968"/>
      <c r="D80" s="983" t="s">
        <v>266</v>
      </c>
      <c r="E80" s="984" t="str">
        <f t="shared" ref="E80:G80" si="10">SUM(E68:E79)</f>
        <v>2,310,678</v>
      </c>
      <c r="F80" s="984" t="str">
        <f t="shared" si="10"/>
        <v>846,682</v>
      </c>
      <c r="G80" s="984" t="str">
        <f t="shared" si="10"/>
        <v>231,362</v>
      </c>
      <c r="H80" s="126" t="str">
        <f>E80/E149*100</f>
        <v>  5.93 </v>
      </c>
      <c r="I80" s="127" t="str">
        <f>E80/12</f>
        <v>  192,557 </v>
      </c>
      <c r="J80" s="47"/>
      <c r="K80" s="57" t="str">
        <f>F80/F149*100</f>
        <v>  6.59 </v>
      </c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275"/>
      <c r="B81" s="998"/>
      <c r="C81" s="998"/>
      <c r="D81" s="1041"/>
      <c r="E81" s="1042"/>
      <c r="F81" s="1042"/>
      <c r="G81" s="1042"/>
      <c r="H81" s="379"/>
      <c r="I81" s="380"/>
      <c r="J81" s="274"/>
      <c r="K81" s="402"/>
      <c r="L81" s="274"/>
      <c r="M81" s="274"/>
      <c r="N81" s="274"/>
      <c r="O81" s="274"/>
      <c r="P81" s="274"/>
      <c r="Q81" s="274"/>
      <c r="R81" s="274"/>
      <c r="S81" s="274"/>
      <c r="T81" s="274"/>
      <c r="U81" s="274"/>
      <c r="V81" s="274"/>
      <c r="W81" s="274"/>
      <c r="X81" s="274"/>
      <c r="Y81" s="274"/>
      <c r="Z81" s="274"/>
    </row>
    <row r="82" ht="12.75" customHeight="1">
      <c r="A82" s="489" t="s">
        <v>228</v>
      </c>
      <c r="B82" s="490" t="s">
        <v>373</v>
      </c>
      <c r="C82" s="1043" t="s">
        <v>374</v>
      </c>
      <c r="D82" s="490" t="s">
        <v>375</v>
      </c>
      <c r="E82" s="1044">
        <v>12179.0</v>
      </c>
      <c r="F82" s="436">
        <v>12179.0</v>
      </c>
      <c r="G82" s="436">
        <v>0.0</v>
      </c>
      <c r="H82" s="126"/>
      <c r="I82" s="127"/>
      <c r="J82" s="47"/>
      <c r="K82" s="5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674" t="s">
        <v>135</v>
      </c>
      <c r="B83" s="206" t="s">
        <v>377</v>
      </c>
      <c r="C83" s="206" t="s">
        <v>378</v>
      </c>
      <c r="D83" s="206" t="s">
        <v>379</v>
      </c>
      <c r="E83" s="208">
        <v>4300.0</v>
      </c>
      <c r="F83" s="675">
        <v>3768.0</v>
      </c>
      <c r="G83" s="206">
        <v>0.0</v>
      </c>
      <c r="H83" s="126"/>
      <c r="I83" s="127"/>
      <c r="J83" s="47"/>
      <c r="K83" s="5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183" t="s">
        <v>178</v>
      </c>
      <c r="B84" s="184" t="s">
        <v>380</v>
      </c>
      <c r="C84" s="206" t="s">
        <v>381</v>
      </c>
      <c r="D84" s="206" t="s">
        <v>382</v>
      </c>
      <c r="E84" s="208">
        <v>229118.0</v>
      </c>
      <c r="F84" s="675">
        <v>130199.0</v>
      </c>
      <c r="G84" s="675">
        <v>0.0</v>
      </c>
      <c r="H84" s="126"/>
      <c r="I84" s="127"/>
      <c r="J84" s="47"/>
      <c r="K84" s="5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1048"/>
      <c r="B85" s="769"/>
      <c r="C85" s="769"/>
      <c r="D85" s="1049" t="s">
        <v>383</v>
      </c>
      <c r="E85" s="697" t="str">
        <f t="shared" ref="E85:G85" si="11">SUM(E82:E84)</f>
        <v>245,597</v>
      </c>
      <c r="F85" s="697" t="str">
        <f t="shared" si="11"/>
        <v>146,146</v>
      </c>
      <c r="G85" s="697" t="str">
        <f t="shared" si="11"/>
        <v>0</v>
      </c>
      <c r="H85" s="379" t="str">
        <f>E85/E149*100</f>
        <v>  0.63 </v>
      </c>
      <c r="I85" s="380" t="str">
        <f>E85/3</f>
        <v>  81,866 </v>
      </c>
      <c r="J85" s="274"/>
      <c r="K85" s="402" t="str">
        <f>F85/F149*100</f>
        <v>  1.14 </v>
      </c>
      <c r="L85" s="274"/>
      <c r="M85" s="274"/>
      <c r="N85" s="274"/>
      <c r="O85" s="274"/>
      <c r="P85" s="274"/>
      <c r="Q85" s="274"/>
      <c r="R85" s="274"/>
      <c r="S85" s="274"/>
      <c r="T85" s="274"/>
      <c r="U85" s="274"/>
      <c r="V85" s="274"/>
      <c r="W85" s="274"/>
      <c r="X85" s="274"/>
      <c r="Y85" s="274"/>
      <c r="Z85" s="274"/>
    </row>
    <row r="86" ht="12.75" customHeight="1">
      <c r="A86" s="47"/>
      <c r="B86" s="47"/>
      <c r="C86" s="47"/>
      <c r="D86" s="47"/>
      <c r="E86" s="47"/>
      <c r="F86" s="47"/>
      <c r="G86" s="47"/>
      <c r="H86" s="126"/>
      <c r="I86" s="127"/>
      <c r="J86" s="47"/>
      <c r="K86" s="5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04" t="s">
        <v>241</v>
      </c>
      <c r="B87" s="435" t="s">
        <v>428</v>
      </c>
      <c r="C87" s="435" t="s">
        <v>429</v>
      </c>
      <c r="D87" s="435" t="s">
        <v>430</v>
      </c>
      <c r="E87" s="488" t="str">
        <f>F87+G87+7000</f>
        <v>196,079</v>
      </c>
      <c r="F87" s="488">
        <v>139079.0</v>
      </c>
      <c r="G87" s="488">
        <v>50000.0</v>
      </c>
      <c r="H87" s="126"/>
      <c r="I87" s="127"/>
      <c r="J87" s="47"/>
      <c r="K87" s="5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183" t="s">
        <v>178</v>
      </c>
      <c r="B88" s="184" t="s">
        <v>431</v>
      </c>
      <c r="C88" s="206" t="s">
        <v>432</v>
      </c>
      <c r="D88" s="206" t="s">
        <v>77</v>
      </c>
      <c r="E88" s="208">
        <v>207341.0</v>
      </c>
      <c r="F88" s="208">
        <v>207341.0</v>
      </c>
      <c r="G88" s="769">
        <v>0.0</v>
      </c>
      <c r="H88" s="126"/>
      <c r="I88" s="127"/>
      <c r="J88" s="47"/>
      <c r="K88" s="5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691" t="s">
        <v>74</v>
      </c>
      <c r="B89" s="692" t="s">
        <v>420</v>
      </c>
      <c r="C89" s="692" t="s">
        <v>421</v>
      </c>
      <c r="D89" s="692" t="s">
        <v>77</v>
      </c>
      <c r="E89" s="693" t="str">
        <f>153564+10047</f>
        <v>163,611</v>
      </c>
      <c r="F89" s="693" t="str">
        <f t="shared" ref="F89:F90" si="12">E89</f>
        <v>163,611</v>
      </c>
      <c r="G89" s="693">
        <v>0.0</v>
      </c>
      <c r="H89" s="126"/>
      <c r="I89" s="127"/>
      <c r="J89" s="47"/>
      <c r="K89" s="5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691" t="s">
        <v>332</v>
      </c>
      <c r="B90" s="968" t="s">
        <v>422</v>
      </c>
      <c r="C90" s="692" t="s">
        <v>338</v>
      </c>
      <c r="D90" s="692" t="s">
        <v>77</v>
      </c>
      <c r="E90" s="693" t="str">
        <f>93901+6143</f>
        <v>100,044</v>
      </c>
      <c r="F90" s="693" t="str">
        <f t="shared" si="12"/>
        <v>100,044</v>
      </c>
      <c r="G90" s="968">
        <v>0.0</v>
      </c>
      <c r="H90" s="126"/>
      <c r="I90" s="127"/>
      <c r="J90" s="47"/>
      <c r="K90" s="5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691" t="s">
        <v>593</v>
      </c>
      <c r="B91" s="968" t="s">
        <v>424</v>
      </c>
      <c r="C91" s="968" t="s">
        <v>425</v>
      </c>
      <c r="D91" s="968" t="s">
        <v>77</v>
      </c>
      <c r="E91" s="806">
        <v>21250.0</v>
      </c>
      <c r="F91" s="806">
        <v>21250.0</v>
      </c>
      <c r="G91" s="968">
        <v>0.0</v>
      </c>
      <c r="H91" s="126"/>
      <c r="I91" s="127"/>
      <c r="J91" s="47"/>
      <c r="K91" s="5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980"/>
      <c r="B92" s="968" t="s">
        <v>427</v>
      </c>
      <c r="C92" s="692" t="s">
        <v>351</v>
      </c>
      <c r="D92" s="692" t="s">
        <v>77</v>
      </c>
      <c r="E92" s="693">
        <v>21250.0</v>
      </c>
      <c r="F92" s="806">
        <v>21250.0</v>
      </c>
      <c r="G92" s="968">
        <v>0.0</v>
      </c>
      <c r="H92" s="126"/>
      <c r="I92" s="127"/>
      <c r="J92" s="47"/>
      <c r="K92" s="5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980"/>
      <c r="B93" s="968"/>
      <c r="C93" s="692"/>
      <c r="D93" s="839" t="s">
        <v>77</v>
      </c>
      <c r="E93" s="884" t="str">
        <f t="shared" ref="E93:G93" si="13">SUM(E87:E92)</f>
        <v>709,575</v>
      </c>
      <c r="F93" s="884" t="str">
        <f t="shared" si="13"/>
        <v>652,575</v>
      </c>
      <c r="G93" s="884" t="str">
        <f t="shared" si="13"/>
        <v>50,000</v>
      </c>
      <c r="H93" s="126" t="str">
        <f>E93/E149*100</f>
        <v>  1.82 </v>
      </c>
      <c r="I93" s="127" t="str">
        <f>E93/6</f>
        <v>  118,263 </v>
      </c>
      <c r="J93" s="47"/>
      <c r="K93" s="57" t="str">
        <f>F93/F149*100</f>
        <v>  5.08 </v>
      </c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275"/>
      <c r="B94" s="998"/>
      <c r="C94" s="720"/>
      <c r="D94" s="720"/>
      <c r="E94" s="755"/>
      <c r="F94" s="754"/>
      <c r="G94" s="998"/>
      <c r="H94" s="379"/>
      <c r="I94" s="380"/>
      <c r="J94" s="274"/>
      <c r="K94" s="402"/>
      <c r="L94" s="274"/>
      <c r="M94" s="274"/>
      <c r="N94" s="274"/>
      <c r="O94" s="274"/>
      <c r="P94" s="274"/>
      <c r="Q94" s="274"/>
      <c r="R94" s="274"/>
      <c r="S94" s="274"/>
      <c r="T94" s="274"/>
      <c r="U94" s="274"/>
      <c r="V94" s="274"/>
      <c r="W94" s="274"/>
      <c r="X94" s="274"/>
      <c r="Y94" s="274"/>
      <c r="Z94" s="274"/>
    </row>
    <row r="95" ht="25.5" customHeight="1">
      <c r="A95" s="123" t="s">
        <v>59</v>
      </c>
      <c r="B95" s="128" t="s">
        <v>402</v>
      </c>
      <c r="C95" s="128" t="s">
        <v>403</v>
      </c>
      <c r="D95" s="128" t="s">
        <v>404</v>
      </c>
      <c r="E95" s="125">
        <v>275691.0</v>
      </c>
      <c r="F95" s="125">
        <v>97124.03</v>
      </c>
      <c r="G95" s="125" t="str">
        <f>F95</f>
        <v>97,124</v>
      </c>
      <c r="H95" s="126"/>
      <c r="I95" s="127"/>
      <c r="J95" s="47"/>
      <c r="K95" s="5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123" t="s">
        <v>59</v>
      </c>
      <c r="B96" s="128" t="s">
        <v>408</v>
      </c>
      <c r="C96" s="128" t="s">
        <v>409</v>
      </c>
      <c r="D96" s="128" t="s">
        <v>269</v>
      </c>
      <c r="E96" s="125">
        <v>30000.05</v>
      </c>
      <c r="F96" s="125">
        <v>30000.0</v>
      </c>
      <c r="G96" s="125">
        <v>0.0</v>
      </c>
      <c r="H96" s="126"/>
      <c r="I96" s="127"/>
      <c r="J96" s="47"/>
      <c r="K96" s="5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1059" t="s">
        <v>93</v>
      </c>
      <c r="B97" s="323" t="s">
        <v>394</v>
      </c>
      <c r="C97" s="128" t="s">
        <v>395</v>
      </c>
      <c r="D97" s="128" t="s">
        <v>396</v>
      </c>
      <c r="E97" s="125">
        <v>217391.0</v>
      </c>
      <c r="F97" s="125">
        <v>166800.19</v>
      </c>
      <c r="G97" s="125">
        <v>0.0</v>
      </c>
      <c r="H97" s="126"/>
      <c r="I97" s="127"/>
      <c r="J97" s="47"/>
      <c r="K97" s="5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1059" t="s">
        <v>151</v>
      </c>
      <c r="B98" s="323" t="s">
        <v>405</v>
      </c>
      <c r="C98" s="128" t="s">
        <v>406</v>
      </c>
      <c r="D98" s="128" t="s">
        <v>407</v>
      </c>
      <c r="E98" s="125">
        <v>30530.62</v>
      </c>
      <c r="F98" s="125">
        <v>31116.119999999995</v>
      </c>
      <c r="G98" s="125">
        <v>0.0</v>
      </c>
      <c r="H98" s="126"/>
      <c r="I98" s="127"/>
      <c r="J98" s="47"/>
      <c r="K98" s="5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691" t="s">
        <v>102</v>
      </c>
      <c r="B99" s="968" t="s">
        <v>410</v>
      </c>
      <c r="C99" s="968" t="s">
        <v>411</v>
      </c>
      <c r="D99" s="968" t="s">
        <v>412</v>
      </c>
      <c r="E99" s="806" t="str">
        <f>49929/1.65</f>
        <v>30,260</v>
      </c>
      <c r="F99" s="806" t="str">
        <f>E99</f>
        <v>30,260</v>
      </c>
      <c r="G99" s="968">
        <v>0.0</v>
      </c>
      <c r="H99" s="126"/>
      <c r="I99" s="127"/>
      <c r="J99" s="47"/>
      <c r="K99" s="5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25.5" customHeight="1">
      <c r="A100" s="183" t="s">
        <v>175</v>
      </c>
      <c r="B100" s="768" t="s">
        <v>369</v>
      </c>
      <c r="C100" s="769" t="s">
        <v>236</v>
      </c>
      <c r="D100" s="769" t="s">
        <v>371</v>
      </c>
      <c r="E100" s="208">
        <v>334386.0</v>
      </c>
      <c r="F100" s="675">
        <v>228041.0</v>
      </c>
      <c r="G100" s="675">
        <v>0.0</v>
      </c>
      <c r="H100" s="126"/>
      <c r="I100" s="127"/>
      <c r="J100" s="47"/>
      <c r="K100" s="5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183" t="s">
        <v>175</v>
      </c>
      <c r="B101" s="206" t="s">
        <v>416</v>
      </c>
      <c r="C101" s="206" t="s">
        <v>417</v>
      </c>
      <c r="D101" s="206" t="s">
        <v>418</v>
      </c>
      <c r="E101" s="208">
        <v>41000.0</v>
      </c>
      <c r="F101" s="675">
        <v>41000.0</v>
      </c>
      <c r="G101" s="675">
        <v>0.0</v>
      </c>
      <c r="H101" s="126"/>
      <c r="I101" s="127"/>
      <c r="J101" s="47"/>
      <c r="K101" s="5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25.5" customHeight="1">
      <c r="A102" s="691" t="s">
        <v>657</v>
      </c>
      <c r="B102" s="805" t="s">
        <v>413</v>
      </c>
      <c r="C102" s="692" t="s">
        <v>414</v>
      </c>
      <c r="D102" s="692" t="s">
        <v>415</v>
      </c>
      <c r="E102" s="806" t="str">
        <f>12648+9996</f>
        <v>22,644</v>
      </c>
      <c r="F102" s="693">
        <v>11814.0</v>
      </c>
      <c r="G102" s="693">
        <v>0.0</v>
      </c>
      <c r="H102" s="126"/>
      <c r="I102" s="127"/>
      <c r="J102" s="47"/>
      <c r="K102" s="5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47"/>
      <c r="D103" s="60" t="s">
        <v>269</v>
      </c>
      <c r="E103" s="1063" t="str">
        <f t="shared" ref="E103:G103" si="14">SUM(E95:E102)</f>
        <v>981,903</v>
      </c>
      <c r="F103" s="1063" t="str">
        <f t="shared" si="14"/>
        <v>636,155</v>
      </c>
      <c r="G103" s="1063" t="str">
        <f t="shared" si="14"/>
        <v>97,124</v>
      </c>
      <c r="H103" s="126" t="str">
        <f>E103/E149*100</f>
        <v>  2.52 </v>
      </c>
      <c r="I103" s="127" t="str">
        <f>E103/8</f>
        <v>  122,738 </v>
      </c>
      <c r="J103" s="47"/>
      <c r="K103" s="57" t="str">
        <f>F103/F149*100</f>
        <v>  4.95 </v>
      </c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126"/>
      <c r="I104" s="127"/>
      <c r="J104" s="47"/>
      <c r="K104" s="5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521" t="s">
        <v>659</v>
      </c>
      <c r="B105" s="522" t="s">
        <v>84</v>
      </c>
      <c r="C105" s="522" t="s">
        <v>85</v>
      </c>
      <c r="D105" s="522" t="s">
        <v>86</v>
      </c>
      <c r="E105" s="488">
        <v>104380.0</v>
      </c>
      <c r="F105" s="488">
        <v>48000.0</v>
      </c>
      <c r="G105" s="488" t="str">
        <f>E105-F105</f>
        <v>56,380</v>
      </c>
      <c r="H105" s="126"/>
      <c r="I105" s="127"/>
      <c r="J105" s="47"/>
      <c r="K105" s="5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521"/>
      <c r="B106" s="522"/>
      <c r="C106" s="522"/>
      <c r="D106" s="548" t="s">
        <v>86</v>
      </c>
      <c r="E106" s="549" t="str">
        <f t="shared" ref="E106:G106" si="15">E105</f>
        <v>104,380</v>
      </c>
      <c r="F106" s="549" t="str">
        <f t="shared" si="15"/>
        <v>48,000</v>
      </c>
      <c r="G106" s="549" t="str">
        <f t="shared" si="15"/>
        <v>56,380</v>
      </c>
      <c r="H106" s="126" t="str">
        <f>E106/E149*100</f>
        <v>  0.27 </v>
      </c>
      <c r="I106" s="127" t="str">
        <f>F105</f>
        <v>  48,000 </v>
      </c>
      <c r="J106" s="47"/>
      <c r="K106" s="57" t="str">
        <f>F106/F149*100</f>
        <v>  0.37 </v>
      </c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126"/>
      <c r="I107" s="127"/>
      <c r="J107" s="47"/>
      <c r="K107" s="5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573" t="s">
        <v>131</v>
      </c>
      <c r="B108" s="618" t="s">
        <v>367</v>
      </c>
      <c r="C108" s="619" t="s">
        <v>387</v>
      </c>
      <c r="D108" s="619" t="s">
        <v>386</v>
      </c>
      <c r="E108" s="641">
        <v>69775.0</v>
      </c>
      <c r="F108" s="642" t="str">
        <f t="shared" ref="F108:F109" si="16">E108/12*7</f>
        <v>40,702</v>
      </c>
      <c r="G108" s="642" t="str">
        <f t="shared" ref="G108:G109" si="17">E108-F108</f>
        <v>29,073</v>
      </c>
      <c r="H108" s="126"/>
      <c r="I108" s="127"/>
      <c r="J108" s="47"/>
      <c r="K108" s="5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573" t="s">
        <v>131</v>
      </c>
      <c r="B109" s="618" t="s">
        <v>384</v>
      </c>
      <c r="C109" s="619" t="s">
        <v>385</v>
      </c>
      <c r="D109" s="619" t="s">
        <v>386</v>
      </c>
      <c r="E109" s="641">
        <v>69775.0</v>
      </c>
      <c r="F109" s="642" t="str">
        <f t="shared" si="16"/>
        <v>40,702</v>
      </c>
      <c r="G109" s="642" t="str">
        <f t="shared" si="17"/>
        <v>29,073</v>
      </c>
      <c r="H109" s="126"/>
      <c r="I109" s="127"/>
      <c r="J109" s="47"/>
      <c r="K109" s="5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674" t="s">
        <v>135</v>
      </c>
      <c r="B110" s="769" t="s">
        <v>238</v>
      </c>
      <c r="C110" s="769" t="s">
        <v>289</v>
      </c>
      <c r="D110" s="769" t="s">
        <v>290</v>
      </c>
      <c r="E110" s="208">
        <v>32000.0</v>
      </c>
      <c r="F110" s="208">
        <v>14594.0</v>
      </c>
      <c r="G110" s="208">
        <v>14594.0</v>
      </c>
      <c r="H110" s="126"/>
      <c r="I110" s="127"/>
      <c r="J110" s="47"/>
      <c r="K110" s="5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47"/>
      <c r="D111" s="60" t="s">
        <v>660</v>
      </c>
      <c r="E111" s="1063" t="str">
        <f t="shared" ref="E111:G111" si="18">SUM(E108:E110)</f>
        <v>171,550</v>
      </c>
      <c r="F111" s="1063" t="str">
        <f t="shared" si="18"/>
        <v>95,998</v>
      </c>
      <c r="G111" s="1063" t="str">
        <f t="shared" si="18"/>
        <v>72,740</v>
      </c>
      <c r="H111" s="126" t="str">
        <f>E111/E149*100</f>
        <v>  0.44 </v>
      </c>
      <c r="I111" s="127" t="str">
        <f>E111/3</f>
        <v>  57,183 </v>
      </c>
      <c r="J111" s="47"/>
      <c r="K111" s="57" t="str">
        <f>F111/F149*100</f>
        <v>  0.75 </v>
      </c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47"/>
      <c r="D112" s="60"/>
      <c r="E112" s="1063"/>
      <c r="F112" s="1063"/>
      <c r="G112" s="1063"/>
      <c r="H112" s="126"/>
      <c r="I112" s="127"/>
      <c r="J112" s="47"/>
      <c r="K112" s="5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25.5" customHeight="1">
      <c r="A113" s="123" t="s">
        <v>397</v>
      </c>
      <c r="B113" s="323" t="s">
        <v>398</v>
      </c>
      <c r="C113" s="128" t="s">
        <v>399</v>
      </c>
      <c r="D113" s="128" t="s">
        <v>400</v>
      </c>
      <c r="E113" s="125">
        <v>91188.0</v>
      </c>
      <c r="F113" s="125">
        <v>30388.0</v>
      </c>
      <c r="G113" s="125">
        <v>0.0</v>
      </c>
      <c r="H113" s="126"/>
      <c r="I113" s="127"/>
      <c r="J113" s="47"/>
      <c r="K113" s="5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47"/>
      <c r="D114" s="60" t="s">
        <v>661</v>
      </c>
      <c r="E114" s="1063" t="str">
        <f t="shared" ref="E114:G114" si="19">E113</f>
        <v>91,188</v>
      </c>
      <c r="F114" s="1063" t="str">
        <f t="shared" si="19"/>
        <v>30,388</v>
      </c>
      <c r="G114" s="1063" t="str">
        <f t="shared" si="19"/>
        <v>0</v>
      </c>
      <c r="H114" s="126" t="str">
        <f>E114/E149*100</f>
        <v>  0.23 </v>
      </c>
      <c r="I114" s="127" t="str">
        <f>F113</f>
        <v>  30,388 </v>
      </c>
      <c r="J114" s="47"/>
      <c r="K114" s="57" t="str">
        <f>F114/F149*100</f>
        <v>  0.24 </v>
      </c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126"/>
      <c r="I115" s="127"/>
      <c r="J115" s="47"/>
      <c r="K115" s="5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183" t="s">
        <v>175</v>
      </c>
      <c r="B116" s="206" t="s">
        <v>342</v>
      </c>
      <c r="C116" s="206" t="s">
        <v>344</v>
      </c>
      <c r="D116" s="184" t="s">
        <v>393</v>
      </c>
      <c r="E116" s="208">
        <v>54000.0</v>
      </c>
      <c r="F116" s="675">
        <v>40000.0</v>
      </c>
      <c r="G116" s="675">
        <v>14000.0</v>
      </c>
      <c r="H116" s="126"/>
      <c r="I116" s="127"/>
      <c r="J116" s="47"/>
      <c r="K116" s="5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47"/>
      <c r="D117" s="60" t="s">
        <v>663</v>
      </c>
      <c r="E117" s="1063" t="str">
        <f t="shared" ref="E117:G117" si="20">E116</f>
        <v>54,000</v>
      </c>
      <c r="F117" s="1063" t="str">
        <f t="shared" si="20"/>
        <v>40,000</v>
      </c>
      <c r="G117" s="1063" t="str">
        <f t="shared" si="20"/>
        <v>14,000</v>
      </c>
      <c r="H117" s="126" t="str">
        <f>E117/E149*100</f>
        <v>  0.14 </v>
      </c>
      <c r="I117" s="127" t="str">
        <f>E116</f>
        <v>  54,000 </v>
      </c>
      <c r="J117" s="47"/>
      <c r="K117" s="57" t="str">
        <f>F117/F149*100</f>
        <v>  0.31 </v>
      </c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126"/>
      <c r="I118" s="127"/>
      <c r="J118" s="47"/>
      <c r="K118" s="5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183" t="s">
        <v>178</v>
      </c>
      <c r="B119" s="967" t="s">
        <v>390</v>
      </c>
      <c r="C119" s="206" t="s">
        <v>391</v>
      </c>
      <c r="D119" s="206" t="s">
        <v>392</v>
      </c>
      <c r="E119" s="208">
        <v>71464.0</v>
      </c>
      <c r="F119" s="675">
        <v>17098.0</v>
      </c>
      <c r="G119" s="675">
        <v>0.0</v>
      </c>
      <c r="H119" s="126"/>
      <c r="I119" s="127"/>
      <c r="J119" s="47"/>
      <c r="K119" s="5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47"/>
      <c r="D120" s="60" t="s">
        <v>392</v>
      </c>
      <c r="E120" s="1063" t="str">
        <f t="shared" ref="E120:G120" si="21">E119</f>
        <v>71,464</v>
      </c>
      <c r="F120" s="1063" t="str">
        <f t="shared" si="21"/>
        <v>17,098</v>
      </c>
      <c r="G120" s="1063" t="str">
        <f t="shared" si="21"/>
        <v>0</v>
      </c>
      <c r="H120" s="126" t="str">
        <f>E120/E149*100</f>
        <v>  0.18 </v>
      </c>
      <c r="I120" s="127" t="str">
        <f>E119</f>
        <v>  71,464 </v>
      </c>
      <c r="J120" s="47"/>
      <c r="K120" s="57" t="str">
        <f>F120/F149*100</f>
        <v>  0.13 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126"/>
      <c r="I121" s="127"/>
      <c r="J121" s="47"/>
      <c r="K121" s="5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183" t="s">
        <v>175</v>
      </c>
      <c r="B122" s="206" t="s">
        <v>445</v>
      </c>
      <c r="C122" s="206" t="s">
        <v>236</v>
      </c>
      <c r="D122" s="184" t="s">
        <v>437</v>
      </c>
      <c r="E122" s="208">
        <v>30000.0</v>
      </c>
      <c r="F122" s="675">
        <v>30000.0</v>
      </c>
      <c r="G122" s="675">
        <v>106345.0</v>
      </c>
      <c r="H122" s="126"/>
      <c r="I122" s="127"/>
      <c r="J122" s="47"/>
      <c r="K122" s="5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573" t="s">
        <v>159</v>
      </c>
      <c r="B123" s="619" t="s">
        <v>435</v>
      </c>
      <c r="C123" s="619" t="s">
        <v>436</v>
      </c>
      <c r="D123" s="619" t="s">
        <v>237</v>
      </c>
      <c r="E123" s="759">
        <v>60000.0</v>
      </c>
      <c r="F123" s="642">
        <v>35000.0</v>
      </c>
      <c r="G123" s="642" t="str">
        <f>E123-F123</f>
        <v>25,000</v>
      </c>
      <c r="H123" s="126"/>
      <c r="I123" s="127"/>
      <c r="J123" s="47"/>
      <c r="K123" s="5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762" t="s">
        <v>105</v>
      </c>
      <c r="B124" s="619" t="s">
        <v>433</v>
      </c>
      <c r="C124" s="619" t="s">
        <v>434</v>
      </c>
      <c r="D124" s="619" t="s">
        <v>237</v>
      </c>
      <c r="E124" s="642">
        <v>222729.0</v>
      </c>
      <c r="F124" s="642">
        <v>236092.0</v>
      </c>
      <c r="G124" s="642">
        <v>236092.0</v>
      </c>
      <c r="H124" s="126"/>
      <c r="I124" s="127"/>
      <c r="J124" s="47"/>
      <c r="K124" s="5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674" t="s">
        <v>135</v>
      </c>
      <c r="B125" s="206" t="s">
        <v>235</v>
      </c>
      <c r="C125" s="206" t="s">
        <v>236</v>
      </c>
      <c r="D125" s="206" t="s">
        <v>437</v>
      </c>
      <c r="E125" s="208">
        <v>29977.0</v>
      </c>
      <c r="F125" s="675">
        <v>29977.0</v>
      </c>
      <c r="G125" s="206">
        <v>0.0</v>
      </c>
      <c r="H125" s="126"/>
      <c r="I125" s="127"/>
      <c r="J125" s="47"/>
      <c r="K125" s="5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183" t="s">
        <v>450</v>
      </c>
      <c r="B126" s="206" t="s">
        <v>471</v>
      </c>
      <c r="C126" s="206" t="s">
        <v>472</v>
      </c>
      <c r="D126" s="206" t="s">
        <v>237</v>
      </c>
      <c r="E126" s="208">
        <v>54200.0</v>
      </c>
      <c r="F126" s="675">
        <v>67435.0</v>
      </c>
      <c r="G126" s="675">
        <v>0.0</v>
      </c>
      <c r="H126" s="126"/>
      <c r="I126" s="127"/>
      <c r="J126" s="47"/>
      <c r="K126" s="5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183" t="s">
        <v>450</v>
      </c>
      <c r="B127" s="967" t="s">
        <v>471</v>
      </c>
      <c r="C127" s="206" t="s">
        <v>473</v>
      </c>
      <c r="D127" s="206" t="s">
        <v>237</v>
      </c>
      <c r="E127" s="208">
        <v>169240.0</v>
      </c>
      <c r="F127" s="675">
        <v>183922.0</v>
      </c>
      <c r="G127" s="675">
        <v>0.0</v>
      </c>
      <c r="H127" s="126"/>
      <c r="I127" s="127"/>
      <c r="J127" s="47"/>
      <c r="K127" s="5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691" t="s">
        <v>657</v>
      </c>
      <c r="B128" s="968" t="s">
        <v>182</v>
      </c>
      <c r="C128" s="968" t="s">
        <v>104</v>
      </c>
      <c r="D128" s="968" t="s">
        <v>105</v>
      </c>
      <c r="E128" s="806">
        <v>21000.0</v>
      </c>
      <c r="F128" s="806">
        <v>21000.0</v>
      </c>
      <c r="G128" s="968">
        <v>0.0</v>
      </c>
      <c r="H128" s="126"/>
      <c r="I128" s="127"/>
      <c r="J128" s="47"/>
      <c r="K128" s="5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691" t="s">
        <v>657</v>
      </c>
      <c r="B129" s="968" t="s">
        <v>474</v>
      </c>
      <c r="C129" s="968" t="s">
        <v>104</v>
      </c>
      <c r="D129" s="968" t="s">
        <v>105</v>
      </c>
      <c r="E129" s="806">
        <v>130000.0</v>
      </c>
      <c r="F129" s="806" t="str">
        <f>80000-10000</f>
        <v>70,000</v>
      </c>
      <c r="G129" s="968">
        <v>0.0</v>
      </c>
      <c r="H129" s="126"/>
      <c r="I129" s="127"/>
      <c r="J129" s="47"/>
      <c r="K129" s="5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691" t="s">
        <v>74</v>
      </c>
      <c r="B130" s="692" t="s">
        <v>74</v>
      </c>
      <c r="C130" s="692" t="s">
        <v>475</v>
      </c>
      <c r="D130" s="692" t="s">
        <v>105</v>
      </c>
      <c r="E130" s="693">
        <v>15000.0</v>
      </c>
      <c r="F130" s="693">
        <v>15000.0</v>
      </c>
      <c r="G130" s="693">
        <v>0.0</v>
      </c>
      <c r="H130" s="126"/>
      <c r="I130" s="127"/>
      <c r="J130" s="47"/>
      <c r="K130" s="5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691" t="s">
        <v>332</v>
      </c>
      <c r="B131" s="968" t="s">
        <v>332</v>
      </c>
      <c r="C131" s="968" t="s">
        <v>476</v>
      </c>
      <c r="D131" s="968" t="s">
        <v>105</v>
      </c>
      <c r="E131" s="806">
        <v>15000.0</v>
      </c>
      <c r="F131" s="806">
        <v>15000.0</v>
      </c>
      <c r="G131" s="968">
        <v>0.0</v>
      </c>
      <c r="H131" s="126"/>
      <c r="I131" s="127"/>
      <c r="J131" s="47"/>
      <c r="K131" s="5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691" t="s">
        <v>487</v>
      </c>
      <c r="B132" s="692" t="s">
        <v>106</v>
      </c>
      <c r="C132" s="692" t="s">
        <v>107</v>
      </c>
      <c r="D132" s="1090" t="s">
        <v>105</v>
      </c>
      <c r="E132" s="1091">
        <v>50000.0</v>
      </c>
      <c r="F132" s="693" t="str">
        <f t="shared" ref="F132:F133" si="22">E132</f>
        <v>50,000</v>
      </c>
      <c r="G132" s="693">
        <v>0.0</v>
      </c>
      <c r="H132" s="126"/>
      <c r="I132" s="127"/>
      <c r="J132" s="47"/>
      <c r="K132" s="5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691" t="s">
        <v>487</v>
      </c>
      <c r="B133" s="968" t="s">
        <v>521</v>
      </c>
      <c r="C133" s="692" t="s">
        <v>522</v>
      </c>
      <c r="D133" s="692" t="s">
        <v>105</v>
      </c>
      <c r="E133" s="693">
        <v>10000.0</v>
      </c>
      <c r="F133" s="693" t="str">
        <f t="shared" si="22"/>
        <v>10,000</v>
      </c>
      <c r="G133" s="968">
        <v>0.0</v>
      </c>
      <c r="H133" s="126"/>
      <c r="I133" s="127"/>
      <c r="J133" s="47"/>
      <c r="K133" s="5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980" t="s">
        <v>426</v>
      </c>
      <c r="B134" s="968" t="s">
        <v>497</v>
      </c>
      <c r="C134" s="968" t="s">
        <v>498</v>
      </c>
      <c r="D134" s="968" t="s">
        <v>105</v>
      </c>
      <c r="E134" s="806">
        <v>30000.0</v>
      </c>
      <c r="F134" s="806">
        <v>30000.0</v>
      </c>
      <c r="G134" s="968">
        <v>0.0</v>
      </c>
      <c r="H134" s="126"/>
      <c r="I134" s="127"/>
      <c r="J134" s="47"/>
      <c r="K134" s="5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980"/>
      <c r="B135" s="968" t="s">
        <v>110</v>
      </c>
      <c r="C135" s="692" t="s">
        <v>111</v>
      </c>
      <c r="D135" s="692" t="s">
        <v>105</v>
      </c>
      <c r="E135" s="693" t="str">
        <f>175000+40000</f>
        <v>215,000</v>
      </c>
      <c r="F135" s="693" t="str">
        <f t="shared" ref="F135:F138" si="23">E135</f>
        <v>215,000</v>
      </c>
      <c r="G135" s="968">
        <v>0.0</v>
      </c>
      <c r="H135" s="126"/>
      <c r="I135" s="127"/>
      <c r="J135" s="47"/>
      <c r="K135" s="5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980"/>
      <c r="B136" s="968" t="s">
        <v>523</v>
      </c>
      <c r="C136" s="968" t="s">
        <v>524</v>
      </c>
      <c r="D136" s="968" t="s">
        <v>105</v>
      </c>
      <c r="E136" s="806">
        <v>30000.0</v>
      </c>
      <c r="F136" s="806" t="str">
        <f t="shared" si="23"/>
        <v>30,000</v>
      </c>
      <c r="G136" s="968">
        <v>0.0</v>
      </c>
      <c r="H136" s="126"/>
      <c r="I136" s="127"/>
      <c r="J136" s="47"/>
      <c r="K136" s="5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980"/>
      <c r="B137" s="968" t="s">
        <v>525</v>
      </c>
      <c r="C137" s="968" t="s">
        <v>351</v>
      </c>
      <c r="D137" s="968" t="s">
        <v>105</v>
      </c>
      <c r="E137" s="806">
        <v>34360.0</v>
      </c>
      <c r="F137" s="806" t="str">
        <f t="shared" si="23"/>
        <v>34,360</v>
      </c>
      <c r="G137" s="968">
        <v>0.0</v>
      </c>
      <c r="H137" s="126"/>
      <c r="I137" s="127"/>
      <c r="J137" s="47"/>
      <c r="K137" s="5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980"/>
      <c r="B138" s="968" t="s">
        <v>526</v>
      </c>
      <c r="C138" s="968" t="s">
        <v>351</v>
      </c>
      <c r="D138" s="968" t="s">
        <v>105</v>
      </c>
      <c r="E138" s="806">
        <v>55000.0</v>
      </c>
      <c r="F138" s="806" t="str">
        <f t="shared" si="23"/>
        <v>55,000</v>
      </c>
      <c r="G138" s="968">
        <v>0.0</v>
      </c>
      <c r="H138" s="126"/>
      <c r="I138" s="127"/>
      <c r="J138" s="47"/>
      <c r="K138" s="5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123" t="s">
        <v>450</v>
      </c>
      <c r="B139" s="323" t="s">
        <v>439</v>
      </c>
      <c r="C139" s="128" t="s">
        <v>477</v>
      </c>
      <c r="D139" s="128" t="s">
        <v>478</v>
      </c>
      <c r="E139" s="125">
        <v>126452.0</v>
      </c>
      <c r="F139" s="125">
        <v>126452.0</v>
      </c>
      <c r="G139" s="125">
        <v>0.0</v>
      </c>
      <c r="H139" s="126"/>
      <c r="I139" s="127"/>
      <c r="J139" s="47"/>
      <c r="K139" s="5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1059"/>
      <c r="B140" s="128" t="s">
        <v>479</v>
      </c>
      <c r="C140" s="128" t="s">
        <v>480</v>
      </c>
      <c r="D140" s="128" t="s">
        <v>478</v>
      </c>
      <c r="E140" s="125">
        <v>180751.0</v>
      </c>
      <c r="F140" s="125">
        <v>180751.0</v>
      </c>
      <c r="G140" s="125">
        <v>0.0</v>
      </c>
      <c r="H140" s="126"/>
      <c r="I140" s="127"/>
      <c r="J140" s="47"/>
      <c r="K140" s="5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123" t="s">
        <v>481</v>
      </c>
      <c r="B141" s="323" t="s">
        <v>482</v>
      </c>
      <c r="C141" s="128" t="s">
        <v>483</v>
      </c>
      <c r="D141" s="128" t="s">
        <v>484</v>
      </c>
      <c r="E141" s="125">
        <v>34200.0</v>
      </c>
      <c r="F141" s="125">
        <v>12974.619999999999</v>
      </c>
      <c r="G141" s="125" t="str">
        <f t="shared" ref="G141:G142" si="24">E141-F141</f>
        <v>21,225</v>
      </c>
      <c r="H141" s="126"/>
      <c r="I141" s="127"/>
      <c r="J141" s="47"/>
      <c r="K141" s="5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1059"/>
      <c r="B142" s="323" t="s">
        <v>485</v>
      </c>
      <c r="C142" s="128" t="s">
        <v>486</v>
      </c>
      <c r="D142" s="128" t="s">
        <v>484</v>
      </c>
      <c r="E142" s="125">
        <v>41915.0</v>
      </c>
      <c r="F142" s="125">
        <v>19200.32</v>
      </c>
      <c r="G142" s="125" t="str">
        <f t="shared" si="24"/>
        <v>22,715</v>
      </c>
      <c r="H142" s="126"/>
      <c r="I142" s="127"/>
      <c r="J142" s="47"/>
      <c r="K142" s="5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89" t="s">
        <v>228</v>
      </c>
      <c r="B143" s="492" t="s">
        <v>443</v>
      </c>
      <c r="C143" s="435" t="s">
        <v>444</v>
      </c>
      <c r="D143" s="435" t="s">
        <v>439</v>
      </c>
      <c r="E143" s="436" t="str">
        <f>F143</f>
        <v>57,792</v>
      </c>
      <c r="F143" s="488">
        <v>57792.0</v>
      </c>
      <c r="G143" s="488" t="s">
        <v>253</v>
      </c>
      <c r="H143" s="126"/>
      <c r="I143" s="127"/>
      <c r="J143" s="47"/>
      <c r="K143" s="5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25.5" customHeight="1">
      <c r="A144" s="1100" t="s">
        <v>440</v>
      </c>
      <c r="B144" s="435" t="s">
        <v>441</v>
      </c>
      <c r="C144" s="435" t="s">
        <v>442</v>
      </c>
      <c r="D144" s="435" t="s">
        <v>439</v>
      </c>
      <c r="E144" s="488">
        <v>195584.0</v>
      </c>
      <c r="F144" s="488">
        <v>195584.0</v>
      </c>
      <c r="G144" s="488" t="s">
        <v>253</v>
      </c>
      <c r="H144" s="126"/>
      <c r="I144" s="127"/>
      <c r="J144" s="47"/>
      <c r="K144" s="5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757" t="s">
        <v>516</v>
      </c>
      <c r="B145" s="619" t="s">
        <v>671</v>
      </c>
      <c r="C145" s="619" t="s">
        <v>672</v>
      </c>
      <c r="D145" s="619" t="s">
        <v>237</v>
      </c>
      <c r="E145" s="758"/>
      <c r="F145" s="642"/>
      <c r="G145" s="642"/>
      <c r="H145" s="126"/>
      <c r="I145" s="127"/>
      <c r="J145" s="47"/>
      <c r="K145" s="5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47"/>
      <c r="D146" s="60" t="s">
        <v>673</v>
      </c>
      <c r="E146" s="1063" t="str">
        <f t="shared" ref="E146:G146" si="25">SUM(E122:E145)</f>
        <v>1,808,200</v>
      </c>
      <c r="F146" s="1063" t="str">
        <f t="shared" si="25"/>
        <v>1,720,540</v>
      </c>
      <c r="G146" s="1063" t="str">
        <f t="shared" si="25"/>
        <v>411,377</v>
      </c>
      <c r="H146" s="126" t="str">
        <f>E146/E149*100</f>
        <v>  4.64 </v>
      </c>
      <c r="I146" s="127" t="str">
        <f>E146/23</f>
        <v>  78,617 </v>
      </c>
      <c r="J146" s="47"/>
      <c r="K146" s="57" t="str">
        <f>F146/F149*100</f>
        <v>  13.40 </v>
      </c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47"/>
      <c r="D147" s="60"/>
      <c r="E147" s="60"/>
      <c r="F147" s="60"/>
      <c r="G147" s="60"/>
      <c r="H147" s="126"/>
      <c r="I147" s="127"/>
      <c r="J147" s="47"/>
      <c r="K147" s="5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126"/>
      <c r="I148" s="127"/>
      <c r="J148" s="47"/>
      <c r="K148" s="5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47"/>
      <c r="D149" s="60" t="s">
        <v>674</v>
      </c>
      <c r="E149" s="1063" t="str">
        <f t="shared" ref="E149:G149" si="26">E146+E120+E117+E114+E111+E106+E103+E93+E85+E80+E66+E52+E35+E28+E12+E6</f>
        <v>38,939,185</v>
      </c>
      <c r="F149" s="1063" t="str">
        <f t="shared" si="26"/>
        <v>12,841,489</v>
      </c>
      <c r="G149" s="1063" t="str">
        <f t="shared" si="26"/>
        <v>6,179,920</v>
      </c>
      <c r="H149" s="126" t="str">
        <f>SUM(H1:H146)</f>
        <v>  100.00 </v>
      </c>
      <c r="I149" s="126"/>
      <c r="J149" s="47"/>
      <c r="K149" s="57" t="str">
        <f>SUM(K1:K147)</f>
        <v>  100.00 </v>
      </c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126"/>
      <c r="I150" s="127"/>
      <c r="J150" s="47"/>
      <c r="K150" s="5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126"/>
      <c r="I151" s="127"/>
      <c r="J151" s="47"/>
      <c r="K151" s="5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126"/>
      <c r="I152" s="127"/>
      <c r="J152" s="47"/>
      <c r="K152" s="5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126"/>
      <c r="I153" s="127"/>
      <c r="J153" s="47"/>
      <c r="K153" s="5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126"/>
      <c r="I154" s="127"/>
      <c r="J154" s="47"/>
      <c r="K154" s="5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126"/>
      <c r="I155" s="127"/>
      <c r="J155" s="47"/>
      <c r="K155" s="5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126"/>
      <c r="I156" s="127"/>
      <c r="J156" s="47"/>
      <c r="K156" s="5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126"/>
      <c r="I157" s="127"/>
      <c r="J157" s="47"/>
      <c r="K157" s="5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126"/>
      <c r="I158" s="127"/>
      <c r="J158" s="47"/>
      <c r="K158" s="5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126"/>
      <c r="I159" s="127"/>
      <c r="J159" s="47"/>
      <c r="K159" s="5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126"/>
      <c r="I160" s="127"/>
      <c r="J160" s="47"/>
      <c r="K160" s="5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126"/>
      <c r="I161" s="127"/>
      <c r="J161" s="47"/>
      <c r="K161" s="5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126"/>
      <c r="I162" s="127"/>
      <c r="J162" s="47"/>
      <c r="K162" s="5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126"/>
      <c r="I163" s="127"/>
      <c r="J163" s="47"/>
      <c r="K163" s="5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126"/>
      <c r="I164" s="127"/>
      <c r="J164" s="47"/>
      <c r="K164" s="5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126"/>
      <c r="I165" s="127"/>
      <c r="J165" s="47"/>
      <c r="K165" s="5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126"/>
      <c r="I166" s="127"/>
      <c r="J166" s="47"/>
      <c r="K166" s="5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126"/>
      <c r="I167" s="127"/>
      <c r="J167" s="47"/>
      <c r="K167" s="5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126"/>
      <c r="I168" s="127"/>
      <c r="J168" s="47"/>
      <c r="K168" s="5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126"/>
      <c r="I169" s="127"/>
      <c r="J169" s="47"/>
      <c r="K169" s="5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126"/>
      <c r="I170" s="127"/>
      <c r="J170" s="47"/>
      <c r="K170" s="5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126"/>
      <c r="I171" s="127"/>
      <c r="J171" s="47"/>
      <c r="K171" s="5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126"/>
      <c r="I172" s="127"/>
      <c r="J172" s="47"/>
      <c r="K172" s="5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126"/>
      <c r="I173" s="127"/>
      <c r="J173" s="47"/>
      <c r="K173" s="5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126"/>
      <c r="I174" s="127"/>
      <c r="J174" s="47"/>
      <c r="K174" s="5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126"/>
      <c r="I175" s="127"/>
      <c r="J175" s="47"/>
      <c r="K175" s="5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126"/>
      <c r="I176" s="127"/>
      <c r="J176" s="47"/>
      <c r="K176" s="5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126"/>
      <c r="I177" s="127"/>
      <c r="J177" s="47"/>
      <c r="K177" s="5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126"/>
      <c r="I178" s="127"/>
      <c r="J178" s="47"/>
      <c r="K178" s="5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126"/>
      <c r="I179" s="127"/>
      <c r="J179" s="47"/>
      <c r="K179" s="5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126"/>
      <c r="I180" s="127"/>
      <c r="J180" s="47"/>
      <c r="K180" s="5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126"/>
      <c r="I181" s="127"/>
      <c r="J181" s="47"/>
      <c r="K181" s="5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126"/>
      <c r="I182" s="127"/>
      <c r="J182" s="47"/>
      <c r="K182" s="5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126"/>
      <c r="I183" s="127"/>
      <c r="J183" s="47"/>
      <c r="K183" s="5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126"/>
      <c r="I184" s="127"/>
      <c r="J184" s="47"/>
      <c r="K184" s="5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126"/>
      <c r="I185" s="127"/>
      <c r="J185" s="47"/>
      <c r="K185" s="5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126"/>
      <c r="I186" s="127"/>
      <c r="J186" s="47"/>
      <c r="K186" s="5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126"/>
      <c r="I187" s="127"/>
      <c r="J187" s="47"/>
      <c r="K187" s="5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126"/>
      <c r="I188" s="127"/>
      <c r="J188" s="47"/>
      <c r="K188" s="5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126"/>
      <c r="I189" s="127"/>
      <c r="J189" s="47"/>
      <c r="K189" s="5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126"/>
      <c r="I190" s="127"/>
      <c r="J190" s="47"/>
      <c r="K190" s="5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126"/>
      <c r="I191" s="127"/>
      <c r="J191" s="47"/>
      <c r="K191" s="5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126"/>
      <c r="I192" s="127"/>
      <c r="J192" s="47"/>
      <c r="K192" s="5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126"/>
      <c r="I193" s="127"/>
      <c r="J193" s="47"/>
      <c r="K193" s="5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126"/>
      <c r="I194" s="127"/>
      <c r="J194" s="47"/>
      <c r="K194" s="5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126"/>
      <c r="I195" s="127"/>
      <c r="J195" s="47"/>
      <c r="K195" s="5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126"/>
      <c r="I196" s="127"/>
      <c r="J196" s="47"/>
      <c r="K196" s="5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126"/>
      <c r="I197" s="127"/>
      <c r="J197" s="47"/>
      <c r="K197" s="5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126"/>
      <c r="I198" s="127"/>
      <c r="J198" s="47"/>
      <c r="K198" s="5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126"/>
      <c r="I199" s="127"/>
      <c r="J199" s="47"/>
      <c r="K199" s="5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126"/>
      <c r="I200" s="127"/>
      <c r="J200" s="47"/>
      <c r="K200" s="5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126"/>
      <c r="I201" s="127"/>
      <c r="J201" s="47"/>
      <c r="K201" s="5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126"/>
      <c r="I202" s="127"/>
      <c r="J202" s="47"/>
      <c r="K202" s="5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126"/>
      <c r="I203" s="127"/>
      <c r="J203" s="47"/>
      <c r="K203" s="5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126"/>
      <c r="I204" s="127"/>
      <c r="J204" s="47"/>
      <c r="K204" s="5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126"/>
      <c r="I205" s="127"/>
      <c r="J205" s="47"/>
      <c r="K205" s="5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126"/>
      <c r="I206" s="127"/>
      <c r="J206" s="47"/>
      <c r="K206" s="5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126"/>
      <c r="I207" s="127"/>
      <c r="J207" s="47"/>
      <c r="K207" s="5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126"/>
      <c r="I208" s="127"/>
      <c r="J208" s="47"/>
      <c r="K208" s="5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126"/>
      <c r="I209" s="127"/>
      <c r="J209" s="47"/>
      <c r="K209" s="5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126"/>
      <c r="I210" s="127"/>
      <c r="J210" s="47"/>
      <c r="K210" s="5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126"/>
      <c r="I211" s="127"/>
      <c r="J211" s="47"/>
      <c r="K211" s="5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126"/>
      <c r="I212" s="127"/>
      <c r="J212" s="47"/>
      <c r="K212" s="5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126"/>
      <c r="I213" s="127"/>
      <c r="J213" s="47"/>
      <c r="K213" s="5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126"/>
      <c r="I214" s="127"/>
      <c r="J214" s="47"/>
      <c r="K214" s="5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126"/>
      <c r="I215" s="127"/>
      <c r="J215" s="47"/>
      <c r="K215" s="5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126"/>
      <c r="I216" s="127"/>
      <c r="J216" s="47"/>
      <c r="K216" s="5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126"/>
      <c r="I217" s="127"/>
      <c r="J217" s="47"/>
      <c r="K217" s="5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126"/>
      <c r="I218" s="127"/>
      <c r="J218" s="47"/>
      <c r="K218" s="5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126"/>
      <c r="I219" s="127"/>
      <c r="J219" s="47"/>
      <c r="K219" s="5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126"/>
      <c r="I220" s="127"/>
      <c r="J220" s="47"/>
      <c r="K220" s="5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126"/>
      <c r="I221" s="127"/>
      <c r="J221" s="47"/>
      <c r="K221" s="5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126"/>
      <c r="I222" s="127"/>
      <c r="J222" s="47"/>
      <c r="K222" s="5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126"/>
      <c r="I223" s="127"/>
      <c r="J223" s="47"/>
      <c r="K223" s="5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126"/>
      <c r="I224" s="127"/>
      <c r="J224" s="47"/>
      <c r="K224" s="5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126"/>
      <c r="I225" s="127"/>
      <c r="J225" s="47"/>
      <c r="K225" s="5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126"/>
      <c r="I226" s="127"/>
      <c r="J226" s="47"/>
      <c r="K226" s="5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126"/>
      <c r="I227" s="127"/>
      <c r="J227" s="47"/>
      <c r="K227" s="5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126"/>
      <c r="I228" s="127"/>
      <c r="J228" s="47"/>
      <c r="K228" s="5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126"/>
      <c r="I229" s="127"/>
      <c r="J229" s="47"/>
      <c r="K229" s="5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126"/>
      <c r="I230" s="127"/>
      <c r="J230" s="47"/>
      <c r="K230" s="5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126"/>
      <c r="I231" s="127"/>
      <c r="J231" s="47"/>
      <c r="K231" s="5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126"/>
      <c r="I232" s="127"/>
      <c r="J232" s="47"/>
      <c r="K232" s="5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126"/>
      <c r="I233" s="127"/>
      <c r="J233" s="47"/>
      <c r="K233" s="5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126"/>
      <c r="I234" s="127"/>
      <c r="J234" s="47"/>
      <c r="K234" s="5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126"/>
      <c r="I235" s="127"/>
      <c r="J235" s="47"/>
      <c r="K235" s="5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126"/>
      <c r="I236" s="127"/>
      <c r="J236" s="47"/>
      <c r="K236" s="5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126"/>
      <c r="I237" s="127"/>
      <c r="J237" s="47"/>
      <c r="K237" s="5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126"/>
      <c r="I238" s="127"/>
      <c r="J238" s="47"/>
      <c r="K238" s="5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126"/>
      <c r="I239" s="127"/>
      <c r="J239" s="47"/>
      <c r="K239" s="5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126"/>
      <c r="I240" s="127"/>
      <c r="J240" s="47"/>
      <c r="K240" s="5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126"/>
      <c r="I241" s="127"/>
      <c r="J241" s="47"/>
      <c r="K241" s="5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126"/>
      <c r="I242" s="127"/>
      <c r="J242" s="47"/>
      <c r="K242" s="5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126"/>
      <c r="I243" s="127"/>
      <c r="J243" s="47"/>
      <c r="K243" s="5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126"/>
      <c r="I244" s="127"/>
      <c r="J244" s="47"/>
      <c r="K244" s="5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126"/>
      <c r="I245" s="127"/>
      <c r="J245" s="47"/>
      <c r="K245" s="5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126"/>
      <c r="I246" s="127"/>
      <c r="J246" s="47"/>
      <c r="K246" s="5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126"/>
      <c r="I247" s="127"/>
      <c r="J247" s="47"/>
      <c r="K247" s="5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126"/>
      <c r="I248" s="127"/>
      <c r="J248" s="47"/>
      <c r="K248" s="5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126"/>
      <c r="I249" s="127"/>
      <c r="J249" s="47"/>
      <c r="K249" s="5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126"/>
      <c r="I250" s="127"/>
      <c r="J250" s="47"/>
      <c r="K250" s="5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126"/>
      <c r="I251" s="127"/>
      <c r="J251" s="47"/>
      <c r="K251" s="5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126"/>
      <c r="I252" s="127"/>
      <c r="J252" s="47"/>
      <c r="K252" s="5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126"/>
      <c r="I253" s="127"/>
      <c r="J253" s="47"/>
      <c r="K253" s="5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126"/>
      <c r="I254" s="127"/>
      <c r="J254" s="47"/>
      <c r="K254" s="5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126"/>
      <c r="I255" s="127"/>
      <c r="J255" s="47"/>
      <c r="K255" s="5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126"/>
      <c r="I256" s="127"/>
      <c r="J256" s="47"/>
      <c r="K256" s="5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126"/>
      <c r="I257" s="127"/>
      <c r="J257" s="47"/>
      <c r="K257" s="5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126"/>
      <c r="I258" s="127"/>
      <c r="J258" s="47"/>
      <c r="K258" s="5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126"/>
      <c r="I259" s="127"/>
      <c r="J259" s="47"/>
      <c r="K259" s="5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126"/>
      <c r="I260" s="127"/>
      <c r="J260" s="47"/>
      <c r="K260" s="5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126"/>
      <c r="I261" s="127"/>
      <c r="J261" s="47"/>
      <c r="K261" s="5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126"/>
      <c r="I262" s="127"/>
      <c r="J262" s="47"/>
      <c r="K262" s="5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126"/>
      <c r="I263" s="127"/>
      <c r="J263" s="47"/>
      <c r="K263" s="5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126"/>
      <c r="I264" s="127"/>
      <c r="J264" s="47"/>
      <c r="K264" s="5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126"/>
      <c r="I265" s="127"/>
      <c r="J265" s="47"/>
      <c r="K265" s="5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126"/>
      <c r="I266" s="127"/>
      <c r="J266" s="47"/>
      <c r="K266" s="5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126"/>
      <c r="I267" s="127"/>
      <c r="J267" s="47"/>
      <c r="K267" s="5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126"/>
      <c r="I268" s="127"/>
      <c r="J268" s="47"/>
      <c r="K268" s="5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126"/>
      <c r="I269" s="127"/>
      <c r="J269" s="47"/>
      <c r="K269" s="5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126"/>
      <c r="I270" s="127"/>
      <c r="J270" s="47"/>
      <c r="K270" s="5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126"/>
      <c r="I271" s="127"/>
      <c r="J271" s="47"/>
      <c r="K271" s="5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126"/>
      <c r="I272" s="127"/>
      <c r="J272" s="47"/>
      <c r="K272" s="5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126"/>
      <c r="I273" s="127"/>
      <c r="J273" s="47"/>
      <c r="K273" s="5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126"/>
      <c r="I274" s="127"/>
      <c r="J274" s="47"/>
      <c r="K274" s="5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126"/>
      <c r="I275" s="127"/>
      <c r="J275" s="47"/>
      <c r="K275" s="5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126"/>
      <c r="I276" s="127"/>
      <c r="J276" s="47"/>
      <c r="K276" s="5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126"/>
      <c r="I277" s="127"/>
      <c r="J277" s="47"/>
      <c r="K277" s="5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126"/>
      <c r="I278" s="127"/>
      <c r="J278" s="47"/>
      <c r="K278" s="5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126"/>
      <c r="I279" s="127"/>
      <c r="J279" s="47"/>
      <c r="K279" s="5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126"/>
      <c r="I280" s="127"/>
      <c r="J280" s="47"/>
      <c r="K280" s="5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126"/>
      <c r="I281" s="127"/>
      <c r="J281" s="47"/>
      <c r="K281" s="5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126"/>
      <c r="I282" s="127"/>
      <c r="J282" s="47"/>
      <c r="K282" s="5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126"/>
      <c r="I283" s="127"/>
      <c r="J283" s="47"/>
      <c r="K283" s="5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126"/>
      <c r="I284" s="127"/>
      <c r="J284" s="47"/>
      <c r="K284" s="5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126"/>
      <c r="I285" s="127"/>
      <c r="J285" s="47"/>
      <c r="K285" s="5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126"/>
      <c r="I286" s="127"/>
      <c r="J286" s="47"/>
      <c r="K286" s="5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126"/>
      <c r="I287" s="127"/>
      <c r="J287" s="47"/>
      <c r="K287" s="5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126"/>
      <c r="I288" s="127"/>
      <c r="J288" s="47"/>
      <c r="K288" s="5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126"/>
      <c r="I289" s="127"/>
      <c r="J289" s="47"/>
      <c r="K289" s="5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126"/>
      <c r="I290" s="127"/>
      <c r="J290" s="47"/>
      <c r="K290" s="5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126"/>
      <c r="I291" s="127"/>
      <c r="J291" s="47"/>
      <c r="K291" s="5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126"/>
      <c r="I292" s="127"/>
      <c r="J292" s="47"/>
      <c r="K292" s="5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126"/>
      <c r="I293" s="127"/>
      <c r="J293" s="47"/>
      <c r="K293" s="5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126"/>
      <c r="I294" s="127"/>
      <c r="J294" s="47"/>
      <c r="K294" s="5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126"/>
      <c r="I295" s="127"/>
      <c r="J295" s="47"/>
      <c r="K295" s="5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126"/>
      <c r="I296" s="127"/>
      <c r="J296" s="47"/>
      <c r="K296" s="5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126"/>
      <c r="I297" s="127"/>
      <c r="J297" s="47"/>
      <c r="K297" s="5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126"/>
      <c r="I298" s="127"/>
      <c r="J298" s="47"/>
      <c r="K298" s="5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126"/>
      <c r="I299" s="127"/>
      <c r="J299" s="47"/>
      <c r="K299" s="5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126"/>
      <c r="I300" s="127"/>
      <c r="J300" s="47"/>
      <c r="K300" s="5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126"/>
      <c r="I301" s="127"/>
      <c r="J301" s="47"/>
      <c r="K301" s="5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126"/>
      <c r="I302" s="127"/>
      <c r="J302" s="47"/>
      <c r="K302" s="5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126"/>
      <c r="I303" s="127"/>
      <c r="J303" s="47"/>
      <c r="K303" s="5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126"/>
      <c r="I304" s="127"/>
      <c r="J304" s="47"/>
      <c r="K304" s="5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126"/>
      <c r="I305" s="127"/>
      <c r="J305" s="47"/>
      <c r="K305" s="5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126"/>
      <c r="I306" s="127"/>
      <c r="J306" s="47"/>
      <c r="K306" s="5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126"/>
      <c r="I307" s="127"/>
      <c r="J307" s="47"/>
      <c r="K307" s="5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126"/>
      <c r="I308" s="127"/>
      <c r="J308" s="47"/>
      <c r="K308" s="5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126"/>
      <c r="I309" s="127"/>
      <c r="J309" s="47"/>
      <c r="K309" s="5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126"/>
      <c r="I310" s="127"/>
      <c r="J310" s="47"/>
      <c r="K310" s="5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47"/>
      <c r="D311" s="47"/>
      <c r="E311" s="47"/>
      <c r="F311" s="47"/>
      <c r="G311" s="47"/>
      <c r="H311" s="126"/>
      <c r="I311" s="127"/>
      <c r="J311" s="47"/>
      <c r="K311" s="5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47"/>
      <c r="D312" s="47"/>
      <c r="E312" s="47"/>
      <c r="F312" s="47"/>
      <c r="G312" s="47"/>
      <c r="H312" s="126"/>
      <c r="I312" s="127"/>
      <c r="J312" s="47"/>
      <c r="K312" s="5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47"/>
      <c r="D313" s="47"/>
      <c r="E313" s="47"/>
      <c r="F313" s="47"/>
      <c r="G313" s="47"/>
      <c r="H313" s="126"/>
      <c r="I313" s="127"/>
      <c r="J313" s="47"/>
      <c r="K313" s="5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47"/>
      <c r="D314" s="47"/>
      <c r="E314" s="47"/>
      <c r="F314" s="47"/>
      <c r="G314" s="47"/>
      <c r="H314" s="126"/>
      <c r="I314" s="127"/>
      <c r="J314" s="47"/>
      <c r="K314" s="5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47"/>
      <c r="D315" s="47"/>
      <c r="E315" s="47"/>
      <c r="F315" s="47"/>
      <c r="G315" s="47"/>
      <c r="H315" s="126"/>
      <c r="I315" s="127"/>
      <c r="J315" s="47"/>
      <c r="K315" s="5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47"/>
      <c r="D316" s="47"/>
      <c r="E316" s="47"/>
      <c r="F316" s="47"/>
      <c r="G316" s="47"/>
      <c r="H316" s="126"/>
      <c r="I316" s="127"/>
      <c r="J316" s="47"/>
      <c r="K316" s="5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47"/>
      <c r="D317" s="47"/>
      <c r="E317" s="47"/>
      <c r="F317" s="47"/>
      <c r="G317" s="47"/>
      <c r="H317" s="126"/>
      <c r="I317" s="127"/>
      <c r="J317" s="47"/>
      <c r="K317" s="5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47"/>
      <c r="D318" s="47"/>
      <c r="E318" s="47"/>
      <c r="F318" s="47"/>
      <c r="G318" s="47"/>
      <c r="H318" s="126"/>
      <c r="I318" s="127"/>
      <c r="J318" s="47"/>
      <c r="K318" s="5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47"/>
      <c r="D319" s="47"/>
      <c r="E319" s="47"/>
      <c r="F319" s="47"/>
      <c r="G319" s="47"/>
      <c r="H319" s="126"/>
      <c r="I319" s="127"/>
      <c r="J319" s="47"/>
      <c r="K319" s="5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47"/>
      <c r="D320" s="47"/>
      <c r="E320" s="47"/>
      <c r="F320" s="47"/>
      <c r="G320" s="47"/>
      <c r="H320" s="126"/>
      <c r="I320" s="127"/>
      <c r="J320" s="47"/>
      <c r="K320" s="5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47"/>
      <c r="D321" s="47"/>
      <c r="E321" s="47"/>
      <c r="F321" s="47"/>
      <c r="G321" s="47"/>
      <c r="H321" s="126"/>
      <c r="I321" s="127"/>
      <c r="J321" s="47"/>
      <c r="K321" s="5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47"/>
      <c r="D322" s="47"/>
      <c r="E322" s="47"/>
      <c r="F322" s="47"/>
      <c r="G322" s="47"/>
      <c r="H322" s="126"/>
      <c r="I322" s="127"/>
      <c r="J322" s="47"/>
      <c r="K322" s="5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47"/>
      <c r="D323" s="47"/>
      <c r="E323" s="47"/>
      <c r="F323" s="47"/>
      <c r="G323" s="47"/>
      <c r="H323" s="126"/>
      <c r="I323" s="127"/>
      <c r="J323" s="47"/>
      <c r="K323" s="5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47"/>
      <c r="D324" s="47"/>
      <c r="E324" s="47"/>
      <c r="F324" s="47"/>
      <c r="G324" s="47"/>
      <c r="H324" s="126"/>
      <c r="I324" s="127"/>
      <c r="J324" s="47"/>
      <c r="K324" s="5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47"/>
      <c r="D325" s="47"/>
      <c r="E325" s="47"/>
      <c r="F325" s="47"/>
      <c r="G325" s="47"/>
      <c r="H325" s="126"/>
      <c r="I325" s="127"/>
      <c r="J325" s="47"/>
      <c r="K325" s="5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47"/>
      <c r="D326" s="47"/>
      <c r="E326" s="47"/>
      <c r="F326" s="47"/>
      <c r="G326" s="47"/>
      <c r="H326" s="126"/>
      <c r="I326" s="127"/>
      <c r="J326" s="47"/>
      <c r="K326" s="5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47"/>
      <c r="D327" s="47"/>
      <c r="E327" s="47"/>
      <c r="F327" s="47"/>
      <c r="G327" s="47"/>
      <c r="H327" s="126"/>
      <c r="I327" s="127"/>
      <c r="J327" s="47"/>
      <c r="K327" s="5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47"/>
      <c r="D328" s="47"/>
      <c r="E328" s="47"/>
      <c r="F328" s="47"/>
      <c r="G328" s="47"/>
      <c r="H328" s="126"/>
      <c r="I328" s="127"/>
      <c r="J328" s="47"/>
      <c r="K328" s="5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47"/>
      <c r="D329" s="47"/>
      <c r="E329" s="47"/>
      <c r="F329" s="47"/>
      <c r="G329" s="47"/>
      <c r="H329" s="126"/>
      <c r="I329" s="127"/>
      <c r="J329" s="47"/>
      <c r="K329" s="5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47"/>
      <c r="D330" s="47"/>
      <c r="E330" s="47"/>
      <c r="F330" s="47"/>
      <c r="G330" s="47"/>
      <c r="H330" s="126"/>
      <c r="I330" s="127"/>
      <c r="J330" s="47"/>
      <c r="K330" s="5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47"/>
      <c r="D331" s="47"/>
      <c r="E331" s="47"/>
      <c r="F331" s="47"/>
      <c r="G331" s="47"/>
      <c r="H331" s="126"/>
      <c r="I331" s="127"/>
      <c r="J331" s="47"/>
      <c r="K331" s="5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47"/>
      <c r="D332" s="47"/>
      <c r="E332" s="47"/>
      <c r="F332" s="47"/>
      <c r="G332" s="47"/>
      <c r="H332" s="126"/>
      <c r="I332" s="127"/>
      <c r="J332" s="47"/>
      <c r="K332" s="5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47"/>
      <c r="D333" s="47"/>
      <c r="E333" s="47"/>
      <c r="F333" s="47"/>
      <c r="G333" s="47"/>
      <c r="H333" s="126"/>
      <c r="I333" s="127"/>
      <c r="J333" s="47"/>
      <c r="K333" s="5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47"/>
      <c r="D334" s="47"/>
      <c r="E334" s="47"/>
      <c r="F334" s="47"/>
      <c r="G334" s="47"/>
      <c r="H334" s="126"/>
      <c r="I334" s="127"/>
      <c r="J334" s="47"/>
      <c r="K334" s="5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47"/>
      <c r="D335" s="47"/>
      <c r="E335" s="47"/>
      <c r="F335" s="47"/>
      <c r="G335" s="47"/>
      <c r="H335" s="126"/>
      <c r="I335" s="127"/>
      <c r="J335" s="47"/>
      <c r="K335" s="5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47"/>
      <c r="D336" s="47"/>
      <c r="E336" s="47"/>
      <c r="F336" s="47"/>
      <c r="G336" s="47"/>
      <c r="H336" s="126"/>
      <c r="I336" s="127"/>
      <c r="J336" s="47"/>
      <c r="K336" s="5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47"/>
      <c r="D337" s="47"/>
      <c r="E337" s="47"/>
      <c r="F337" s="47"/>
      <c r="G337" s="47"/>
      <c r="H337" s="126"/>
      <c r="I337" s="127"/>
      <c r="J337" s="47"/>
      <c r="K337" s="5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47"/>
      <c r="D338" s="47"/>
      <c r="E338" s="47"/>
      <c r="F338" s="47"/>
      <c r="G338" s="47"/>
      <c r="H338" s="126"/>
      <c r="I338" s="127"/>
      <c r="J338" s="47"/>
      <c r="K338" s="5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47"/>
      <c r="D339" s="47"/>
      <c r="E339" s="47"/>
      <c r="F339" s="47"/>
      <c r="G339" s="47"/>
      <c r="H339" s="126"/>
      <c r="I339" s="127"/>
      <c r="J339" s="47"/>
      <c r="K339" s="5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47"/>
      <c r="D340" s="47"/>
      <c r="E340" s="47"/>
      <c r="F340" s="47"/>
      <c r="G340" s="47"/>
      <c r="H340" s="126"/>
      <c r="I340" s="127"/>
      <c r="J340" s="47"/>
      <c r="K340" s="5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47"/>
      <c r="D341" s="47"/>
      <c r="E341" s="47"/>
      <c r="F341" s="47"/>
      <c r="G341" s="47"/>
      <c r="H341" s="126"/>
      <c r="I341" s="127"/>
      <c r="J341" s="47"/>
      <c r="K341" s="5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47"/>
      <c r="D342" s="47"/>
      <c r="E342" s="47"/>
      <c r="F342" s="47"/>
      <c r="G342" s="47"/>
      <c r="H342" s="126"/>
      <c r="I342" s="127"/>
      <c r="J342" s="47"/>
      <c r="K342" s="5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47"/>
      <c r="D343" s="47"/>
      <c r="E343" s="47"/>
      <c r="F343" s="47"/>
      <c r="G343" s="47"/>
      <c r="H343" s="126"/>
      <c r="I343" s="127"/>
      <c r="J343" s="47"/>
      <c r="K343" s="5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47"/>
      <c r="D344" s="47"/>
      <c r="E344" s="47"/>
      <c r="F344" s="47"/>
      <c r="G344" s="47"/>
      <c r="H344" s="126"/>
      <c r="I344" s="127"/>
      <c r="J344" s="47"/>
      <c r="K344" s="5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47"/>
      <c r="D345" s="47"/>
      <c r="E345" s="47"/>
      <c r="F345" s="47"/>
      <c r="G345" s="47"/>
      <c r="H345" s="126"/>
      <c r="I345" s="127"/>
      <c r="J345" s="47"/>
      <c r="K345" s="5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47"/>
      <c r="D346" s="47"/>
      <c r="E346" s="47"/>
      <c r="F346" s="47"/>
      <c r="G346" s="47"/>
      <c r="H346" s="126"/>
      <c r="I346" s="127"/>
      <c r="J346" s="47"/>
      <c r="K346" s="5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47"/>
      <c r="D347" s="47"/>
      <c r="E347" s="47"/>
      <c r="F347" s="47"/>
      <c r="G347" s="47"/>
      <c r="H347" s="126"/>
      <c r="I347" s="127"/>
      <c r="J347" s="47"/>
      <c r="K347" s="5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47"/>
      <c r="D348" s="47"/>
      <c r="E348" s="47"/>
      <c r="F348" s="47"/>
      <c r="G348" s="47"/>
      <c r="H348" s="126"/>
      <c r="I348" s="127"/>
      <c r="J348" s="47"/>
      <c r="K348" s="5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47"/>
      <c r="D349" s="47"/>
      <c r="E349" s="47"/>
      <c r="F349" s="47"/>
      <c r="G349" s="47"/>
      <c r="H349" s="126"/>
      <c r="I349" s="127"/>
      <c r="J349" s="47"/>
      <c r="K349" s="5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47"/>
      <c r="D350" s="47"/>
      <c r="E350" s="47"/>
      <c r="F350" s="47"/>
      <c r="G350" s="47"/>
      <c r="H350" s="126"/>
      <c r="I350" s="127"/>
      <c r="J350" s="47"/>
      <c r="K350" s="5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47"/>
      <c r="D351" s="47"/>
      <c r="E351" s="47"/>
      <c r="F351" s="47"/>
      <c r="G351" s="47"/>
      <c r="H351" s="126"/>
      <c r="I351" s="127"/>
      <c r="J351" s="47"/>
      <c r="K351" s="5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47"/>
      <c r="D352" s="47"/>
      <c r="E352" s="47"/>
      <c r="F352" s="47"/>
      <c r="G352" s="47"/>
      <c r="H352" s="126"/>
      <c r="I352" s="127"/>
      <c r="J352" s="47"/>
      <c r="K352" s="5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47"/>
      <c r="D353" s="47"/>
      <c r="E353" s="47"/>
      <c r="F353" s="47"/>
      <c r="G353" s="47"/>
      <c r="H353" s="126"/>
      <c r="I353" s="127"/>
      <c r="J353" s="47"/>
      <c r="K353" s="5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47"/>
      <c r="D354" s="47"/>
      <c r="E354" s="47"/>
      <c r="F354" s="47"/>
      <c r="G354" s="47"/>
      <c r="H354" s="126"/>
      <c r="I354" s="127"/>
      <c r="J354" s="47"/>
      <c r="K354" s="5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47"/>
      <c r="D355" s="47"/>
      <c r="E355" s="47"/>
      <c r="F355" s="47"/>
      <c r="G355" s="47"/>
      <c r="H355" s="126"/>
      <c r="I355" s="127"/>
      <c r="J355" s="47"/>
      <c r="K355" s="5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47"/>
      <c r="D356" s="47"/>
      <c r="E356" s="47"/>
      <c r="F356" s="47"/>
      <c r="G356" s="47"/>
      <c r="H356" s="126"/>
      <c r="I356" s="127"/>
      <c r="J356" s="47"/>
      <c r="K356" s="5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47"/>
      <c r="D357" s="47"/>
      <c r="E357" s="47"/>
      <c r="F357" s="47"/>
      <c r="G357" s="47"/>
      <c r="H357" s="126"/>
      <c r="I357" s="127"/>
      <c r="J357" s="47"/>
      <c r="K357" s="5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47"/>
      <c r="D358" s="47"/>
      <c r="E358" s="47"/>
      <c r="F358" s="47"/>
      <c r="G358" s="47"/>
      <c r="H358" s="126"/>
      <c r="I358" s="127"/>
      <c r="J358" s="47"/>
      <c r="K358" s="5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47"/>
      <c r="D359" s="47"/>
      <c r="E359" s="47"/>
      <c r="F359" s="47"/>
      <c r="G359" s="47"/>
      <c r="H359" s="126"/>
      <c r="I359" s="127"/>
      <c r="J359" s="47"/>
      <c r="K359" s="5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47"/>
      <c r="D360" s="47"/>
      <c r="E360" s="47"/>
      <c r="F360" s="47"/>
      <c r="G360" s="47"/>
      <c r="H360" s="126"/>
      <c r="I360" s="127"/>
      <c r="J360" s="47"/>
      <c r="K360" s="5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47"/>
      <c r="D361" s="47"/>
      <c r="E361" s="47"/>
      <c r="F361" s="47"/>
      <c r="G361" s="47"/>
      <c r="H361" s="126"/>
      <c r="I361" s="127"/>
      <c r="J361" s="47"/>
      <c r="K361" s="5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47"/>
      <c r="D362" s="47"/>
      <c r="E362" s="47"/>
      <c r="F362" s="47"/>
      <c r="G362" s="47"/>
      <c r="H362" s="126"/>
      <c r="I362" s="127"/>
      <c r="J362" s="47"/>
      <c r="K362" s="5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47"/>
      <c r="D363" s="47"/>
      <c r="E363" s="47"/>
      <c r="F363" s="47"/>
      <c r="G363" s="47"/>
      <c r="H363" s="126"/>
      <c r="I363" s="127"/>
      <c r="J363" s="47"/>
      <c r="K363" s="5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47"/>
      <c r="D364" s="47"/>
      <c r="E364" s="47"/>
      <c r="F364" s="47"/>
      <c r="G364" s="47"/>
      <c r="H364" s="126"/>
      <c r="I364" s="127"/>
      <c r="J364" s="47"/>
      <c r="K364" s="5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47"/>
      <c r="D365" s="47"/>
      <c r="E365" s="47"/>
      <c r="F365" s="47"/>
      <c r="G365" s="47"/>
      <c r="H365" s="126"/>
      <c r="I365" s="127"/>
      <c r="J365" s="47"/>
      <c r="K365" s="5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47"/>
      <c r="D366" s="47"/>
      <c r="E366" s="47"/>
      <c r="F366" s="47"/>
      <c r="G366" s="47"/>
      <c r="H366" s="126"/>
      <c r="I366" s="127"/>
      <c r="J366" s="47"/>
      <c r="K366" s="5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47"/>
      <c r="D367" s="47"/>
      <c r="E367" s="47"/>
      <c r="F367" s="47"/>
      <c r="G367" s="47"/>
      <c r="H367" s="126"/>
      <c r="I367" s="127"/>
      <c r="J367" s="47"/>
      <c r="K367" s="5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47"/>
      <c r="D368" s="47"/>
      <c r="E368" s="47"/>
      <c r="F368" s="47"/>
      <c r="G368" s="47"/>
      <c r="H368" s="126"/>
      <c r="I368" s="127"/>
      <c r="J368" s="47"/>
      <c r="K368" s="5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47"/>
      <c r="D369" s="47"/>
      <c r="E369" s="47"/>
      <c r="F369" s="47"/>
      <c r="G369" s="47"/>
      <c r="H369" s="126"/>
      <c r="I369" s="127"/>
      <c r="J369" s="47"/>
      <c r="K369" s="5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47"/>
      <c r="D370" s="47"/>
      <c r="E370" s="47"/>
      <c r="F370" s="47"/>
      <c r="G370" s="47"/>
      <c r="H370" s="126"/>
      <c r="I370" s="127"/>
      <c r="J370" s="47"/>
      <c r="K370" s="5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47"/>
      <c r="D371" s="47"/>
      <c r="E371" s="47"/>
      <c r="F371" s="47"/>
      <c r="G371" s="47"/>
      <c r="H371" s="126"/>
      <c r="I371" s="127"/>
      <c r="J371" s="47"/>
      <c r="K371" s="5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47"/>
      <c r="D372" s="47"/>
      <c r="E372" s="47"/>
      <c r="F372" s="47"/>
      <c r="G372" s="47"/>
      <c r="H372" s="126"/>
      <c r="I372" s="127"/>
      <c r="J372" s="47"/>
      <c r="K372" s="5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47"/>
      <c r="D373" s="47"/>
      <c r="E373" s="47"/>
      <c r="F373" s="47"/>
      <c r="G373" s="47"/>
      <c r="H373" s="126"/>
      <c r="I373" s="127"/>
      <c r="J373" s="47"/>
      <c r="K373" s="5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47"/>
      <c r="D374" s="47"/>
      <c r="E374" s="47"/>
      <c r="F374" s="47"/>
      <c r="G374" s="47"/>
      <c r="H374" s="126"/>
      <c r="I374" s="127"/>
      <c r="J374" s="47"/>
      <c r="K374" s="5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47"/>
      <c r="D375" s="47"/>
      <c r="E375" s="47"/>
      <c r="F375" s="47"/>
      <c r="G375" s="47"/>
      <c r="H375" s="126"/>
      <c r="I375" s="127"/>
      <c r="J375" s="47"/>
      <c r="K375" s="5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47"/>
      <c r="D376" s="47"/>
      <c r="E376" s="47"/>
      <c r="F376" s="47"/>
      <c r="G376" s="47"/>
      <c r="H376" s="126"/>
      <c r="I376" s="127"/>
      <c r="J376" s="47"/>
      <c r="K376" s="5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47"/>
      <c r="D377" s="47"/>
      <c r="E377" s="47"/>
      <c r="F377" s="47"/>
      <c r="G377" s="47"/>
      <c r="H377" s="126"/>
      <c r="I377" s="127"/>
      <c r="J377" s="47"/>
      <c r="K377" s="5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47"/>
      <c r="D378" s="47"/>
      <c r="E378" s="47"/>
      <c r="F378" s="47"/>
      <c r="G378" s="47"/>
      <c r="H378" s="126"/>
      <c r="I378" s="127"/>
      <c r="J378" s="47"/>
      <c r="K378" s="5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47"/>
      <c r="D379" s="47"/>
      <c r="E379" s="47"/>
      <c r="F379" s="47"/>
      <c r="G379" s="47"/>
      <c r="H379" s="126"/>
      <c r="I379" s="127"/>
      <c r="J379" s="47"/>
      <c r="K379" s="5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47"/>
      <c r="D380" s="47"/>
      <c r="E380" s="47"/>
      <c r="F380" s="47"/>
      <c r="G380" s="47"/>
      <c r="H380" s="126"/>
      <c r="I380" s="127"/>
      <c r="J380" s="47"/>
      <c r="K380" s="5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47"/>
      <c r="D381" s="47"/>
      <c r="E381" s="47"/>
      <c r="F381" s="47"/>
      <c r="G381" s="47"/>
      <c r="H381" s="126"/>
      <c r="I381" s="127"/>
      <c r="J381" s="47"/>
      <c r="K381" s="5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47"/>
      <c r="D382" s="47"/>
      <c r="E382" s="47"/>
      <c r="F382" s="47"/>
      <c r="G382" s="47"/>
      <c r="H382" s="126"/>
      <c r="I382" s="127"/>
      <c r="J382" s="47"/>
      <c r="K382" s="5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47"/>
      <c r="D383" s="47"/>
      <c r="E383" s="47"/>
      <c r="F383" s="47"/>
      <c r="G383" s="47"/>
      <c r="H383" s="126"/>
      <c r="I383" s="127"/>
      <c r="J383" s="47"/>
      <c r="K383" s="5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47"/>
      <c r="D384" s="47"/>
      <c r="E384" s="47"/>
      <c r="F384" s="47"/>
      <c r="G384" s="47"/>
      <c r="H384" s="126"/>
      <c r="I384" s="127"/>
      <c r="J384" s="47"/>
      <c r="K384" s="5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47"/>
      <c r="D385" s="47"/>
      <c r="E385" s="47"/>
      <c r="F385" s="47"/>
      <c r="G385" s="47"/>
      <c r="H385" s="126"/>
      <c r="I385" s="127"/>
      <c r="J385" s="47"/>
      <c r="K385" s="5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47"/>
      <c r="D386" s="47"/>
      <c r="E386" s="47"/>
      <c r="F386" s="47"/>
      <c r="G386" s="47"/>
      <c r="H386" s="126"/>
      <c r="I386" s="127"/>
      <c r="J386" s="47"/>
      <c r="K386" s="5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47"/>
      <c r="D387" s="47"/>
      <c r="E387" s="47"/>
      <c r="F387" s="47"/>
      <c r="G387" s="47"/>
      <c r="H387" s="126"/>
      <c r="I387" s="127"/>
      <c r="J387" s="47"/>
      <c r="K387" s="5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47"/>
      <c r="D388" s="47"/>
      <c r="E388" s="47"/>
      <c r="F388" s="47"/>
      <c r="G388" s="47"/>
      <c r="H388" s="126"/>
      <c r="I388" s="127"/>
      <c r="J388" s="47"/>
      <c r="K388" s="5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47"/>
      <c r="D389" s="47"/>
      <c r="E389" s="47"/>
      <c r="F389" s="47"/>
      <c r="G389" s="47"/>
      <c r="H389" s="126"/>
      <c r="I389" s="127"/>
      <c r="J389" s="47"/>
      <c r="K389" s="5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47"/>
      <c r="D390" s="47"/>
      <c r="E390" s="47"/>
      <c r="F390" s="47"/>
      <c r="G390" s="47"/>
      <c r="H390" s="126"/>
      <c r="I390" s="127"/>
      <c r="J390" s="47"/>
      <c r="K390" s="5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47"/>
      <c r="D391" s="47"/>
      <c r="E391" s="47"/>
      <c r="F391" s="47"/>
      <c r="G391" s="47"/>
      <c r="H391" s="126"/>
      <c r="I391" s="127"/>
      <c r="J391" s="47"/>
      <c r="K391" s="5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47"/>
      <c r="D392" s="47"/>
      <c r="E392" s="47"/>
      <c r="F392" s="47"/>
      <c r="G392" s="47"/>
      <c r="H392" s="126"/>
      <c r="I392" s="127"/>
      <c r="J392" s="47"/>
      <c r="K392" s="5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47"/>
      <c r="D393" s="47"/>
      <c r="E393" s="47"/>
      <c r="F393" s="47"/>
      <c r="G393" s="47"/>
      <c r="H393" s="126"/>
      <c r="I393" s="127"/>
      <c r="J393" s="47"/>
      <c r="K393" s="5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47"/>
      <c r="D394" s="47"/>
      <c r="E394" s="47"/>
      <c r="F394" s="47"/>
      <c r="G394" s="47"/>
      <c r="H394" s="126"/>
      <c r="I394" s="127"/>
      <c r="J394" s="47"/>
      <c r="K394" s="5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47"/>
      <c r="D395" s="47"/>
      <c r="E395" s="47"/>
      <c r="F395" s="47"/>
      <c r="G395" s="47"/>
      <c r="H395" s="126"/>
      <c r="I395" s="127"/>
      <c r="J395" s="47"/>
      <c r="K395" s="5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47"/>
      <c r="D396" s="47"/>
      <c r="E396" s="47"/>
      <c r="F396" s="47"/>
      <c r="G396" s="47"/>
      <c r="H396" s="126"/>
      <c r="I396" s="127"/>
      <c r="J396" s="47"/>
      <c r="K396" s="5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47"/>
      <c r="D397" s="47"/>
      <c r="E397" s="47"/>
      <c r="F397" s="47"/>
      <c r="G397" s="47"/>
      <c r="H397" s="126"/>
      <c r="I397" s="127"/>
      <c r="J397" s="47"/>
      <c r="K397" s="5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47"/>
      <c r="D398" s="47"/>
      <c r="E398" s="47"/>
      <c r="F398" s="47"/>
      <c r="G398" s="47"/>
      <c r="H398" s="126"/>
      <c r="I398" s="127"/>
      <c r="J398" s="47"/>
      <c r="K398" s="5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47"/>
      <c r="D399" s="47"/>
      <c r="E399" s="47"/>
      <c r="F399" s="47"/>
      <c r="G399" s="47"/>
      <c r="H399" s="126"/>
      <c r="I399" s="127"/>
      <c r="J399" s="47"/>
      <c r="K399" s="5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47"/>
      <c r="D400" s="47"/>
      <c r="E400" s="47"/>
      <c r="F400" s="47"/>
      <c r="G400" s="47"/>
      <c r="H400" s="126"/>
      <c r="I400" s="127"/>
      <c r="J400" s="47"/>
      <c r="K400" s="5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47"/>
      <c r="D401" s="47"/>
      <c r="E401" s="47"/>
      <c r="F401" s="47"/>
      <c r="G401" s="47"/>
      <c r="H401" s="126"/>
      <c r="I401" s="127"/>
      <c r="J401" s="47"/>
      <c r="K401" s="5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47"/>
      <c r="D402" s="47"/>
      <c r="E402" s="47"/>
      <c r="F402" s="47"/>
      <c r="G402" s="47"/>
      <c r="H402" s="126"/>
      <c r="I402" s="127"/>
      <c r="J402" s="47"/>
      <c r="K402" s="5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47"/>
      <c r="D403" s="47"/>
      <c r="E403" s="47"/>
      <c r="F403" s="47"/>
      <c r="G403" s="47"/>
      <c r="H403" s="126"/>
      <c r="I403" s="127"/>
      <c r="J403" s="47"/>
      <c r="K403" s="5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47"/>
      <c r="D404" s="47"/>
      <c r="E404" s="47"/>
      <c r="F404" s="47"/>
      <c r="G404" s="47"/>
      <c r="H404" s="126"/>
      <c r="I404" s="127"/>
      <c r="J404" s="47"/>
      <c r="K404" s="5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47"/>
      <c r="D405" s="47"/>
      <c r="E405" s="47"/>
      <c r="F405" s="47"/>
      <c r="G405" s="47"/>
      <c r="H405" s="126"/>
      <c r="I405" s="127"/>
      <c r="J405" s="47"/>
      <c r="K405" s="5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47"/>
      <c r="D406" s="47"/>
      <c r="E406" s="47"/>
      <c r="F406" s="47"/>
      <c r="G406" s="47"/>
      <c r="H406" s="126"/>
      <c r="I406" s="127"/>
      <c r="J406" s="47"/>
      <c r="K406" s="5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47"/>
      <c r="D407" s="47"/>
      <c r="E407" s="47"/>
      <c r="F407" s="47"/>
      <c r="G407" s="47"/>
      <c r="H407" s="126"/>
      <c r="I407" s="127"/>
      <c r="J407" s="47"/>
      <c r="K407" s="5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47"/>
      <c r="D408" s="47"/>
      <c r="E408" s="47"/>
      <c r="F408" s="47"/>
      <c r="G408" s="47"/>
      <c r="H408" s="126"/>
      <c r="I408" s="127"/>
      <c r="J408" s="47"/>
      <c r="K408" s="5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47"/>
      <c r="D409" s="47"/>
      <c r="E409" s="47"/>
      <c r="F409" s="47"/>
      <c r="G409" s="47"/>
      <c r="H409" s="126"/>
      <c r="I409" s="127"/>
      <c r="J409" s="47"/>
      <c r="K409" s="5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47"/>
      <c r="D410" s="47"/>
      <c r="E410" s="47"/>
      <c r="F410" s="47"/>
      <c r="G410" s="47"/>
      <c r="H410" s="126"/>
      <c r="I410" s="127"/>
      <c r="J410" s="47"/>
      <c r="K410" s="5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47"/>
      <c r="D411" s="47"/>
      <c r="E411" s="47"/>
      <c r="F411" s="47"/>
      <c r="G411" s="47"/>
      <c r="H411" s="126"/>
      <c r="I411" s="127"/>
      <c r="J411" s="47"/>
      <c r="K411" s="5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47"/>
      <c r="D412" s="47"/>
      <c r="E412" s="47"/>
      <c r="F412" s="47"/>
      <c r="G412" s="47"/>
      <c r="H412" s="126"/>
      <c r="I412" s="127"/>
      <c r="J412" s="47"/>
      <c r="K412" s="5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47"/>
      <c r="D413" s="47"/>
      <c r="E413" s="47"/>
      <c r="F413" s="47"/>
      <c r="G413" s="47"/>
      <c r="H413" s="126"/>
      <c r="I413" s="127"/>
      <c r="J413" s="47"/>
      <c r="K413" s="5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47"/>
      <c r="D414" s="47"/>
      <c r="E414" s="47"/>
      <c r="F414" s="47"/>
      <c r="G414" s="47"/>
      <c r="H414" s="126"/>
      <c r="I414" s="127"/>
      <c r="J414" s="47"/>
      <c r="K414" s="5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47"/>
      <c r="D415" s="47"/>
      <c r="E415" s="47"/>
      <c r="F415" s="47"/>
      <c r="G415" s="47"/>
      <c r="H415" s="126"/>
      <c r="I415" s="127"/>
      <c r="J415" s="47"/>
      <c r="K415" s="5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47"/>
      <c r="D416" s="47"/>
      <c r="E416" s="47"/>
      <c r="F416" s="47"/>
      <c r="G416" s="47"/>
      <c r="H416" s="126"/>
      <c r="I416" s="127"/>
      <c r="J416" s="47"/>
      <c r="K416" s="5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47"/>
      <c r="D417" s="47"/>
      <c r="E417" s="47"/>
      <c r="F417" s="47"/>
      <c r="G417" s="47"/>
      <c r="H417" s="126"/>
      <c r="I417" s="127"/>
      <c r="J417" s="47"/>
      <c r="K417" s="5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47"/>
      <c r="D418" s="47"/>
      <c r="E418" s="47"/>
      <c r="F418" s="47"/>
      <c r="G418" s="47"/>
      <c r="H418" s="126"/>
      <c r="I418" s="127"/>
      <c r="J418" s="47"/>
      <c r="K418" s="5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47"/>
      <c r="D419" s="47"/>
      <c r="E419" s="47"/>
      <c r="F419" s="47"/>
      <c r="G419" s="47"/>
      <c r="H419" s="126"/>
      <c r="I419" s="127"/>
      <c r="J419" s="47"/>
      <c r="K419" s="5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47"/>
      <c r="D420" s="47"/>
      <c r="E420" s="47"/>
      <c r="F420" s="47"/>
      <c r="G420" s="47"/>
      <c r="H420" s="126"/>
      <c r="I420" s="127"/>
      <c r="J420" s="47"/>
      <c r="K420" s="5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47"/>
      <c r="D421" s="47"/>
      <c r="E421" s="47"/>
      <c r="F421" s="47"/>
      <c r="G421" s="47"/>
      <c r="H421" s="126"/>
      <c r="I421" s="127"/>
      <c r="J421" s="47"/>
      <c r="K421" s="5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47"/>
      <c r="D422" s="47"/>
      <c r="E422" s="47"/>
      <c r="F422" s="47"/>
      <c r="G422" s="47"/>
      <c r="H422" s="126"/>
      <c r="I422" s="127"/>
      <c r="J422" s="47"/>
      <c r="K422" s="5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47"/>
      <c r="D423" s="47"/>
      <c r="E423" s="47"/>
      <c r="F423" s="47"/>
      <c r="G423" s="47"/>
      <c r="H423" s="126"/>
      <c r="I423" s="127"/>
      <c r="J423" s="47"/>
      <c r="K423" s="5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47"/>
      <c r="D424" s="47"/>
      <c r="E424" s="47"/>
      <c r="F424" s="47"/>
      <c r="G424" s="47"/>
      <c r="H424" s="126"/>
      <c r="I424" s="127"/>
      <c r="J424" s="47"/>
      <c r="K424" s="5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47"/>
      <c r="D425" s="47"/>
      <c r="E425" s="47"/>
      <c r="F425" s="47"/>
      <c r="G425" s="47"/>
      <c r="H425" s="126"/>
      <c r="I425" s="127"/>
      <c r="J425" s="47"/>
      <c r="K425" s="5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47"/>
      <c r="D426" s="47"/>
      <c r="E426" s="47"/>
      <c r="F426" s="47"/>
      <c r="G426" s="47"/>
      <c r="H426" s="126"/>
      <c r="I426" s="127"/>
      <c r="J426" s="47"/>
      <c r="K426" s="5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47"/>
      <c r="D427" s="47"/>
      <c r="E427" s="47"/>
      <c r="F427" s="47"/>
      <c r="G427" s="47"/>
      <c r="H427" s="126"/>
      <c r="I427" s="127"/>
      <c r="J427" s="47"/>
      <c r="K427" s="5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47"/>
      <c r="D428" s="47"/>
      <c r="E428" s="47"/>
      <c r="F428" s="47"/>
      <c r="G428" s="47"/>
      <c r="H428" s="126"/>
      <c r="I428" s="127"/>
      <c r="J428" s="47"/>
      <c r="K428" s="5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47"/>
      <c r="D429" s="47"/>
      <c r="E429" s="47"/>
      <c r="F429" s="47"/>
      <c r="G429" s="47"/>
      <c r="H429" s="126"/>
      <c r="I429" s="127"/>
      <c r="J429" s="47"/>
      <c r="K429" s="5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47"/>
      <c r="D430" s="47"/>
      <c r="E430" s="47"/>
      <c r="F430" s="47"/>
      <c r="G430" s="47"/>
      <c r="H430" s="126"/>
      <c r="I430" s="127"/>
      <c r="J430" s="47"/>
      <c r="K430" s="5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47"/>
      <c r="D431" s="47"/>
      <c r="E431" s="47"/>
      <c r="F431" s="47"/>
      <c r="G431" s="47"/>
      <c r="H431" s="126"/>
      <c r="I431" s="127"/>
      <c r="J431" s="47"/>
      <c r="K431" s="5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47"/>
      <c r="D432" s="47"/>
      <c r="E432" s="47"/>
      <c r="F432" s="47"/>
      <c r="G432" s="47"/>
      <c r="H432" s="126"/>
      <c r="I432" s="127"/>
      <c r="J432" s="47"/>
      <c r="K432" s="5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47"/>
      <c r="D433" s="47"/>
      <c r="E433" s="47"/>
      <c r="F433" s="47"/>
      <c r="G433" s="47"/>
      <c r="H433" s="126"/>
      <c r="I433" s="127"/>
      <c r="J433" s="47"/>
      <c r="K433" s="5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47"/>
      <c r="D434" s="47"/>
      <c r="E434" s="47"/>
      <c r="F434" s="47"/>
      <c r="G434" s="47"/>
      <c r="H434" s="126"/>
      <c r="I434" s="127"/>
      <c r="J434" s="47"/>
      <c r="K434" s="5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47"/>
      <c r="D435" s="47"/>
      <c r="E435" s="47"/>
      <c r="F435" s="47"/>
      <c r="G435" s="47"/>
      <c r="H435" s="126"/>
      <c r="I435" s="127"/>
      <c r="J435" s="47"/>
      <c r="K435" s="5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47"/>
      <c r="D436" s="47"/>
      <c r="E436" s="47"/>
      <c r="F436" s="47"/>
      <c r="G436" s="47"/>
      <c r="H436" s="126"/>
      <c r="I436" s="127"/>
      <c r="J436" s="47"/>
      <c r="K436" s="5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47"/>
      <c r="D437" s="47"/>
      <c r="E437" s="47"/>
      <c r="F437" s="47"/>
      <c r="G437" s="47"/>
      <c r="H437" s="126"/>
      <c r="I437" s="127"/>
      <c r="J437" s="47"/>
      <c r="K437" s="5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47"/>
      <c r="D438" s="47"/>
      <c r="E438" s="47"/>
      <c r="F438" s="47"/>
      <c r="G438" s="47"/>
      <c r="H438" s="126"/>
      <c r="I438" s="127"/>
      <c r="J438" s="47"/>
      <c r="K438" s="5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47"/>
      <c r="D439" s="47"/>
      <c r="E439" s="47"/>
      <c r="F439" s="47"/>
      <c r="G439" s="47"/>
      <c r="H439" s="126"/>
      <c r="I439" s="127"/>
      <c r="J439" s="47"/>
      <c r="K439" s="5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47"/>
      <c r="D440" s="47"/>
      <c r="E440" s="47"/>
      <c r="F440" s="47"/>
      <c r="G440" s="47"/>
      <c r="H440" s="126"/>
      <c r="I440" s="127"/>
      <c r="J440" s="47"/>
      <c r="K440" s="5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47"/>
      <c r="D441" s="47"/>
      <c r="E441" s="47"/>
      <c r="F441" s="47"/>
      <c r="G441" s="47"/>
      <c r="H441" s="126"/>
      <c r="I441" s="127"/>
      <c r="J441" s="47"/>
      <c r="K441" s="5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47"/>
      <c r="D442" s="47"/>
      <c r="E442" s="47"/>
      <c r="F442" s="47"/>
      <c r="G442" s="47"/>
      <c r="H442" s="126"/>
      <c r="I442" s="127"/>
      <c r="J442" s="47"/>
      <c r="K442" s="5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47"/>
      <c r="D443" s="47"/>
      <c r="E443" s="47"/>
      <c r="F443" s="47"/>
      <c r="G443" s="47"/>
      <c r="H443" s="126"/>
      <c r="I443" s="127"/>
      <c r="J443" s="47"/>
      <c r="K443" s="5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47"/>
      <c r="D444" s="47"/>
      <c r="E444" s="47"/>
      <c r="F444" s="47"/>
      <c r="G444" s="47"/>
      <c r="H444" s="126"/>
      <c r="I444" s="127"/>
      <c r="J444" s="47"/>
      <c r="K444" s="5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47"/>
      <c r="D445" s="47"/>
      <c r="E445" s="47"/>
      <c r="F445" s="47"/>
      <c r="G445" s="47"/>
      <c r="H445" s="126"/>
      <c r="I445" s="127"/>
      <c r="J445" s="47"/>
      <c r="K445" s="5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47"/>
      <c r="D446" s="47"/>
      <c r="E446" s="47"/>
      <c r="F446" s="47"/>
      <c r="G446" s="47"/>
      <c r="H446" s="126"/>
      <c r="I446" s="127"/>
      <c r="J446" s="47"/>
      <c r="K446" s="5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47"/>
      <c r="D447" s="47"/>
      <c r="E447" s="47"/>
      <c r="F447" s="47"/>
      <c r="G447" s="47"/>
      <c r="H447" s="126"/>
      <c r="I447" s="127"/>
      <c r="J447" s="47"/>
      <c r="K447" s="5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47"/>
      <c r="D448" s="47"/>
      <c r="E448" s="47"/>
      <c r="F448" s="47"/>
      <c r="G448" s="47"/>
      <c r="H448" s="126"/>
      <c r="I448" s="127"/>
      <c r="J448" s="47"/>
      <c r="K448" s="5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47"/>
      <c r="D449" s="47"/>
      <c r="E449" s="47"/>
      <c r="F449" s="47"/>
      <c r="G449" s="47"/>
      <c r="H449" s="126"/>
      <c r="I449" s="127"/>
      <c r="J449" s="47"/>
      <c r="K449" s="5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47"/>
      <c r="D450" s="47"/>
      <c r="E450" s="47"/>
      <c r="F450" s="47"/>
      <c r="G450" s="47"/>
      <c r="H450" s="126"/>
      <c r="I450" s="127"/>
      <c r="J450" s="47"/>
      <c r="K450" s="5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47"/>
      <c r="D451" s="47"/>
      <c r="E451" s="47"/>
      <c r="F451" s="47"/>
      <c r="G451" s="47"/>
      <c r="H451" s="126"/>
      <c r="I451" s="127"/>
      <c r="J451" s="47"/>
      <c r="K451" s="5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47"/>
      <c r="D452" s="47"/>
      <c r="E452" s="47"/>
      <c r="F452" s="47"/>
      <c r="G452" s="47"/>
      <c r="H452" s="126"/>
      <c r="I452" s="127"/>
      <c r="J452" s="47"/>
      <c r="K452" s="5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47"/>
      <c r="D453" s="47"/>
      <c r="E453" s="47"/>
      <c r="F453" s="47"/>
      <c r="G453" s="47"/>
      <c r="H453" s="126"/>
      <c r="I453" s="127"/>
      <c r="J453" s="47"/>
      <c r="K453" s="5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47"/>
      <c r="D454" s="47"/>
      <c r="E454" s="47"/>
      <c r="F454" s="47"/>
      <c r="G454" s="47"/>
      <c r="H454" s="126"/>
      <c r="I454" s="127"/>
      <c r="J454" s="47"/>
      <c r="K454" s="5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47"/>
      <c r="D455" s="47"/>
      <c r="E455" s="47"/>
      <c r="F455" s="47"/>
      <c r="G455" s="47"/>
      <c r="H455" s="126"/>
      <c r="I455" s="127"/>
      <c r="J455" s="47"/>
      <c r="K455" s="5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47"/>
      <c r="D456" s="47"/>
      <c r="E456" s="47"/>
      <c r="F456" s="47"/>
      <c r="G456" s="47"/>
      <c r="H456" s="126"/>
      <c r="I456" s="127"/>
      <c r="J456" s="47"/>
      <c r="K456" s="5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47"/>
      <c r="D457" s="47"/>
      <c r="E457" s="47"/>
      <c r="F457" s="47"/>
      <c r="G457" s="47"/>
      <c r="H457" s="126"/>
      <c r="I457" s="127"/>
      <c r="J457" s="47"/>
      <c r="K457" s="5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47"/>
      <c r="D458" s="47"/>
      <c r="E458" s="47"/>
      <c r="F458" s="47"/>
      <c r="G458" s="47"/>
      <c r="H458" s="126"/>
      <c r="I458" s="127"/>
      <c r="J458" s="47"/>
      <c r="K458" s="5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47"/>
      <c r="D459" s="47"/>
      <c r="E459" s="47"/>
      <c r="F459" s="47"/>
      <c r="G459" s="47"/>
      <c r="H459" s="126"/>
      <c r="I459" s="127"/>
      <c r="J459" s="47"/>
      <c r="K459" s="5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47"/>
      <c r="D460" s="47"/>
      <c r="E460" s="47"/>
      <c r="F460" s="47"/>
      <c r="G460" s="47"/>
      <c r="H460" s="126"/>
      <c r="I460" s="127"/>
      <c r="J460" s="47"/>
      <c r="K460" s="5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47"/>
      <c r="D461" s="47"/>
      <c r="E461" s="47"/>
      <c r="F461" s="47"/>
      <c r="G461" s="47"/>
      <c r="H461" s="126"/>
      <c r="I461" s="127"/>
      <c r="J461" s="47"/>
      <c r="K461" s="5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47"/>
      <c r="D462" s="47"/>
      <c r="E462" s="47"/>
      <c r="F462" s="47"/>
      <c r="G462" s="47"/>
      <c r="H462" s="126"/>
      <c r="I462" s="127"/>
      <c r="J462" s="47"/>
      <c r="K462" s="5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47"/>
      <c r="D463" s="47"/>
      <c r="E463" s="47"/>
      <c r="F463" s="47"/>
      <c r="G463" s="47"/>
      <c r="H463" s="126"/>
      <c r="I463" s="127"/>
      <c r="J463" s="47"/>
      <c r="K463" s="5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47"/>
      <c r="D464" s="47"/>
      <c r="E464" s="47"/>
      <c r="F464" s="47"/>
      <c r="G464" s="47"/>
      <c r="H464" s="126"/>
      <c r="I464" s="127"/>
      <c r="J464" s="47"/>
      <c r="K464" s="5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47"/>
      <c r="D465" s="47"/>
      <c r="E465" s="47"/>
      <c r="F465" s="47"/>
      <c r="G465" s="47"/>
      <c r="H465" s="126"/>
      <c r="I465" s="127"/>
      <c r="J465" s="47"/>
      <c r="K465" s="5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47"/>
      <c r="D466" s="47"/>
      <c r="E466" s="47"/>
      <c r="F466" s="47"/>
      <c r="G466" s="47"/>
      <c r="H466" s="126"/>
      <c r="I466" s="127"/>
      <c r="J466" s="47"/>
      <c r="K466" s="5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47"/>
      <c r="D467" s="47"/>
      <c r="E467" s="47"/>
      <c r="F467" s="47"/>
      <c r="G467" s="47"/>
      <c r="H467" s="126"/>
      <c r="I467" s="127"/>
      <c r="J467" s="47"/>
      <c r="K467" s="5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47"/>
      <c r="D468" s="47"/>
      <c r="E468" s="47"/>
      <c r="F468" s="47"/>
      <c r="G468" s="47"/>
      <c r="H468" s="126"/>
      <c r="I468" s="127"/>
      <c r="J468" s="47"/>
      <c r="K468" s="5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47"/>
      <c r="D469" s="47"/>
      <c r="E469" s="47"/>
      <c r="F469" s="47"/>
      <c r="G469" s="47"/>
      <c r="H469" s="126"/>
      <c r="I469" s="127"/>
      <c r="J469" s="47"/>
      <c r="K469" s="5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47"/>
      <c r="D470" s="47"/>
      <c r="E470" s="47"/>
      <c r="F470" s="47"/>
      <c r="G470" s="47"/>
      <c r="H470" s="126"/>
      <c r="I470" s="127"/>
      <c r="J470" s="47"/>
      <c r="K470" s="5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47"/>
      <c r="D471" s="47"/>
      <c r="E471" s="47"/>
      <c r="F471" s="47"/>
      <c r="G471" s="47"/>
      <c r="H471" s="126"/>
      <c r="I471" s="127"/>
      <c r="J471" s="47"/>
      <c r="K471" s="5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47"/>
      <c r="D472" s="47"/>
      <c r="E472" s="47"/>
      <c r="F472" s="47"/>
      <c r="G472" s="47"/>
      <c r="H472" s="126"/>
      <c r="I472" s="127"/>
      <c r="J472" s="47"/>
      <c r="K472" s="5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47"/>
      <c r="D473" s="47"/>
      <c r="E473" s="47"/>
      <c r="F473" s="47"/>
      <c r="G473" s="47"/>
      <c r="H473" s="126"/>
      <c r="I473" s="127"/>
      <c r="J473" s="47"/>
      <c r="K473" s="5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47"/>
      <c r="D474" s="47"/>
      <c r="E474" s="47"/>
      <c r="F474" s="47"/>
      <c r="G474" s="47"/>
      <c r="H474" s="126"/>
      <c r="I474" s="127"/>
      <c r="J474" s="47"/>
      <c r="K474" s="5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47"/>
      <c r="D475" s="47"/>
      <c r="E475" s="47"/>
      <c r="F475" s="47"/>
      <c r="G475" s="47"/>
      <c r="H475" s="126"/>
      <c r="I475" s="127"/>
      <c r="J475" s="47"/>
      <c r="K475" s="5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47"/>
      <c r="D476" s="47"/>
      <c r="E476" s="47"/>
      <c r="F476" s="47"/>
      <c r="G476" s="47"/>
      <c r="H476" s="126"/>
      <c r="I476" s="127"/>
      <c r="J476" s="47"/>
      <c r="K476" s="5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47"/>
      <c r="D477" s="47"/>
      <c r="E477" s="47"/>
      <c r="F477" s="47"/>
      <c r="G477" s="47"/>
      <c r="H477" s="126"/>
      <c r="I477" s="127"/>
      <c r="J477" s="47"/>
      <c r="K477" s="5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47"/>
      <c r="D478" s="47"/>
      <c r="E478" s="47"/>
      <c r="F478" s="47"/>
      <c r="G478" s="47"/>
      <c r="H478" s="126"/>
      <c r="I478" s="127"/>
      <c r="J478" s="47"/>
      <c r="K478" s="5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47"/>
      <c r="D479" s="47"/>
      <c r="E479" s="47"/>
      <c r="F479" s="47"/>
      <c r="G479" s="47"/>
      <c r="H479" s="126"/>
      <c r="I479" s="127"/>
      <c r="J479" s="47"/>
      <c r="K479" s="5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47"/>
      <c r="D480" s="47"/>
      <c r="E480" s="47"/>
      <c r="F480" s="47"/>
      <c r="G480" s="47"/>
      <c r="H480" s="126"/>
      <c r="I480" s="127"/>
      <c r="J480" s="47"/>
      <c r="K480" s="5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47"/>
      <c r="D481" s="47"/>
      <c r="E481" s="47"/>
      <c r="F481" s="47"/>
      <c r="G481" s="47"/>
      <c r="H481" s="126"/>
      <c r="I481" s="127"/>
      <c r="J481" s="47"/>
      <c r="K481" s="5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47"/>
      <c r="D482" s="47"/>
      <c r="E482" s="47"/>
      <c r="F482" s="47"/>
      <c r="G482" s="47"/>
      <c r="H482" s="126"/>
      <c r="I482" s="127"/>
      <c r="J482" s="47"/>
      <c r="K482" s="5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47"/>
      <c r="D483" s="47"/>
      <c r="E483" s="47"/>
      <c r="F483" s="47"/>
      <c r="G483" s="47"/>
      <c r="H483" s="126"/>
      <c r="I483" s="127"/>
      <c r="J483" s="47"/>
      <c r="K483" s="5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47"/>
      <c r="D484" s="47"/>
      <c r="E484" s="47"/>
      <c r="F484" s="47"/>
      <c r="G484" s="47"/>
      <c r="H484" s="126"/>
      <c r="I484" s="127"/>
      <c r="J484" s="47"/>
      <c r="K484" s="5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47"/>
      <c r="D485" s="47"/>
      <c r="E485" s="47"/>
      <c r="F485" s="47"/>
      <c r="G485" s="47"/>
      <c r="H485" s="126"/>
      <c r="I485" s="127"/>
      <c r="J485" s="47"/>
      <c r="K485" s="5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47"/>
      <c r="D486" s="47"/>
      <c r="E486" s="47"/>
      <c r="F486" s="47"/>
      <c r="G486" s="47"/>
      <c r="H486" s="126"/>
      <c r="I486" s="127"/>
      <c r="J486" s="47"/>
      <c r="K486" s="5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47"/>
      <c r="D487" s="47"/>
      <c r="E487" s="47"/>
      <c r="F487" s="47"/>
      <c r="G487" s="47"/>
      <c r="H487" s="126"/>
      <c r="I487" s="127"/>
      <c r="J487" s="47"/>
      <c r="K487" s="5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47"/>
      <c r="D488" s="47"/>
      <c r="E488" s="47"/>
      <c r="F488" s="47"/>
      <c r="G488" s="47"/>
      <c r="H488" s="126"/>
      <c r="I488" s="127"/>
      <c r="J488" s="47"/>
      <c r="K488" s="5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47"/>
      <c r="D489" s="47"/>
      <c r="E489" s="47"/>
      <c r="F489" s="47"/>
      <c r="G489" s="47"/>
      <c r="H489" s="126"/>
      <c r="I489" s="127"/>
      <c r="J489" s="47"/>
      <c r="K489" s="5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47"/>
      <c r="D490" s="47"/>
      <c r="E490" s="47"/>
      <c r="F490" s="47"/>
      <c r="G490" s="47"/>
      <c r="H490" s="126"/>
      <c r="I490" s="127"/>
      <c r="J490" s="47"/>
      <c r="K490" s="5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47"/>
      <c r="D491" s="47"/>
      <c r="E491" s="47"/>
      <c r="F491" s="47"/>
      <c r="G491" s="47"/>
      <c r="H491" s="126"/>
      <c r="I491" s="127"/>
      <c r="J491" s="47"/>
      <c r="K491" s="5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47"/>
      <c r="D492" s="47"/>
      <c r="E492" s="47"/>
      <c r="F492" s="47"/>
      <c r="G492" s="47"/>
      <c r="H492" s="126"/>
      <c r="I492" s="127"/>
      <c r="J492" s="47"/>
      <c r="K492" s="5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47"/>
      <c r="D493" s="47"/>
      <c r="E493" s="47"/>
      <c r="F493" s="47"/>
      <c r="G493" s="47"/>
      <c r="H493" s="126"/>
      <c r="I493" s="127"/>
      <c r="J493" s="47"/>
      <c r="K493" s="5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47"/>
      <c r="D494" s="47"/>
      <c r="E494" s="47"/>
      <c r="F494" s="47"/>
      <c r="G494" s="47"/>
      <c r="H494" s="126"/>
      <c r="I494" s="127"/>
      <c r="J494" s="47"/>
      <c r="K494" s="5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47"/>
      <c r="D495" s="47"/>
      <c r="E495" s="47"/>
      <c r="F495" s="47"/>
      <c r="G495" s="47"/>
      <c r="H495" s="126"/>
      <c r="I495" s="127"/>
      <c r="J495" s="47"/>
      <c r="K495" s="5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47"/>
      <c r="D496" s="47"/>
      <c r="E496" s="47"/>
      <c r="F496" s="47"/>
      <c r="G496" s="47"/>
      <c r="H496" s="126"/>
      <c r="I496" s="127"/>
      <c r="J496" s="47"/>
      <c r="K496" s="5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47"/>
      <c r="D497" s="47"/>
      <c r="E497" s="47"/>
      <c r="F497" s="47"/>
      <c r="G497" s="47"/>
      <c r="H497" s="126"/>
      <c r="I497" s="127"/>
      <c r="J497" s="47"/>
      <c r="K497" s="5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47"/>
      <c r="D498" s="47"/>
      <c r="E498" s="47"/>
      <c r="F498" s="47"/>
      <c r="G498" s="47"/>
      <c r="H498" s="126"/>
      <c r="I498" s="127"/>
      <c r="J498" s="47"/>
      <c r="K498" s="5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47"/>
      <c r="D499" s="47"/>
      <c r="E499" s="47"/>
      <c r="F499" s="47"/>
      <c r="G499" s="47"/>
      <c r="H499" s="126"/>
      <c r="I499" s="127"/>
      <c r="J499" s="47"/>
      <c r="K499" s="5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47"/>
      <c r="D500" s="47"/>
      <c r="E500" s="47"/>
      <c r="F500" s="47"/>
      <c r="G500" s="47"/>
      <c r="H500" s="126"/>
      <c r="I500" s="127"/>
      <c r="J500" s="47"/>
      <c r="K500" s="5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47"/>
      <c r="D501" s="47"/>
      <c r="E501" s="47"/>
      <c r="F501" s="47"/>
      <c r="G501" s="47"/>
      <c r="H501" s="126"/>
      <c r="I501" s="127"/>
      <c r="J501" s="47"/>
      <c r="K501" s="5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47"/>
      <c r="D502" s="47"/>
      <c r="E502" s="47"/>
      <c r="F502" s="47"/>
      <c r="G502" s="47"/>
      <c r="H502" s="126"/>
      <c r="I502" s="127"/>
      <c r="J502" s="47"/>
      <c r="K502" s="5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47"/>
      <c r="D503" s="47"/>
      <c r="E503" s="47"/>
      <c r="F503" s="47"/>
      <c r="G503" s="47"/>
      <c r="H503" s="126"/>
      <c r="I503" s="127"/>
      <c r="J503" s="47"/>
      <c r="K503" s="5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47"/>
      <c r="D504" s="47"/>
      <c r="E504" s="47"/>
      <c r="F504" s="47"/>
      <c r="G504" s="47"/>
      <c r="H504" s="126"/>
      <c r="I504" s="127"/>
      <c r="J504" s="47"/>
      <c r="K504" s="5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47"/>
      <c r="D505" s="47"/>
      <c r="E505" s="47"/>
      <c r="F505" s="47"/>
      <c r="G505" s="47"/>
      <c r="H505" s="126"/>
      <c r="I505" s="127"/>
      <c r="J505" s="47"/>
      <c r="K505" s="5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47"/>
      <c r="D506" s="47"/>
      <c r="E506" s="47"/>
      <c r="F506" s="47"/>
      <c r="G506" s="47"/>
      <c r="H506" s="126"/>
      <c r="I506" s="127"/>
      <c r="J506" s="47"/>
      <c r="K506" s="5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47"/>
      <c r="D507" s="47"/>
      <c r="E507" s="47"/>
      <c r="F507" s="47"/>
      <c r="G507" s="47"/>
      <c r="H507" s="126"/>
      <c r="I507" s="127"/>
      <c r="J507" s="47"/>
      <c r="K507" s="5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47"/>
      <c r="D508" s="47"/>
      <c r="E508" s="47"/>
      <c r="F508" s="47"/>
      <c r="G508" s="47"/>
      <c r="H508" s="126"/>
      <c r="I508" s="127"/>
      <c r="J508" s="47"/>
      <c r="K508" s="5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47"/>
      <c r="D509" s="47"/>
      <c r="E509" s="47"/>
      <c r="F509" s="47"/>
      <c r="G509" s="47"/>
      <c r="H509" s="126"/>
      <c r="I509" s="127"/>
      <c r="J509" s="47"/>
      <c r="K509" s="5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47"/>
      <c r="D510" s="47"/>
      <c r="E510" s="47"/>
      <c r="F510" s="47"/>
      <c r="G510" s="47"/>
      <c r="H510" s="126"/>
      <c r="I510" s="127"/>
      <c r="J510" s="47"/>
      <c r="K510" s="5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47"/>
      <c r="D511" s="47"/>
      <c r="E511" s="47"/>
      <c r="F511" s="47"/>
      <c r="G511" s="47"/>
      <c r="H511" s="126"/>
      <c r="I511" s="127"/>
      <c r="J511" s="47"/>
      <c r="K511" s="5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47"/>
      <c r="D512" s="47"/>
      <c r="E512" s="47"/>
      <c r="F512" s="47"/>
      <c r="G512" s="47"/>
      <c r="H512" s="126"/>
      <c r="I512" s="127"/>
      <c r="J512" s="47"/>
      <c r="K512" s="5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47"/>
      <c r="D513" s="47"/>
      <c r="E513" s="47"/>
      <c r="F513" s="47"/>
      <c r="G513" s="47"/>
      <c r="H513" s="126"/>
      <c r="I513" s="127"/>
      <c r="J513" s="47"/>
      <c r="K513" s="5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47"/>
      <c r="D514" s="47"/>
      <c r="E514" s="47"/>
      <c r="F514" s="47"/>
      <c r="G514" s="47"/>
      <c r="H514" s="126"/>
      <c r="I514" s="127"/>
      <c r="J514" s="47"/>
      <c r="K514" s="5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47"/>
      <c r="D515" s="47"/>
      <c r="E515" s="47"/>
      <c r="F515" s="47"/>
      <c r="G515" s="47"/>
      <c r="H515" s="126"/>
      <c r="I515" s="127"/>
      <c r="J515" s="47"/>
      <c r="K515" s="5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47"/>
      <c r="D516" s="47"/>
      <c r="E516" s="47"/>
      <c r="F516" s="47"/>
      <c r="G516" s="47"/>
      <c r="H516" s="126"/>
      <c r="I516" s="127"/>
      <c r="J516" s="47"/>
      <c r="K516" s="5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47"/>
      <c r="D517" s="47"/>
      <c r="E517" s="47"/>
      <c r="F517" s="47"/>
      <c r="G517" s="47"/>
      <c r="H517" s="126"/>
      <c r="I517" s="127"/>
      <c r="J517" s="47"/>
      <c r="K517" s="5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47"/>
      <c r="D518" s="47"/>
      <c r="E518" s="47"/>
      <c r="F518" s="47"/>
      <c r="G518" s="47"/>
      <c r="H518" s="126"/>
      <c r="I518" s="127"/>
      <c r="J518" s="47"/>
      <c r="K518" s="5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47"/>
      <c r="D519" s="47"/>
      <c r="E519" s="47"/>
      <c r="F519" s="47"/>
      <c r="G519" s="47"/>
      <c r="H519" s="126"/>
      <c r="I519" s="127"/>
      <c r="J519" s="47"/>
      <c r="K519" s="5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47"/>
      <c r="D520" s="47"/>
      <c r="E520" s="47"/>
      <c r="F520" s="47"/>
      <c r="G520" s="47"/>
      <c r="H520" s="126"/>
      <c r="I520" s="127"/>
      <c r="J520" s="47"/>
      <c r="K520" s="5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47"/>
      <c r="D521" s="47"/>
      <c r="E521" s="47"/>
      <c r="F521" s="47"/>
      <c r="G521" s="47"/>
      <c r="H521" s="126"/>
      <c r="I521" s="127"/>
      <c r="J521" s="47"/>
      <c r="K521" s="5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47"/>
      <c r="D522" s="47"/>
      <c r="E522" s="47"/>
      <c r="F522" s="47"/>
      <c r="G522" s="47"/>
      <c r="H522" s="126"/>
      <c r="I522" s="127"/>
      <c r="J522" s="47"/>
      <c r="K522" s="5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47"/>
      <c r="D523" s="47"/>
      <c r="E523" s="47"/>
      <c r="F523" s="47"/>
      <c r="G523" s="47"/>
      <c r="H523" s="126"/>
      <c r="I523" s="127"/>
      <c r="J523" s="47"/>
      <c r="K523" s="5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47"/>
      <c r="D524" s="47"/>
      <c r="E524" s="47"/>
      <c r="F524" s="47"/>
      <c r="G524" s="47"/>
      <c r="H524" s="126"/>
      <c r="I524" s="127"/>
      <c r="J524" s="47"/>
      <c r="K524" s="5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47"/>
      <c r="D525" s="47"/>
      <c r="E525" s="47"/>
      <c r="F525" s="47"/>
      <c r="G525" s="47"/>
      <c r="H525" s="126"/>
      <c r="I525" s="127"/>
      <c r="J525" s="47"/>
      <c r="K525" s="5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47"/>
      <c r="D526" s="47"/>
      <c r="E526" s="47"/>
      <c r="F526" s="47"/>
      <c r="G526" s="47"/>
      <c r="H526" s="126"/>
      <c r="I526" s="127"/>
      <c r="J526" s="47"/>
      <c r="K526" s="5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47"/>
      <c r="D527" s="47"/>
      <c r="E527" s="47"/>
      <c r="F527" s="47"/>
      <c r="G527" s="47"/>
      <c r="H527" s="126"/>
      <c r="I527" s="127"/>
      <c r="J527" s="47"/>
      <c r="K527" s="5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47"/>
      <c r="D528" s="47"/>
      <c r="E528" s="47"/>
      <c r="F528" s="47"/>
      <c r="G528" s="47"/>
      <c r="H528" s="126"/>
      <c r="I528" s="127"/>
      <c r="J528" s="47"/>
      <c r="K528" s="5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47"/>
      <c r="D529" s="47"/>
      <c r="E529" s="47"/>
      <c r="F529" s="47"/>
      <c r="G529" s="47"/>
      <c r="H529" s="126"/>
      <c r="I529" s="127"/>
      <c r="J529" s="47"/>
      <c r="K529" s="5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47"/>
      <c r="D530" s="47"/>
      <c r="E530" s="47"/>
      <c r="F530" s="47"/>
      <c r="G530" s="47"/>
      <c r="H530" s="126"/>
      <c r="I530" s="127"/>
      <c r="J530" s="47"/>
      <c r="K530" s="5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47"/>
      <c r="D531" s="47"/>
      <c r="E531" s="47"/>
      <c r="F531" s="47"/>
      <c r="G531" s="47"/>
      <c r="H531" s="126"/>
      <c r="I531" s="127"/>
      <c r="J531" s="47"/>
      <c r="K531" s="5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47"/>
      <c r="D532" s="47"/>
      <c r="E532" s="47"/>
      <c r="F532" s="47"/>
      <c r="G532" s="47"/>
      <c r="H532" s="126"/>
      <c r="I532" s="127"/>
      <c r="J532" s="47"/>
      <c r="K532" s="5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47"/>
      <c r="D533" s="47"/>
      <c r="E533" s="47"/>
      <c r="F533" s="47"/>
      <c r="G533" s="47"/>
      <c r="H533" s="126"/>
      <c r="I533" s="127"/>
      <c r="J533" s="47"/>
      <c r="K533" s="5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47"/>
      <c r="D534" s="47"/>
      <c r="E534" s="47"/>
      <c r="F534" s="47"/>
      <c r="G534" s="47"/>
      <c r="H534" s="126"/>
      <c r="I534" s="127"/>
      <c r="J534" s="47"/>
      <c r="K534" s="5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47"/>
      <c r="D535" s="47"/>
      <c r="E535" s="47"/>
      <c r="F535" s="47"/>
      <c r="G535" s="47"/>
      <c r="H535" s="126"/>
      <c r="I535" s="127"/>
      <c r="J535" s="47"/>
      <c r="K535" s="5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47"/>
      <c r="D536" s="47"/>
      <c r="E536" s="47"/>
      <c r="F536" s="47"/>
      <c r="G536" s="47"/>
      <c r="H536" s="126"/>
      <c r="I536" s="127"/>
      <c r="J536" s="47"/>
      <c r="K536" s="5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47"/>
      <c r="D537" s="47"/>
      <c r="E537" s="47"/>
      <c r="F537" s="47"/>
      <c r="G537" s="47"/>
      <c r="H537" s="126"/>
      <c r="I537" s="127"/>
      <c r="J537" s="47"/>
      <c r="K537" s="5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47"/>
      <c r="D538" s="47"/>
      <c r="E538" s="47"/>
      <c r="F538" s="47"/>
      <c r="G538" s="47"/>
      <c r="H538" s="126"/>
      <c r="I538" s="127"/>
      <c r="J538" s="47"/>
      <c r="K538" s="5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47"/>
      <c r="D539" s="47"/>
      <c r="E539" s="47"/>
      <c r="F539" s="47"/>
      <c r="G539" s="47"/>
      <c r="H539" s="126"/>
      <c r="I539" s="127"/>
      <c r="J539" s="47"/>
      <c r="K539" s="5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47"/>
      <c r="D540" s="47"/>
      <c r="E540" s="47"/>
      <c r="F540" s="47"/>
      <c r="G540" s="47"/>
      <c r="H540" s="126"/>
      <c r="I540" s="127"/>
      <c r="J540" s="47"/>
      <c r="K540" s="5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47"/>
      <c r="D541" s="47"/>
      <c r="E541" s="47"/>
      <c r="F541" s="47"/>
      <c r="G541" s="47"/>
      <c r="H541" s="126"/>
      <c r="I541" s="127"/>
      <c r="J541" s="47"/>
      <c r="K541" s="5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47"/>
      <c r="D542" s="47"/>
      <c r="E542" s="47"/>
      <c r="F542" s="47"/>
      <c r="G542" s="47"/>
      <c r="H542" s="126"/>
      <c r="I542" s="127"/>
      <c r="J542" s="47"/>
      <c r="K542" s="5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47"/>
      <c r="D543" s="47"/>
      <c r="E543" s="47"/>
      <c r="F543" s="47"/>
      <c r="G543" s="47"/>
      <c r="H543" s="126"/>
      <c r="I543" s="127"/>
      <c r="J543" s="47"/>
      <c r="K543" s="5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47"/>
      <c r="D544" s="47"/>
      <c r="E544" s="47"/>
      <c r="F544" s="47"/>
      <c r="G544" s="47"/>
      <c r="H544" s="126"/>
      <c r="I544" s="127"/>
      <c r="J544" s="47"/>
      <c r="K544" s="5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47"/>
      <c r="D545" s="47"/>
      <c r="E545" s="47"/>
      <c r="F545" s="47"/>
      <c r="G545" s="47"/>
      <c r="H545" s="126"/>
      <c r="I545" s="127"/>
      <c r="J545" s="47"/>
      <c r="K545" s="5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47"/>
      <c r="D546" s="47"/>
      <c r="E546" s="47"/>
      <c r="F546" s="47"/>
      <c r="G546" s="47"/>
      <c r="H546" s="126"/>
      <c r="I546" s="127"/>
      <c r="J546" s="47"/>
      <c r="K546" s="5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47"/>
      <c r="D547" s="47"/>
      <c r="E547" s="47"/>
      <c r="F547" s="47"/>
      <c r="G547" s="47"/>
      <c r="H547" s="126"/>
      <c r="I547" s="127"/>
      <c r="J547" s="47"/>
      <c r="K547" s="5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47"/>
      <c r="D548" s="47"/>
      <c r="E548" s="47"/>
      <c r="F548" s="47"/>
      <c r="G548" s="47"/>
      <c r="H548" s="126"/>
      <c r="I548" s="127"/>
      <c r="J548" s="47"/>
      <c r="K548" s="5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47"/>
      <c r="D549" s="47"/>
      <c r="E549" s="47"/>
      <c r="F549" s="47"/>
      <c r="G549" s="47"/>
      <c r="H549" s="126"/>
      <c r="I549" s="127"/>
      <c r="J549" s="47"/>
      <c r="K549" s="5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47"/>
      <c r="D550" s="47"/>
      <c r="E550" s="47"/>
      <c r="F550" s="47"/>
      <c r="G550" s="47"/>
      <c r="H550" s="126"/>
      <c r="I550" s="127"/>
      <c r="J550" s="47"/>
      <c r="K550" s="5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47"/>
      <c r="D551" s="47"/>
      <c r="E551" s="47"/>
      <c r="F551" s="47"/>
      <c r="G551" s="47"/>
      <c r="H551" s="126"/>
      <c r="I551" s="127"/>
      <c r="J551" s="47"/>
      <c r="K551" s="5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47"/>
      <c r="D552" s="47"/>
      <c r="E552" s="47"/>
      <c r="F552" s="47"/>
      <c r="G552" s="47"/>
      <c r="H552" s="126"/>
      <c r="I552" s="127"/>
      <c r="J552" s="47"/>
      <c r="K552" s="5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47"/>
      <c r="D553" s="47"/>
      <c r="E553" s="47"/>
      <c r="F553" s="47"/>
      <c r="G553" s="47"/>
      <c r="H553" s="126"/>
      <c r="I553" s="127"/>
      <c r="J553" s="47"/>
      <c r="K553" s="5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47"/>
      <c r="D554" s="47"/>
      <c r="E554" s="47"/>
      <c r="F554" s="47"/>
      <c r="G554" s="47"/>
      <c r="H554" s="126"/>
      <c r="I554" s="127"/>
      <c r="J554" s="47"/>
      <c r="K554" s="5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47"/>
      <c r="D555" s="47"/>
      <c r="E555" s="47"/>
      <c r="F555" s="47"/>
      <c r="G555" s="47"/>
      <c r="H555" s="126"/>
      <c r="I555" s="127"/>
      <c r="J555" s="47"/>
      <c r="K555" s="5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47"/>
      <c r="D556" s="47"/>
      <c r="E556" s="47"/>
      <c r="F556" s="47"/>
      <c r="G556" s="47"/>
      <c r="H556" s="126"/>
      <c r="I556" s="127"/>
      <c r="J556" s="47"/>
      <c r="K556" s="5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47"/>
      <c r="D557" s="47"/>
      <c r="E557" s="47"/>
      <c r="F557" s="47"/>
      <c r="G557" s="47"/>
      <c r="H557" s="126"/>
      <c r="I557" s="127"/>
      <c r="J557" s="47"/>
      <c r="K557" s="5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47"/>
      <c r="D558" s="47"/>
      <c r="E558" s="47"/>
      <c r="F558" s="47"/>
      <c r="G558" s="47"/>
      <c r="H558" s="126"/>
      <c r="I558" s="127"/>
      <c r="J558" s="47"/>
      <c r="K558" s="5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47"/>
      <c r="D559" s="47"/>
      <c r="E559" s="47"/>
      <c r="F559" s="47"/>
      <c r="G559" s="47"/>
      <c r="H559" s="126"/>
      <c r="I559" s="127"/>
      <c r="J559" s="47"/>
      <c r="K559" s="5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47"/>
      <c r="D560" s="47"/>
      <c r="E560" s="47"/>
      <c r="F560" s="47"/>
      <c r="G560" s="47"/>
      <c r="H560" s="126"/>
      <c r="I560" s="127"/>
      <c r="J560" s="47"/>
      <c r="K560" s="5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47"/>
      <c r="D561" s="47"/>
      <c r="E561" s="47"/>
      <c r="F561" s="47"/>
      <c r="G561" s="47"/>
      <c r="H561" s="126"/>
      <c r="I561" s="127"/>
      <c r="J561" s="47"/>
      <c r="K561" s="5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47"/>
      <c r="D562" s="47"/>
      <c r="E562" s="47"/>
      <c r="F562" s="47"/>
      <c r="G562" s="47"/>
      <c r="H562" s="126"/>
      <c r="I562" s="127"/>
      <c r="J562" s="47"/>
      <c r="K562" s="5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47"/>
      <c r="D563" s="47"/>
      <c r="E563" s="47"/>
      <c r="F563" s="47"/>
      <c r="G563" s="47"/>
      <c r="H563" s="126"/>
      <c r="I563" s="127"/>
      <c r="J563" s="47"/>
      <c r="K563" s="5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47"/>
      <c r="D564" s="47"/>
      <c r="E564" s="47"/>
      <c r="F564" s="47"/>
      <c r="G564" s="47"/>
      <c r="H564" s="126"/>
      <c r="I564" s="127"/>
      <c r="J564" s="47"/>
      <c r="K564" s="5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47"/>
      <c r="D565" s="47"/>
      <c r="E565" s="47"/>
      <c r="F565" s="47"/>
      <c r="G565" s="47"/>
      <c r="H565" s="126"/>
      <c r="I565" s="127"/>
      <c r="J565" s="47"/>
      <c r="K565" s="5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47"/>
      <c r="D566" s="47"/>
      <c r="E566" s="47"/>
      <c r="F566" s="47"/>
      <c r="G566" s="47"/>
      <c r="H566" s="126"/>
      <c r="I566" s="127"/>
      <c r="J566" s="47"/>
      <c r="K566" s="5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47"/>
      <c r="D567" s="47"/>
      <c r="E567" s="47"/>
      <c r="F567" s="47"/>
      <c r="G567" s="47"/>
      <c r="H567" s="126"/>
      <c r="I567" s="127"/>
      <c r="J567" s="47"/>
      <c r="K567" s="5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47"/>
      <c r="D568" s="47"/>
      <c r="E568" s="47"/>
      <c r="F568" s="47"/>
      <c r="G568" s="47"/>
      <c r="H568" s="126"/>
      <c r="I568" s="127"/>
      <c r="J568" s="47"/>
      <c r="K568" s="5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47"/>
      <c r="D569" s="47"/>
      <c r="E569" s="47"/>
      <c r="F569" s="47"/>
      <c r="G569" s="47"/>
      <c r="H569" s="126"/>
      <c r="I569" s="127"/>
      <c r="J569" s="47"/>
      <c r="K569" s="5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47"/>
      <c r="D570" s="47"/>
      <c r="E570" s="47"/>
      <c r="F570" s="47"/>
      <c r="G570" s="47"/>
      <c r="H570" s="126"/>
      <c r="I570" s="127"/>
      <c r="J570" s="47"/>
      <c r="K570" s="5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47"/>
      <c r="D571" s="47"/>
      <c r="E571" s="47"/>
      <c r="F571" s="47"/>
      <c r="G571" s="47"/>
      <c r="H571" s="126"/>
      <c r="I571" s="127"/>
      <c r="J571" s="47"/>
      <c r="K571" s="5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47"/>
      <c r="D572" s="47"/>
      <c r="E572" s="47"/>
      <c r="F572" s="47"/>
      <c r="G572" s="47"/>
      <c r="H572" s="126"/>
      <c r="I572" s="127"/>
      <c r="J572" s="47"/>
      <c r="K572" s="5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47"/>
      <c r="D573" s="47"/>
      <c r="E573" s="47"/>
      <c r="F573" s="47"/>
      <c r="G573" s="47"/>
      <c r="H573" s="126"/>
      <c r="I573" s="127"/>
      <c r="J573" s="47"/>
      <c r="K573" s="5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47"/>
      <c r="D574" s="47"/>
      <c r="E574" s="47"/>
      <c r="F574" s="47"/>
      <c r="G574" s="47"/>
      <c r="H574" s="126"/>
      <c r="I574" s="127"/>
      <c r="J574" s="47"/>
      <c r="K574" s="5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47"/>
      <c r="D575" s="47"/>
      <c r="E575" s="47"/>
      <c r="F575" s="47"/>
      <c r="G575" s="47"/>
      <c r="H575" s="126"/>
      <c r="I575" s="127"/>
      <c r="J575" s="47"/>
      <c r="K575" s="5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47"/>
      <c r="D576" s="47"/>
      <c r="E576" s="47"/>
      <c r="F576" s="47"/>
      <c r="G576" s="47"/>
      <c r="H576" s="126"/>
      <c r="I576" s="127"/>
      <c r="J576" s="47"/>
      <c r="K576" s="5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47"/>
      <c r="D577" s="47"/>
      <c r="E577" s="47"/>
      <c r="F577" s="47"/>
      <c r="G577" s="47"/>
      <c r="H577" s="126"/>
      <c r="I577" s="127"/>
      <c r="J577" s="47"/>
      <c r="K577" s="5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47"/>
      <c r="D578" s="47"/>
      <c r="E578" s="47"/>
      <c r="F578" s="47"/>
      <c r="G578" s="47"/>
      <c r="H578" s="126"/>
      <c r="I578" s="127"/>
      <c r="J578" s="47"/>
      <c r="K578" s="5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47"/>
      <c r="D579" s="47"/>
      <c r="E579" s="47"/>
      <c r="F579" s="47"/>
      <c r="G579" s="47"/>
      <c r="H579" s="126"/>
      <c r="I579" s="127"/>
      <c r="J579" s="47"/>
      <c r="K579" s="5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47"/>
      <c r="D580" s="47"/>
      <c r="E580" s="47"/>
      <c r="F580" s="47"/>
      <c r="G580" s="47"/>
      <c r="H580" s="126"/>
      <c r="I580" s="127"/>
      <c r="J580" s="47"/>
      <c r="K580" s="5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47"/>
      <c r="D581" s="47"/>
      <c r="E581" s="47"/>
      <c r="F581" s="47"/>
      <c r="G581" s="47"/>
      <c r="H581" s="126"/>
      <c r="I581" s="127"/>
      <c r="J581" s="47"/>
      <c r="K581" s="5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47"/>
      <c r="D582" s="47"/>
      <c r="E582" s="47"/>
      <c r="F582" s="47"/>
      <c r="G582" s="47"/>
      <c r="H582" s="126"/>
      <c r="I582" s="127"/>
      <c r="J582" s="47"/>
      <c r="K582" s="5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47"/>
      <c r="D583" s="47"/>
      <c r="E583" s="47"/>
      <c r="F583" s="47"/>
      <c r="G583" s="47"/>
      <c r="H583" s="126"/>
      <c r="I583" s="127"/>
      <c r="J583" s="47"/>
      <c r="K583" s="5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47"/>
      <c r="D584" s="47"/>
      <c r="E584" s="47"/>
      <c r="F584" s="47"/>
      <c r="G584" s="47"/>
      <c r="H584" s="126"/>
      <c r="I584" s="127"/>
      <c r="J584" s="47"/>
      <c r="K584" s="5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47"/>
      <c r="D585" s="47"/>
      <c r="E585" s="47"/>
      <c r="F585" s="47"/>
      <c r="G585" s="47"/>
      <c r="H585" s="126"/>
      <c r="I585" s="127"/>
      <c r="J585" s="47"/>
      <c r="K585" s="5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47"/>
      <c r="D586" s="47"/>
      <c r="E586" s="47"/>
      <c r="F586" s="47"/>
      <c r="G586" s="47"/>
      <c r="H586" s="126"/>
      <c r="I586" s="127"/>
      <c r="J586" s="47"/>
      <c r="K586" s="5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47"/>
      <c r="D587" s="47"/>
      <c r="E587" s="47"/>
      <c r="F587" s="47"/>
      <c r="G587" s="47"/>
      <c r="H587" s="126"/>
      <c r="I587" s="127"/>
      <c r="J587" s="47"/>
      <c r="K587" s="5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47"/>
      <c r="D588" s="47"/>
      <c r="E588" s="47"/>
      <c r="F588" s="47"/>
      <c r="G588" s="47"/>
      <c r="H588" s="126"/>
      <c r="I588" s="127"/>
      <c r="J588" s="47"/>
      <c r="K588" s="5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47"/>
      <c r="D589" s="47"/>
      <c r="E589" s="47"/>
      <c r="F589" s="47"/>
      <c r="G589" s="47"/>
      <c r="H589" s="126"/>
      <c r="I589" s="127"/>
      <c r="J589" s="47"/>
      <c r="K589" s="5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47"/>
      <c r="D590" s="47"/>
      <c r="E590" s="47"/>
      <c r="F590" s="47"/>
      <c r="G590" s="47"/>
      <c r="H590" s="126"/>
      <c r="I590" s="127"/>
      <c r="J590" s="47"/>
      <c r="K590" s="5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47"/>
      <c r="D591" s="47"/>
      <c r="E591" s="47"/>
      <c r="F591" s="47"/>
      <c r="G591" s="47"/>
      <c r="H591" s="126"/>
      <c r="I591" s="127"/>
      <c r="J591" s="47"/>
      <c r="K591" s="5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47"/>
      <c r="D592" s="47"/>
      <c r="E592" s="47"/>
      <c r="F592" s="47"/>
      <c r="G592" s="47"/>
      <c r="H592" s="126"/>
      <c r="I592" s="127"/>
      <c r="J592" s="47"/>
      <c r="K592" s="5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47"/>
      <c r="D593" s="47"/>
      <c r="E593" s="47"/>
      <c r="F593" s="47"/>
      <c r="G593" s="47"/>
      <c r="H593" s="126"/>
      <c r="I593" s="127"/>
      <c r="J593" s="47"/>
      <c r="K593" s="5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47"/>
      <c r="D594" s="47"/>
      <c r="E594" s="47"/>
      <c r="F594" s="47"/>
      <c r="G594" s="47"/>
      <c r="H594" s="126"/>
      <c r="I594" s="127"/>
      <c r="J594" s="47"/>
      <c r="K594" s="5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47"/>
      <c r="D595" s="47"/>
      <c r="E595" s="47"/>
      <c r="F595" s="47"/>
      <c r="G595" s="47"/>
      <c r="H595" s="126"/>
      <c r="I595" s="127"/>
      <c r="J595" s="47"/>
      <c r="K595" s="5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47"/>
      <c r="D596" s="47"/>
      <c r="E596" s="47"/>
      <c r="F596" s="47"/>
      <c r="G596" s="47"/>
      <c r="H596" s="126"/>
      <c r="I596" s="127"/>
      <c r="J596" s="47"/>
      <c r="K596" s="5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47"/>
      <c r="D597" s="47"/>
      <c r="E597" s="47"/>
      <c r="F597" s="47"/>
      <c r="G597" s="47"/>
      <c r="H597" s="126"/>
      <c r="I597" s="127"/>
      <c r="J597" s="47"/>
      <c r="K597" s="5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47"/>
      <c r="D598" s="47"/>
      <c r="E598" s="47"/>
      <c r="F598" s="47"/>
      <c r="G598" s="47"/>
      <c r="H598" s="126"/>
      <c r="I598" s="127"/>
      <c r="J598" s="47"/>
      <c r="K598" s="5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47"/>
      <c r="D599" s="47"/>
      <c r="E599" s="47"/>
      <c r="F599" s="47"/>
      <c r="G599" s="47"/>
      <c r="H599" s="126"/>
      <c r="I599" s="127"/>
      <c r="J599" s="47"/>
      <c r="K599" s="5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47"/>
      <c r="D600" s="47"/>
      <c r="E600" s="47"/>
      <c r="F600" s="47"/>
      <c r="G600" s="47"/>
      <c r="H600" s="126"/>
      <c r="I600" s="127"/>
      <c r="J600" s="47"/>
      <c r="K600" s="5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47"/>
      <c r="D601" s="47"/>
      <c r="E601" s="47"/>
      <c r="F601" s="47"/>
      <c r="G601" s="47"/>
      <c r="H601" s="126"/>
      <c r="I601" s="127"/>
      <c r="J601" s="47"/>
      <c r="K601" s="5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47"/>
      <c r="D602" s="47"/>
      <c r="E602" s="47"/>
      <c r="F602" s="47"/>
      <c r="G602" s="47"/>
      <c r="H602" s="126"/>
      <c r="I602" s="127"/>
      <c r="J602" s="47"/>
      <c r="K602" s="5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47"/>
      <c r="D603" s="47"/>
      <c r="E603" s="47"/>
      <c r="F603" s="47"/>
      <c r="G603" s="47"/>
      <c r="H603" s="126"/>
      <c r="I603" s="127"/>
      <c r="J603" s="47"/>
      <c r="K603" s="5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47"/>
      <c r="D604" s="47"/>
      <c r="E604" s="47"/>
      <c r="F604" s="47"/>
      <c r="G604" s="47"/>
      <c r="H604" s="126"/>
      <c r="I604" s="127"/>
      <c r="J604" s="47"/>
      <c r="K604" s="5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47"/>
      <c r="D605" s="47"/>
      <c r="E605" s="47"/>
      <c r="F605" s="47"/>
      <c r="G605" s="47"/>
      <c r="H605" s="126"/>
      <c r="I605" s="127"/>
      <c r="J605" s="47"/>
      <c r="K605" s="5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47"/>
      <c r="D606" s="47"/>
      <c r="E606" s="47"/>
      <c r="F606" s="47"/>
      <c r="G606" s="47"/>
      <c r="H606" s="126"/>
      <c r="I606" s="127"/>
      <c r="J606" s="47"/>
      <c r="K606" s="5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47"/>
      <c r="D607" s="47"/>
      <c r="E607" s="47"/>
      <c r="F607" s="47"/>
      <c r="G607" s="47"/>
      <c r="H607" s="126"/>
      <c r="I607" s="127"/>
      <c r="J607" s="47"/>
      <c r="K607" s="5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47"/>
      <c r="D608" s="47"/>
      <c r="E608" s="47"/>
      <c r="F608" s="47"/>
      <c r="G608" s="47"/>
      <c r="H608" s="126"/>
      <c r="I608" s="127"/>
      <c r="J608" s="47"/>
      <c r="K608" s="5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47"/>
      <c r="D609" s="47"/>
      <c r="E609" s="47"/>
      <c r="F609" s="47"/>
      <c r="G609" s="47"/>
      <c r="H609" s="126"/>
      <c r="I609" s="127"/>
      <c r="J609" s="47"/>
      <c r="K609" s="5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47"/>
      <c r="D610" s="47"/>
      <c r="E610" s="47"/>
      <c r="F610" s="47"/>
      <c r="G610" s="47"/>
      <c r="H610" s="126"/>
      <c r="I610" s="127"/>
      <c r="J610" s="47"/>
      <c r="K610" s="5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47"/>
      <c r="D611" s="47"/>
      <c r="E611" s="47"/>
      <c r="F611" s="47"/>
      <c r="G611" s="47"/>
      <c r="H611" s="126"/>
      <c r="I611" s="127"/>
      <c r="J611" s="47"/>
      <c r="K611" s="5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47"/>
      <c r="D612" s="47"/>
      <c r="E612" s="47"/>
      <c r="F612" s="47"/>
      <c r="G612" s="47"/>
      <c r="H612" s="126"/>
      <c r="I612" s="127"/>
      <c r="J612" s="47"/>
      <c r="K612" s="5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47"/>
      <c r="D613" s="47"/>
      <c r="E613" s="47"/>
      <c r="F613" s="47"/>
      <c r="G613" s="47"/>
      <c r="H613" s="126"/>
      <c r="I613" s="127"/>
      <c r="J613" s="47"/>
      <c r="K613" s="5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47"/>
      <c r="D614" s="47"/>
      <c r="E614" s="47"/>
      <c r="F614" s="47"/>
      <c r="G614" s="47"/>
      <c r="H614" s="126"/>
      <c r="I614" s="127"/>
      <c r="J614" s="47"/>
      <c r="K614" s="5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47"/>
      <c r="D615" s="47"/>
      <c r="E615" s="47"/>
      <c r="F615" s="47"/>
      <c r="G615" s="47"/>
      <c r="H615" s="126"/>
      <c r="I615" s="127"/>
      <c r="J615" s="47"/>
      <c r="K615" s="5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47"/>
      <c r="D616" s="47"/>
      <c r="E616" s="47"/>
      <c r="F616" s="47"/>
      <c r="G616" s="47"/>
      <c r="H616" s="126"/>
      <c r="I616" s="127"/>
      <c r="J616" s="47"/>
      <c r="K616" s="5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47"/>
      <c r="D617" s="47"/>
      <c r="E617" s="47"/>
      <c r="F617" s="47"/>
      <c r="G617" s="47"/>
      <c r="H617" s="126"/>
      <c r="I617" s="127"/>
      <c r="J617" s="47"/>
      <c r="K617" s="5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47"/>
      <c r="D618" s="47"/>
      <c r="E618" s="47"/>
      <c r="F618" s="47"/>
      <c r="G618" s="47"/>
      <c r="H618" s="126"/>
      <c r="I618" s="127"/>
      <c r="J618" s="47"/>
      <c r="K618" s="5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47"/>
      <c r="D619" s="47"/>
      <c r="E619" s="47"/>
      <c r="F619" s="47"/>
      <c r="G619" s="47"/>
      <c r="H619" s="126"/>
      <c r="I619" s="127"/>
      <c r="J619" s="47"/>
      <c r="K619" s="5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47"/>
      <c r="D620" s="47"/>
      <c r="E620" s="47"/>
      <c r="F620" s="47"/>
      <c r="G620" s="47"/>
      <c r="H620" s="126"/>
      <c r="I620" s="127"/>
      <c r="J620" s="47"/>
      <c r="K620" s="5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47"/>
      <c r="D621" s="47"/>
      <c r="E621" s="47"/>
      <c r="F621" s="47"/>
      <c r="G621" s="47"/>
      <c r="H621" s="126"/>
      <c r="I621" s="127"/>
      <c r="J621" s="47"/>
      <c r="K621" s="5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47"/>
      <c r="D622" s="47"/>
      <c r="E622" s="47"/>
      <c r="F622" s="47"/>
      <c r="G622" s="47"/>
      <c r="H622" s="126"/>
      <c r="I622" s="127"/>
      <c r="J622" s="47"/>
      <c r="K622" s="5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47"/>
      <c r="D623" s="47"/>
      <c r="E623" s="47"/>
      <c r="F623" s="47"/>
      <c r="G623" s="47"/>
      <c r="H623" s="126"/>
      <c r="I623" s="127"/>
      <c r="J623" s="47"/>
      <c r="K623" s="5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47"/>
      <c r="D624" s="47"/>
      <c r="E624" s="47"/>
      <c r="F624" s="47"/>
      <c r="G624" s="47"/>
      <c r="H624" s="126"/>
      <c r="I624" s="127"/>
      <c r="J624" s="47"/>
      <c r="K624" s="5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47"/>
      <c r="D625" s="47"/>
      <c r="E625" s="47"/>
      <c r="F625" s="47"/>
      <c r="G625" s="47"/>
      <c r="H625" s="126"/>
      <c r="I625" s="127"/>
      <c r="J625" s="47"/>
      <c r="K625" s="5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47"/>
      <c r="D626" s="47"/>
      <c r="E626" s="47"/>
      <c r="F626" s="47"/>
      <c r="G626" s="47"/>
      <c r="H626" s="126"/>
      <c r="I626" s="127"/>
      <c r="J626" s="47"/>
      <c r="K626" s="5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47"/>
      <c r="D627" s="47"/>
      <c r="E627" s="47"/>
      <c r="F627" s="47"/>
      <c r="G627" s="47"/>
      <c r="H627" s="126"/>
      <c r="I627" s="127"/>
      <c r="J627" s="47"/>
      <c r="K627" s="5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47"/>
      <c r="D628" s="47"/>
      <c r="E628" s="47"/>
      <c r="F628" s="47"/>
      <c r="G628" s="47"/>
      <c r="H628" s="126"/>
      <c r="I628" s="127"/>
      <c r="J628" s="47"/>
      <c r="K628" s="5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47"/>
      <c r="D629" s="47"/>
      <c r="E629" s="47"/>
      <c r="F629" s="47"/>
      <c r="G629" s="47"/>
      <c r="H629" s="126"/>
      <c r="I629" s="127"/>
      <c r="J629" s="47"/>
      <c r="K629" s="5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47"/>
      <c r="D630" s="47"/>
      <c r="E630" s="47"/>
      <c r="F630" s="47"/>
      <c r="G630" s="47"/>
      <c r="H630" s="126"/>
      <c r="I630" s="127"/>
      <c r="J630" s="47"/>
      <c r="K630" s="5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47"/>
      <c r="D631" s="47"/>
      <c r="E631" s="47"/>
      <c r="F631" s="47"/>
      <c r="G631" s="47"/>
      <c r="H631" s="126"/>
      <c r="I631" s="127"/>
      <c r="J631" s="47"/>
      <c r="K631" s="5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47"/>
      <c r="D632" s="47"/>
      <c r="E632" s="47"/>
      <c r="F632" s="47"/>
      <c r="G632" s="47"/>
      <c r="H632" s="126"/>
      <c r="I632" s="127"/>
      <c r="J632" s="47"/>
      <c r="K632" s="5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47"/>
      <c r="D633" s="47"/>
      <c r="E633" s="47"/>
      <c r="F633" s="47"/>
      <c r="G633" s="47"/>
      <c r="H633" s="126"/>
      <c r="I633" s="127"/>
      <c r="J633" s="47"/>
      <c r="K633" s="5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47"/>
      <c r="D634" s="47"/>
      <c r="E634" s="47"/>
      <c r="F634" s="47"/>
      <c r="G634" s="47"/>
      <c r="H634" s="126"/>
      <c r="I634" s="127"/>
      <c r="J634" s="47"/>
      <c r="K634" s="5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47"/>
      <c r="D635" s="47"/>
      <c r="E635" s="47"/>
      <c r="F635" s="47"/>
      <c r="G635" s="47"/>
      <c r="H635" s="126"/>
      <c r="I635" s="127"/>
      <c r="J635" s="47"/>
      <c r="K635" s="5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47"/>
      <c r="D636" s="47"/>
      <c r="E636" s="47"/>
      <c r="F636" s="47"/>
      <c r="G636" s="47"/>
      <c r="H636" s="126"/>
      <c r="I636" s="127"/>
      <c r="J636" s="47"/>
      <c r="K636" s="5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47"/>
      <c r="D637" s="47"/>
      <c r="E637" s="47"/>
      <c r="F637" s="47"/>
      <c r="G637" s="47"/>
      <c r="H637" s="126"/>
      <c r="I637" s="127"/>
      <c r="J637" s="47"/>
      <c r="K637" s="5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47"/>
      <c r="D638" s="47"/>
      <c r="E638" s="47"/>
      <c r="F638" s="47"/>
      <c r="G638" s="47"/>
      <c r="H638" s="126"/>
      <c r="I638" s="127"/>
      <c r="J638" s="47"/>
      <c r="K638" s="5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47"/>
      <c r="D639" s="47"/>
      <c r="E639" s="47"/>
      <c r="F639" s="47"/>
      <c r="G639" s="47"/>
      <c r="H639" s="126"/>
      <c r="I639" s="127"/>
      <c r="J639" s="47"/>
      <c r="K639" s="5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47"/>
      <c r="D640" s="47"/>
      <c r="E640" s="47"/>
      <c r="F640" s="47"/>
      <c r="G640" s="47"/>
      <c r="H640" s="126"/>
      <c r="I640" s="127"/>
      <c r="J640" s="47"/>
      <c r="K640" s="5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47"/>
      <c r="D641" s="47"/>
      <c r="E641" s="47"/>
      <c r="F641" s="47"/>
      <c r="G641" s="47"/>
      <c r="H641" s="126"/>
      <c r="I641" s="127"/>
      <c r="J641" s="47"/>
      <c r="K641" s="5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47"/>
      <c r="D642" s="47"/>
      <c r="E642" s="47"/>
      <c r="F642" s="47"/>
      <c r="G642" s="47"/>
      <c r="H642" s="126"/>
      <c r="I642" s="127"/>
      <c r="J642" s="47"/>
      <c r="K642" s="5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47"/>
      <c r="D643" s="47"/>
      <c r="E643" s="47"/>
      <c r="F643" s="47"/>
      <c r="G643" s="47"/>
      <c r="H643" s="126"/>
      <c r="I643" s="127"/>
      <c r="J643" s="47"/>
      <c r="K643" s="5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47"/>
      <c r="D644" s="47"/>
      <c r="E644" s="47"/>
      <c r="F644" s="47"/>
      <c r="G644" s="47"/>
      <c r="H644" s="126"/>
      <c r="I644" s="127"/>
      <c r="J644" s="47"/>
      <c r="K644" s="5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47"/>
      <c r="D645" s="47"/>
      <c r="E645" s="47"/>
      <c r="F645" s="47"/>
      <c r="G645" s="47"/>
      <c r="H645" s="126"/>
      <c r="I645" s="127"/>
      <c r="J645" s="47"/>
      <c r="K645" s="5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47"/>
      <c r="D646" s="47"/>
      <c r="E646" s="47"/>
      <c r="F646" s="47"/>
      <c r="G646" s="47"/>
      <c r="H646" s="126"/>
      <c r="I646" s="127"/>
      <c r="J646" s="47"/>
      <c r="K646" s="5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47"/>
      <c r="D647" s="47"/>
      <c r="E647" s="47"/>
      <c r="F647" s="47"/>
      <c r="G647" s="47"/>
      <c r="H647" s="126"/>
      <c r="I647" s="127"/>
      <c r="J647" s="47"/>
      <c r="K647" s="5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47"/>
      <c r="D648" s="47"/>
      <c r="E648" s="47"/>
      <c r="F648" s="47"/>
      <c r="G648" s="47"/>
      <c r="H648" s="126"/>
      <c r="I648" s="127"/>
      <c r="J648" s="47"/>
      <c r="K648" s="5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47"/>
      <c r="D649" s="47"/>
      <c r="E649" s="47"/>
      <c r="F649" s="47"/>
      <c r="G649" s="47"/>
      <c r="H649" s="126"/>
      <c r="I649" s="127"/>
      <c r="J649" s="47"/>
      <c r="K649" s="5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47"/>
      <c r="D650" s="47"/>
      <c r="E650" s="47"/>
      <c r="F650" s="47"/>
      <c r="G650" s="47"/>
      <c r="H650" s="126"/>
      <c r="I650" s="127"/>
      <c r="J650" s="47"/>
      <c r="K650" s="5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47"/>
      <c r="D651" s="47"/>
      <c r="E651" s="47"/>
      <c r="F651" s="47"/>
      <c r="G651" s="47"/>
      <c r="H651" s="126"/>
      <c r="I651" s="127"/>
      <c r="J651" s="47"/>
      <c r="K651" s="5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47"/>
      <c r="D652" s="47"/>
      <c r="E652" s="47"/>
      <c r="F652" s="47"/>
      <c r="G652" s="47"/>
      <c r="H652" s="126"/>
      <c r="I652" s="127"/>
      <c r="J652" s="47"/>
      <c r="K652" s="5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47"/>
      <c r="D653" s="47"/>
      <c r="E653" s="47"/>
      <c r="F653" s="47"/>
      <c r="G653" s="47"/>
      <c r="H653" s="126"/>
      <c r="I653" s="127"/>
      <c r="J653" s="47"/>
      <c r="K653" s="5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47"/>
      <c r="D654" s="47"/>
      <c r="E654" s="47"/>
      <c r="F654" s="47"/>
      <c r="G654" s="47"/>
      <c r="H654" s="126"/>
      <c r="I654" s="127"/>
      <c r="J654" s="47"/>
      <c r="K654" s="5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47"/>
      <c r="D655" s="47"/>
      <c r="E655" s="47"/>
      <c r="F655" s="47"/>
      <c r="G655" s="47"/>
      <c r="H655" s="126"/>
      <c r="I655" s="127"/>
      <c r="J655" s="47"/>
      <c r="K655" s="5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47"/>
      <c r="D656" s="47"/>
      <c r="E656" s="47"/>
      <c r="F656" s="47"/>
      <c r="G656" s="47"/>
      <c r="H656" s="126"/>
      <c r="I656" s="127"/>
      <c r="J656" s="47"/>
      <c r="K656" s="5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47"/>
      <c r="D657" s="47"/>
      <c r="E657" s="47"/>
      <c r="F657" s="47"/>
      <c r="G657" s="47"/>
      <c r="H657" s="126"/>
      <c r="I657" s="127"/>
      <c r="J657" s="47"/>
      <c r="K657" s="5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47"/>
      <c r="D658" s="47"/>
      <c r="E658" s="47"/>
      <c r="F658" s="47"/>
      <c r="G658" s="47"/>
      <c r="H658" s="126"/>
      <c r="I658" s="127"/>
      <c r="J658" s="47"/>
      <c r="K658" s="5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47"/>
      <c r="D659" s="47"/>
      <c r="E659" s="47"/>
      <c r="F659" s="47"/>
      <c r="G659" s="47"/>
      <c r="H659" s="126"/>
      <c r="I659" s="127"/>
      <c r="J659" s="47"/>
      <c r="K659" s="5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47"/>
      <c r="D660" s="47"/>
      <c r="E660" s="47"/>
      <c r="F660" s="47"/>
      <c r="G660" s="47"/>
      <c r="H660" s="126"/>
      <c r="I660" s="127"/>
      <c r="J660" s="47"/>
      <c r="K660" s="5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47"/>
      <c r="D661" s="47"/>
      <c r="E661" s="47"/>
      <c r="F661" s="47"/>
      <c r="G661" s="47"/>
      <c r="H661" s="126"/>
      <c r="I661" s="127"/>
      <c r="J661" s="47"/>
      <c r="K661" s="5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47"/>
      <c r="D662" s="47"/>
      <c r="E662" s="47"/>
      <c r="F662" s="47"/>
      <c r="G662" s="47"/>
      <c r="H662" s="126"/>
      <c r="I662" s="127"/>
      <c r="J662" s="47"/>
      <c r="K662" s="5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47"/>
      <c r="D663" s="47"/>
      <c r="E663" s="47"/>
      <c r="F663" s="47"/>
      <c r="G663" s="47"/>
      <c r="H663" s="126"/>
      <c r="I663" s="127"/>
      <c r="J663" s="47"/>
      <c r="K663" s="5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47"/>
      <c r="D664" s="47"/>
      <c r="E664" s="47"/>
      <c r="F664" s="47"/>
      <c r="G664" s="47"/>
      <c r="H664" s="126"/>
      <c r="I664" s="127"/>
      <c r="J664" s="47"/>
      <c r="K664" s="5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47"/>
      <c r="D665" s="47"/>
      <c r="E665" s="47"/>
      <c r="F665" s="47"/>
      <c r="G665" s="47"/>
      <c r="H665" s="126"/>
      <c r="I665" s="127"/>
      <c r="J665" s="47"/>
      <c r="K665" s="5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47"/>
      <c r="D666" s="47"/>
      <c r="E666" s="47"/>
      <c r="F666" s="47"/>
      <c r="G666" s="47"/>
      <c r="H666" s="126"/>
      <c r="I666" s="127"/>
      <c r="J666" s="47"/>
      <c r="K666" s="5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47"/>
      <c r="D667" s="47"/>
      <c r="E667" s="47"/>
      <c r="F667" s="47"/>
      <c r="G667" s="47"/>
      <c r="H667" s="126"/>
      <c r="I667" s="127"/>
      <c r="J667" s="47"/>
      <c r="K667" s="5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47"/>
      <c r="D668" s="47"/>
      <c r="E668" s="47"/>
      <c r="F668" s="47"/>
      <c r="G668" s="47"/>
      <c r="H668" s="126"/>
      <c r="I668" s="127"/>
      <c r="J668" s="47"/>
      <c r="K668" s="5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47"/>
      <c r="D669" s="47"/>
      <c r="E669" s="47"/>
      <c r="F669" s="47"/>
      <c r="G669" s="47"/>
      <c r="H669" s="126"/>
      <c r="I669" s="127"/>
      <c r="J669" s="47"/>
      <c r="K669" s="5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47"/>
      <c r="D670" s="47"/>
      <c r="E670" s="47"/>
      <c r="F670" s="47"/>
      <c r="G670" s="47"/>
      <c r="H670" s="126"/>
      <c r="I670" s="127"/>
      <c r="J670" s="47"/>
      <c r="K670" s="5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47"/>
      <c r="D671" s="47"/>
      <c r="E671" s="47"/>
      <c r="F671" s="47"/>
      <c r="G671" s="47"/>
      <c r="H671" s="126"/>
      <c r="I671" s="127"/>
      <c r="J671" s="47"/>
      <c r="K671" s="5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47"/>
      <c r="D672" s="47"/>
      <c r="E672" s="47"/>
      <c r="F672" s="47"/>
      <c r="G672" s="47"/>
      <c r="H672" s="126"/>
      <c r="I672" s="127"/>
      <c r="J672" s="47"/>
      <c r="K672" s="5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47"/>
      <c r="D673" s="47"/>
      <c r="E673" s="47"/>
      <c r="F673" s="47"/>
      <c r="G673" s="47"/>
      <c r="H673" s="126"/>
      <c r="I673" s="127"/>
      <c r="J673" s="47"/>
      <c r="K673" s="5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47"/>
      <c r="D674" s="47"/>
      <c r="E674" s="47"/>
      <c r="F674" s="47"/>
      <c r="G674" s="47"/>
      <c r="H674" s="126"/>
      <c r="I674" s="127"/>
      <c r="J674" s="47"/>
      <c r="K674" s="5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47"/>
      <c r="D675" s="47"/>
      <c r="E675" s="47"/>
      <c r="F675" s="47"/>
      <c r="G675" s="47"/>
      <c r="H675" s="126"/>
      <c r="I675" s="127"/>
      <c r="J675" s="47"/>
      <c r="K675" s="5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47"/>
      <c r="D676" s="47"/>
      <c r="E676" s="47"/>
      <c r="F676" s="47"/>
      <c r="G676" s="47"/>
      <c r="H676" s="126"/>
      <c r="I676" s="127"/>
      <c r="J676" s="47"/>
      <c r="K676" s="5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47"/>
      <c r="D677" s="47"/>
      <c r="E677" s="47"/>
      <c r="F677" s="47"/>
      <c r="G677" s="47"/>
      <c r="H677" s="126"/>
      <c r="I677" s="127"/>
      <c r="J677" s="47"/>
      <c r="K677" s="5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47"/>
      <c r="D678" s="47"/>
      <c r="E678" s="47"/>
      <c r="F678" s="47"/>
      <c r="G678" s="47"/>
      <c r="H678" s="126"/>
      <c r="I678" s="127"/>
      <c r="J678" s="47"/>
      <c r="K678" s="5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47"/>
      <c r="D679" s="47"/>
      <c r="E679" s="47"/>
      <c r="F679" s="47"/>
      <c r="G679" s="47"/>
      <c r="H679" s="126"/>
      <c r="I679" s="127"/>
      <c r="J679" s="47"/>
      <c r="K679" s="5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47"/>
      <c r="D680" s="47"/>
      <c r="E680" s="47"/>
      <c r="F680" s="47"/>
      <c r="G680" s="47"/>
      <c r="H680" s="126"/>
      <c r="I680" s="127"/>
      <c r="J680" s="47"/>
      <c r="K680" s="5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47"/>
      <c r="D681" s="47"/>
      <c r="E681" s="47"/>
      <c r="F681" s="47"/>
      <c r="G681" s="47"/>
      <c r="H681" s="126"/>
      <c r="I681" s="127"/>
      <c r="J681" s="47"/>
      <c r="K681" s="5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47"/>
      <c r="D682" s="47"/>
      <c r="E682" s="47"/>
      <c r="F682" s="47"/>
      <c r="G682" s="47"/>
      <c r="H682" s="126"/>
      <c r="I682" s="127"/>
      <c r="J682" s="47"/>
      <c r="K682" s="5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47"/>
      <c r="D683" s="47"/>
      <c r="E683" s="47"/>
      <c r="F683" s="47"/>
      <c r="G683" s="47"/>
      <c r="H683" s="126"/>
      <c r="I683" s="127"/>
      <c r="J683" s="47"/>
      <c r="K683" s="5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47"/>
      <c r="D684" s="47"/>
      <c r="E684" s="47"/>
      <c r="F684" s="47"/>
      <c r="G684" s="47"/>
      <c r="H684" s="126"/>
      <c r="I684" s="127"/>
      <c r="J684" s="47"/>
      <c r="K684" s="5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47"/>
      <c r="D685" s="47"/>
      <c r="E685" s="47"/>
      <c r="F685" s="47"/>
      <c r="G685" s="47"/>
      <c r="H685" s="126"/>
      <c r="I685" s="127"/>
      <c r="J685" s="47"/>
      <c r="K685" s="5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47"/>
      <c r="D686" s="47"/>
      <c r="E686" s="47"/>
      <c r="F686" s="47"/>
      <c r="G686" s="47"/>
      <c r="H686" s="126"/>
      <c r="I686" s="127"/>
      <c r="J686" s="47"/>
      <c r="K686" s="5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47"/>
      <c r="D687" s="47"/>
      <c r="E687" s="47"/>
      <c r="F687" s="47"/>
      <c r="G687" s="47"/>
      <c r="H687" s="126"/>
      <c r="I687" s="127"/>
      <c r="J687" s="47"/>
      <c r="K687" s="5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47"/>
      <c r="D688" s="47"/>
      <c r="E688" s="47"/>
      <c r="F688" s="47"/>
      <c r="G688" s="47"/>
      <c r="H688" s="126"/>
      <c r="I688" s="127"/>
      <c r="J688" s="47"/>
      <c r="K688" s="5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47"/>
      <c r="D689" s="47"/>
      <c r="E689" s="47"/>
      <c r="F689" s="47"/>
      <c r="G689" s="47"/>
      <c r="H689" s="126"/>
      <c r="I689" s="127"/>
      <c r="J689" s="47"/>
      <c r="K689" s="5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47"/>
      <c r="D690" s="47"/>
      <c r="E690" s="47"/>
      <c r="F690" s="47"/>
      <c r="G690" s="47"/>
      <c r="H690" s="126"/>
      <c r="I690" s="127"/>
      <c r="J690" s="47"/>
      <c r="K690" s="5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47"/>
      <c r="D691" s="47"/>
      <c r="E691" s="47"/>
      <c r="F691" s="47"/>
      <c r="G691" s="47"/>
      <c r="H691" s="126"/>
      <c r="I691" s="127"/>
      <c r="J691" s="47"/>
      <c r="K691" s="5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47"/>
      <c r="D692" s="47"/>
      <c r="E692" s="47"/>
      <c r="F692" s="47"/>
      <c r="G692" s="47"/>
      <c r="H692" s="126"/>
      <c r="I692" s="127"/>
      <c r="J692" s="47"/>
      <c r="K692" s="5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47"/>
      <c r="D693" s="47"/>
      <c r="E693" s="47"/>
      <c r="F693" s="47"/>
      <c r="G693" s="47"/>
      <c r="H693" s="126"/>
      <c r="I693" s="127"/>
      <c r="J693" s="47"/>
      <c r="K693" s="5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47"/>
      <c r="D694" s="47"/>
      <c r="E694" s="47"/>
      <c r="F694" s="47"/>
      <c r="G694" s="47"/>
      <c r="H694" s="126"/>
      <c r="I694" s="127"/>
      <c r="J694" s="47"/>
      <c r="K694" s="5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47"/>
      <c r="D695" s="47"/>
      <c r="E695" s="47"/>
      <c r="F695" s="47"/>
      <c r="G695" s="47"/>
      <c r="H695" s="126"/>
      <c r="I695" s="127"/>
      <c r="J695" s="47"/>
      <c r="K695" s="5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47"/>
      <c r="D696" s="47"/>
      <c r="E696" s="47"/>
      <c r="F696" s="47"/>
      <c r="G696" s="47"/>
      <c r="H696" s="126"/>
      <c r="I696" s="127"/>
      <c r="J696" s="47"/>
      <c r="K696" s="5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47"/>
      <c r="D697" s="47"/>
      <c r="E697" s="47"/>
      <c r="F697" s="47"/>
      <c r="G697" s="47"/>
      <c r="H697" s="126"/>
      <c r="I697" s="127"/>
      <c r="J697" s="47"/>
      <c r="K697" s="5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47"/>
      <c r="D698" s="47"/>
      <c r="E698" s="47"/>
      <c r="F698" s="47"/>
      <c r="G698" s="47"/>
      <c r="H698" s="126"/>
      <c r="I698" s="127"/>
      <c r="J698" s="47"/>
      <c r="K698" s="5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47"/>
      <c r="D699" s="47"/>
      <c r="E699" s="47"/>
      <c r="F699" s="47"/>
      <c r="G699" s="47"/>
      <c r="H699" s="126"/>
      <c r="I699" s="127"/>
      <c r="J699" s="47"/>
      <c r="K699" s="5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47"/>
      <c r="D700" s="47"/>
      <c r="E700" s="47"/>
      <c r="F700" s="47"/>
      <c r="G700" s="47"/>
      <c r="H700" s="126"/>
      <c r="I700" s="127"/>
      <c r="J700" s="47"/>
      <c r="K700" s="5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47"/>
      <c r="D701" s="47"/>
      <c r="E701" s="47"/>
      <c r="F701" s="47"/>
      <c r="G701" s="47"/>
      <c r="H701" s="126"/>
      <c r="I701" s="127"/>
      <c r="J701" s="47"/>
      <c r="K701" s="5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47"/>
      <c r="D702" s="47"/>
      <c r="E702" s="47"/>
      <c r="F702" s="47"/>
      <c r="G702" s="47"/>
      <c r="H702" s="126"/>
      <c r="I702" s="127"/>
      <c r="J702" s="47"/>
      <c r="K702" s="5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47"/>
      <c r="D703" s="47"/>
      <c r="E703" s="47"/>
      <c r="F703" s="47"/>
      <c r="G703" s="47"/>
      <c r="H703" s="126"/>
      <c r="I703" s="127"/>
      <c r="J703" s="47"/>
      <c r="K703" s="5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47"/>
      <c r="D704" s="47"/>
      <c r="E704" s="47"/>
      <c r="F704" s="47"/>
      <c r="G704" s="47"/>
      <c r="H704" s="126"/>
      <c r="I704" s="127"/>
      <c r="J704" s="47"/>
      <c r="K704" s="5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47"/>
      <c r="D705" s="47"/>
      <c r="E705" s="47"/>
      <c r="F705" s="47"/>
      <c r="G705" s="47"/>
      <c r="H705" s="126"/>
      <c r="I705" s="127"/>
      <c r="J705" s="47"/>
      <c r="K705" s="5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47"/>
      <c r="D706" s="47"/>
      <c r="E706" s="47"/>
      <c r="F706" s="47"/>
      <c r="G706" s="47"/>
      <c r="H706" s="126"/>
      <c r="I706" s="127"/>
      <c r="J706" s="47"/>
      <c r="K706" s="5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47"/>
      <c r="D707" s="47"/>
      <c r="E707" s="47"/>
      <c r="F707" s="47"/>
      <c r="G707" s="47"/>
      <c r="H707" s="126"/>
      <c r="I707" s="127"/>
      <c r="J707" s="47"/>
      <c r="K707" s="5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47"/>
      <c r="D708" s="47"/>
      <c r="E708" s="47"/>
      <c r="F708" s="47"/>
      <c r="G708" s="47"/>
      <c r="H708" s="126"/>
      <c r="I708" s="127"/>
      <c r="J708" s="47"/>
      <c r="K708" s="5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47"/>
      <c r="D709" s="47"/>
      <c r="E709" s="47"/>
      <c r="F709" s="47"/>
      <c r="G709" s="47"/>
      <c r="H709" s="126"/>
      <c r="I709" s="127"/>
      <c r="J709" s="47"/>
      <c r="K709" s="5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47"/>
      <c r="D710" s="47"/>
      <c r="E710" s="47"/>
      <c r="F710" s="47"/>
      <c r="G710" s="47"/>
      <c r="H710" s="126"/>
      <c r="I710" s="127"/>
      <c r="J710" s="47"/>
      <c r="K710" s="5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47"/>
      <c r="D711" s="47"/>
      <c r="E711" s="47"/>
      <c r="F711" s="47"/>
      <c r="G711" s="47"/>
      <c r="H711" s="126"/>
      <c r="I711" s="127"/>
      <c r="J711" s="47"/>
      <c r="K711" s="5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47"/>
      <c r="D712" s="47"/>
      <c r="E712" s="47"/>
      <c r="F712" s="47"/>
      <c r="G712" s="47"/>
      <c r="H712" s="126"/>
      <c r="I712" s="127"/>
      <c r="J712" s="47"/>
      <c r="K712" s="5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47"/>
      <c r="D713" s="47"/>
      <c r="E713" s="47"/>
      <c r="F713" s="47"/>
      <c r="G713" s="47"/>
      <c r="H713" s="126"/>
      <c r="I713" s="127"/>
      <c r="J713" s="47"/>
      <c r="K713" s="5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47"/>
      <c r="D714" s="47"/>
      <c r="E714" s="47"/>
      <c r="F714" s="47"/>
      <c r="G714" s="47"/>
      <c r="H714" s="126"/>
      <c r="I714" s="127"/>
      <c r="J714" s="47"/>
      <c r="K714" s="5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47"/>
      <c r="D715" s="47"/>
      <c r="E715" s="47"/>
      <c r="F715" s="47"/>
      <c r="G715" s="47"/>
      <c r="H715" s="126"/>
      <c r="I715" s="127"/>
      <c r="J715" s="47"/>
      <c r="K715" s="5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47"/>
      <c r="D716" s="47"/>
      <c r="E716" s="47"/>
      <c r="F716" s="47"/>
      <c r="G716" s="47"/>
      <c r="H716" s="126"/>
      <c r="I716" s="127"/>
      <c r="J716" s="47"/>
      <c r="K716" s="5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47"/>
      <c r="D717" s="47"/>
      <c r="E717" s="47"/>
      <c r="F717" s="47"/>
      <c r="G717" s="47"/>
      <c r="H717" s="126"/>
      <c r="I717" s="127"/>
      <c r="J717" s="47"/>
      <c r="K717" s="5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47"/>
      <c r="D718" s="47"/>
      <c r="E718" s="47"/>
      <c r="F718" s="47"/>
      <c r="G718" s="47"/>
      <c r="H718" s="126"/>
      <c r="I718" s="127"/>
      <c r="J718" s="47"/>
      <c r="K718" s="5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47"/>
      <c r="D719" s="47"/>
      <c r="E719" s="47"/>
      <c r="F719" s="47"/>
      <c r="G719" s="47"/>
      <c r="H719" s="126"/>
      <c r="I719" s="127"/>
      <c r="J719" s="47"/>
      <c r="K719" s="5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47"/>
      <c r="D720" s="47"/>
      <c r="E720" s="47"/>
      <c r="F720" s="47"/>
      <c r="G720" s="47"/>
      <c r="H720" s="126"/>
      <c r="I720" s="127"/>
      <c r="J720" s="47"/>
      <c r="K720" s="5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47"/>
      <c r="D721" s="47"/>
      <c r="E721" s="47"/>
      <c r="F721" s="47"/>
      <c r="G721" s="47"/>
      <c r="H721" s="126"/>
      <c r="I721" s="127"/>
      <c r="J721" s="47"/>
      <c r="K721" s="5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47"/>
      <c r="D722" s="47"/>
      <c r="E722" s="47"/>
      <c r="F722" s="47"/>
      <c r="G722" s="47"/>
      <c r="H722" s="126"/>
      <c r="I722" s="127"/>
      <c r="J722" s="47"/>
      <c r="K722" s="5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47"/>
      <c r="D723" s="47"/>
      <c r="E723" s="47"/>
      <c r="F723" s="47"/>
      <c r="G723" s="47"/>
      <c r="H723" s="126"/>
      <c r="I723" s="127"/>
      <c r="J723" s="47"/>
      <c r="K723" s="5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47"/>
      <c r="D724" s="47"/>
      <c r="E724" s="47"/>
      <c r="F724" s="47"/>
      <c r="G724" s="47"/>
      <c r="H724" s="126"/>
      <c r="I724" s="127"/>
      <c r="J724" s="47"/>
      <c r="K724" s="5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47"/>
      <c r="D725" s="47"/>
      <c r="E725" s="47"/>
      <c r="F725" s="47"/>
      <c r="G725" s="47"/>
      <c r="H725" s="126"/>
      <c r="I725" s="127"/>
      <c r="J725" s="47"/>
      <c r="K725" s="5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47"/>
      <c r="D726" s="47"/>
      <c r="E726" s="47"/>
      <c r="F726" s="47"/>
      <c r="G726" s="47"/>
      <c r="H726" s="126"/>
      <c r="I726" s="127"/>
      <c r="J726" s="47"/>
      <c r="K726" s="5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47"/>
      <c r="D727" s="47"/>
      <c r="E727" s="47"/>
      <c r="F727" s="47"/>
      <c r="G727" s="47"/>
      <c r="H727" s="126"/>
      <c r="I727" s="127"/>
      <c r="J727" s="47"/>
      <c r="K727" s="5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47"/>
      <c r="D728" s="47"/>
      <c r="E728" s="47"/>
      <c r="F728" s="47"/>
      <c r="G728" s="47"/>
      <c r="H728" s="126"/>
      <c r="I728" s="127"/>
      <c r="J728" s="47"/>
      <c r="K728" s="5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47"/>
      <c r="D729" s="47"/>
      <c r="E729" s="47"/>
      <c r="F729" s="47"/>
      <c r="G729" s="47"/>
      <c r="H729" s="126"/>
      <c r="I729" s="127"/>
      <c r="J729" s="47"/>
      <c r="K729" s="5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47"/>
      <c r="D730" s="47"/>
      <c r="E730" s="47"/>
      <c r="F730" s="47"/>
      <c r="G730" s="47"/>
      <c r="H730" s="126"/>
      <c r="I730" s="127"/>
      <c r="J730" s="47"/>
      <c r="K730" s="5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47"/>
      <c r="D731" s="47"/>
      <c r="E731" s="47"/>
      <c r="F731" s="47"/>
      <c r="G731" s="47"/>
      <c r="H731" s="126"/>
      <c r="I731" s="127"/>
      <c r="J731" s="47"/>
      <c r="K731" s="5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47"/>
      <c r="D732" s="47"/>
      <c r="E732" s="47"/>
      <c r="F732" s="47"/>
      <c r="G732" s="47"/>
      <c r="H732" s="126"/>
      <c r="I732" s="127"/>
      <c r="J732" s="47"/>
      <c r="K732" s="5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47"/>
      <c r="D733" s="47"/>
      <c r="E733" s="47"/>
      <c r="F733" s="47"/>
      <c r="G733" s="47"/>
      <c r="H733" s="126"/>
      <c r="I733" s="127"/>
      <c r="J733" s="47"/>
      <c r="K733" s="5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47"/>
      <c r="D734" s="47"/>
      <c r="E734" s="47"/>
      <c r="F734" s="47"/>
      <c r="G734" s="47"/>
      <c r="H734" s="126"/>
      <c r="I734" s="127"/>
      <c r="J734" s="47"/>
      <c r="K734" s="5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47"/>
      <c r="D735" s="47"/>
      <c r="E735" s="47"/>
      <c r="F735" s="47"/>
      <c r="G735" s="47"/>
      <c r="H735" s="126"/>
      <c r="I735" s="127"/>
      <c r="J735" s="47"/>
      <c r="K735" s="5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47"/>
      <c r="D736" s="47"/>
      <c r="E736" s="47"/>
      <c r="F736" s="47"/>
      <c r="G736" s="47"/>
      <c r="H736" s="126"/>
      <c r="I736" s="127"/>
      <c r="J736" s="47"/>
      <c r="K736" s="5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47"/>
      <c r="D737" s="47"/>
      <c r="E737" s="47"/>
      <c r="F737" s="47"/>
      <c r="G737" s="47"/>
      <c r="H737" s="126"/>
      <c r="I737" s="127"/>
      <c r="J737" s="47"/>
      <c r="K737" s="5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47"/>
      <c r="D738" s="47"/>
      <c r="E738" s="47"/>
      <c r="F738" s="47"/>
      <c r="G738" s="47"/>
      <c r="H738" s="126"/>
      <c r="I738" s="127"/>
      <c r="J738" s="47"/>
      <c r="K738" s="5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47"/>
      <c r="D739" s="47"/>
      <c r="E739" s="47"/>
      <c r="F739" s="47"/>
      <c r="G739" s="47"/>
      <c r="H739" s="126"/>
      <c r="I739" s="127"/>
      <c r="J739" s="47"/>
      <c r="K739" s="5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47"/>
      <c r="D740" s="47"/>
      <c r="E740" s="47"/>
      <c r="F740" s="47"/>
      <c r="G740" s="47"/>
      <c r="H740" s="126"/>
      <c r="I740" s="127"/>
      <c r="J740" s="47"/>
      <c r="K740" s="5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47"/>
      <c r="D741" s="47"/>
      <c r="E741" s="47"/>
      <c r="F741" s="47"/>
      <c r="G741" s="47"/>
      <c r="H741" s="126"/>
      <c r="I741" s="127"/>
      <c r="J741" s="47"/>
      <c r="K741" s="5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47"/>
      <c r="D742" s="47"/>
      <c r="E742" s="47"/>
      <c r="F742" s="47"/>
      <c r="G742" s="47"/>
      <c r="H742" s="126"/>
      <c r="I742" s="127"/>
      <c r="J742" s="47"/>
      <c r="K742" s="5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47"/>
      <c r="D743" s="47"/>
      <c r="E743" s="47"/>
      <c r="F743" s="47"/>
      <c r="G743" s="47"/>
      <c r="H743" s="126"/>
      <c r="I743" s="127"/>
      <c r="J743" s="47"/>
      <c r="K743" s="5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47"/>
      <c r="D744" s="47"/>
      <c r="E744" s="47"/>
      <c r="F744" s="47"/>
      <c r="G744" s="47"/>
      <c r="H744" s="126"/>
      <c r="I744" s="127"/>
      <c r="J744" s="47"/>
      <c r="K744" s="5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47"/>
      <c r="D745" s="47"/>
      <c r="E745" s="47"/>
      <c r="F745" s="47"/>
      <c r="G745" s="47"/>
      <c r="H745" s="126"/>
      <c r="I745" s="127"/>
      <c r="J745" s="47"/>
      <c r="K745" s="5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47"/>
      <c r="D746" s="47"/>
      <c r="E746" s="47"/>
      <c r="F746" s="47"/>
      <c r="G746" s="47"/>
      <c r="H746" s="126"/>
      <c r="I746" s="127"/>
      <c r="J746" s="47"/>
      <c r="K746" s="5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47"/>
      <c r="D747" s="47"/>
      <c r="E747" s="47"/>
      <c r="F747" s="47"/>
      <c r="G747" s="47"/>
      <c r="H747" s="126"/>
      <c r="I747" s="127"/>
      <c r="J747" s="47"/>
      <c r="K747" s="5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47"/>
      <c r="D748" s="47"/>
      <c r="E748" s="47"/>
      <c r="F748" s="47"/>
      <c r="G748" s="47"/>
      <c r="H748" s="126"/>
      <c r="I748" s="127"/>
      <c r="J748" s="47"/>
      <c r="K748" s="5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47"/>
      <c r="D749" s="47"/>
      <c r="E749" s="47"/>
      <c r="F749" s="47"/>
      <c r="G749" s="47"/>
      <c r="H749" s="126"/>
      <c r="I749" s="127"/>
      <c r="J749" s="47"/>
      <c r="K749" s="5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47"/>
      <c r="D750" s="47"/>
      <c r="E750" s="47"/>
      <c r="F750" s="47"/>
      <c r="G750" s="47"/>
      <c r="H750" s="126"/>
      <c r="I750" s="127"/>
      <c r="J750" s="47"/>
      <c r="K750" s="5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47"/>
      <c r="D751" s="47"/>
      <c r="E751" s="47"/>
      <c r="F751" s="47"/>
      <c r="G751" s="47"/>
      <c r="H751" s="126"/>
      <c r="I751" s="127"/>
      <c r="J751" s="47"/>
      <c r="K751" s="5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47"/>
      <c r="D752" s="47"/>
      <c r="E752" s="47"/>
      <c r="F752" s="47"/>
      <c r="G752" s="47"/>
      <c r="H752" s="126"/>
      <c r="I752" s="127"/>
      <c r="J752" s="47"/>
      <c r="K752" s="5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47"/>
      <c r="D753" s="47"/>
      <c r="E753" s="47"/>
      <c r="F753" s="47"/>
      <c r="G753" s="47"/>
      <c r="H753" s="126"/>
      <c r="I753" s="127"/>
      <c r="J753" s="47"/>
      <c r="K753" s="5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47"/>
      <c r="D754" s="47"/>
      <c r="E754" s="47"/>
      <c r="F754" s="47"/>
      <c r="G754" s="47"/>
      <c r="H754" s="126"/>
      <c r="I754" s="127"/>
      <c r="J754" s="47"/>
      <c r="K754" s="5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47"/>
      <c r="D755" s="47"/>
      <c r="E755" s="47"/>
      <c r="F755" s="47"/>
      <c r="G755" s="47"/>
      <c r="H755" s="126"/>
      <c r="I755" s="127"/>
      <c r="J755" s="47"/>
      <c r="K755" s="5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47"/>
      <c r="D756" s="47"/>
      <c r="E756" s="47"/>
      <c r="F756" s="47"/>
      <c r="G756" s="47"/>
      <c r="H756" s="126"/>
      <c r="I756" s="127"/>
      <c r="J756" s="47"/>
      <c r="K756" s="5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47"/>
      <c r="D757" s="47"/>
      <c r="E757" s="47"/>
      <c r="F757" s="47"/>
      <c r="G757" s="47"/>
      <c r="H757" s="126"/>
      <c r="I757" s="127"/>
      <c r="J757" s="47"/>
      <c r="K757" s="5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47"/>
      <c r="D758" s="47"/>
      <c r="E758" s="47"/>
      <c r="F758" s="47"/>
      <c r="G758" s="47"/>
      <c r="H758" s="126"/>
      <c r="I758" s="127"/>
      <c r="J758" s="47"/>
      <c r="K758" s="5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47"/>
      <c r="D759" s="47"/>
      <c r="E759" s="47"/>
      <c r="F759" s="47"/>
      <c r="G759" s="47"/>
      <c r="H759" s="126"/>
      <c r="I759" s="127"/>
      <c r="J759" s="47"/>
      <c r="K759" s="5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47"/>
      <c r="D760" s="47"/>
      <c r="E760" s="47"/>
      <c r="F760" s="47"/>
      <c r="G760" s="47"/>
      <c r="H760" s="126"/>
      <c r="I760" s="127"/>
      <c r="J760" s="47"/>
      <c r="K760" s="5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47"/>
      <c r="D761" s="47"/>
      <c r="E761" s="47"/>
      <c r="F761" s="47"/>
      <c r="G761" s="47"/>
      <c r="H761" s="126"/>
      <c r="I761" s="127"/>
      <c r="J761" s="47"/>
      <c r="K761" s="5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47"/>
      <c r="D762" s="47"/>
      <c r="E762" s="47"/>
      <c r="F762" s="47"/>
      <c r="G762" s="47"/>
      <c r="H762" s="126"/>
      <c r="I762" s="127"/>
      <c r="J762" s="47"/>
      <c r="K762" s="5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47"/>
      <c r="D763" s="47"/>
      <c r="E763" s="47"/>
      <c r="F763" s="47"/>
      <c r="G763" s="47"/>
      <c r="H763" s="126"/>
      <c r="I763" s="127"/>
      <c r="J763" s="47"/>
      <c r="K763" s="5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47"/>
      <c r="D764" s="47"/>
      <c r="E764" s="47"/>
      <c r="F764" s="47"/>
      <c r="G764" s="47"/>
      <c r="H764" s="126"/>
      <c r="I764" s="127"/>
      <c r="J764" s="47"/>
      <c r="K764" s="5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47"/>
      <c r="D765" s="47"/>
      <c r="E765" s="47"/>
      <c r="F765" s="47"/>
      <c r="G765" s="47"/>
      <c r="H765" s="126"/>
      <c r="I765" s="127"/>
      <c r="J765" s="47"/>
      <c r="K765" s="5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47"/>
      <c r="D766" s="47"/>
      <c r="E766" s="47"/>
      <c r="F766" s="47"/>
      <c r="G766" s="47"/>
      <c r="H766" s="126"/>
      <c r="I766" s="127"/>
      <c r="J766" s="47"/>
      <c r="K766" s="5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47"/>
      <c r="D767" s="47"/>
      <c r="E767" s="47"/>
      <c r="F767" s="47"/>
      <c r="G767" s="47"/>
      <c r="H767" s="126"/>
      <c r="I767" s="127"/>
      <c r="J767" s="47"/>
      <c r="K767" s="5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47"/>
      <c r="D768" s="47"/>
      <c r="E768" s="47"/>
      <c r="F768" s="47"/>
      <c r="G768" s="47"/>
      <c r="H768" s="126"/>
      <c r="I768" s="127"/>
      <c r="J768" s="47"/>
      <c r="K768" s="5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47"/>
      <c r="D769" s="47"/>
      <c r="E769" s="47"/>
      <c r="F769" s="47"/>
      <c r="G769" s="47"/>
      <c r="H769" s="126"/>
      <c r="I769" s="127"/>
      <c r="J769" s="47"/>
      <c r="K769" s="5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47"/>
      <c r="D770" s="47"/>
      <c r="E770" s="47"/>
      <c r="F770" s="47"/>
      <c r="G770" s="47"/>
      <c r="H770" s="126"/>
      <c r="I770" s="127"/>
      <c r="J770" s="47"/>
      <c r="K770" s="5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47"/>
      <c r="D771" s="47"/>
      <c r="E771" s="47"/>
      <c r="F771" s="47"/>
      <c r="G771" s="47"/>
      <c r="H771" s="126"/>
      <c r="I771" s="127"/>
      <c r="J771" s="47"/>
      <c r="K771" s="5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47"/>
      <c r="D772" s="47"/>
      <c r="E772" s="47"/>
      <c r="F772" s="47"/>
      <c r="G772" s="47"/>
      <c r="H772" s="126"/>
      <c r="I772" s="127"/>
      <c r="J772" s="47"/>
      <c r="K772" s="5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47"/>
      <c r="D773" s="47"/>
      <c r="E773" s="47"/>
      <c r="F773" s="47"/>
      <c r="G773" s="47"/>
      <c r="H773" s="126"/>
      <c r="I773" s="127"/>
      <c r="J773" s="47"/>
      <c r="K773" s="5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47"/>
      <c r="D774" s="47"/>
      <c r="E774" s="47"/>
      <c r="F774" s="47"/>
      <c r="G774" s="47"/>
      <c r="H774" s="126"/>
      <c r="I774" s="127"/>
      <c r="J774" s="47"/>
      <c r="K774" s="5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47"/>
      <c r="D775" s="47"/>
      <c r="E775" s="47"/>
      <c r="F775" s="47"/>
      <c r="G775" s="47"/>
      <c r="H775" s="126"/>
      <c r="I775" s="127"/>
      <c r="J775" s="47"/>
      <c r="K775" s="5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47"/>
      <c r="D776" s="47"/>
      <c r="E776" s="47"/>
      <c r="F776" s="47"/>
      <c r="G776" s="47"/>
      <c r="H776" s="126"/>
      <c r="I776" s="127"/>
      <c r="J776" s="47"/>
      <c r="K776" s="5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47"/>
      <c r="D777" s="47"/>
      <c r="E777" s="47"/>
      <c r="F777" s="47"/>
      <c r="G777" s="47"/>
      <c r="H777" s="126"/>
      <c r="I777" s="127"/>
      <c r="J777" s="47"/>
      <c r="K777" s="5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47"/>
      <c r="D778" s="47"/>
      <c r="E778" s="47"/>
      <c r="F778" s="47"/>
      <c r="G778" s="47"/>
      <c r="H778" s="126"/>
      <c r="I778" s="127"/>
      <c r="J778" s="47"/>
      <c r="K778" s="5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47"/>
      <c r="D779" s="47"/>
      <c r="E779" s="47"/>
      <c r="F779" s="47"/>
      <c r="G779" s="47"/>
      <c r="H779" s="126"/>
      <c r="I779" s="127"/>
      <c r="J779" s="47"/>
      <c r="K779" s="5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47"/>
      <c r="D780" s="47"/>
      <c r="E780" s="47"/>
      <c r="F780" s="47"/>
      <c r="G780" s="47"/>
      <c r="H780" s="126"/>
      <c r="I780" s="127"/>
      <c r="J780" s="47"/>
      <c r="K780" s="5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47"/>
      <c r="D781" s="47"/>
      <c r="E781" s="47"/>
      <c r="F781" s="47"/>
      <c r="G781" s="47"/>
      <c r="H781" s="126"/>
      <c r="I781" s="127"/>
      <c r="J781" s="47"/>
      <c r="K781" s="5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47"/>
      <c r="D782" s="47"/>
      <c r="E782" s="47"/>
      <c r="F782" s="47"/>
      <c r="G782" s="47"/>
      <c r="H782" s="126"/>
      <c r="I782" s="127"/>
      <c r="J782" s="47"/>
      <c r="K782" s="5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47"/>
      <c r="D783" s="47"/>
      <c r="E783" s="47"/>
      <c r="F783" s="47"/>
      <c r="G783" s="47"/>
      <c r="H783" s="126"/>
      <c r="I783" s="127"/>
      <c r="J783" s="47"/>
      <c r="K783" s="5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47"/>
      <c r="D784" s="47"/>
      <c r="E784" s="47"/>
      <c r="F784" s="47"/>
      <c r="G784" s="47"/>
      <c r="H784" s="126"/>
      <c r="I784" s="127"/>
      <c r="J784" s="47"/>
      <c r="K784" s="5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47"/>
      <c r="D785" s="47"/>
      <c r="E785" s="47"/>
      <c r="F785" s="47"/>
      <c r="G785" s="47"/>
      <c r="H785" s="126"/>
      <c r="I785" s="127"/>
      <c r="J785" s="47"/>
      <c r="K785" s="5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47"/>
      <c r="D786" s="47"/>
      <c r="E786" s="47"/>
      <c r="F786" s="47"/>
      <c r="G786" s="47"/>
      <c r="H786" s="126"/>
      <c r="I786" s="127"/>
      <c r="J786" s="47"/>
      <c r="K786" s="5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47"/>
      <c r="D787" s="47"/>
      <c r="E787" s="47"/>
      <c r="F787" s="47"/>
      <c r="G787" s="47"/>
      <c r="H787" s="126"/>
      <c r="I787" s="127"/>
      <c r="J787" s="47"/>
      <c r="K787" s="5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47"/>
      <c r="D788" s="47"/>
      <c r="E788" s="47"/>
      <c r="F788" s="47"/>
      <c r="G788" s="47"/>
      <c r="H788" s="126"/>
      <c r="I788" s="127"/>
      <c r="J788" s="47"/>
      <c r="K788" s="5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47"/>
      <c r="D789" s="47"/>
      <c r="E789" s="47"/>
      <c r="F789" s="47"/>
      <c r="G789" s="47"/>
      <c r="H789" s="126"/>
      <c r="I789" s="127"/>
      <c r="J789" s="47"/>
      <c r="K789" s="5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47"/>
      <c r="D790" s="47"/>
      <c r="E790" s="47"/>
      <c r="F790" s="47"/>
      <c r="G790" s="47"/>
      <c r="H790" s="126"/>
      <c r="I790" s="127"/>
      <c r="J790" s="47"/>
      <c r="K790" s="5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47"/>
      <c r="D791" s="47"/>
      <c r="E791" s="47"/>
      <c r="F791" s="47"/>
      <c r="G791" s="47"/>
      <c r="H791" s="126"/>
      <c r="I791" s="127"/>
      <c r="J791" s="47"/>
      <c r="K791" s="5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47"/>
      <c r="D792" s="47"/>
      <c r="E792" s="47"/>
      <c r="F792" s="47"/>
      <c r="G792" s="47"/>
      <c r="H792" s="126"/>
      <c r="I792" s="127"/>
      <c r="J792" s="47"/>
      <c r="K792" s="5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47"/>
      <c r="D793" s="47"/>
      <c r="E793" s="47"/>
      <c r="F793" s="47"/>
      <c r="G793" s="47"/>
      <c r="H793" s="126"/>
      <c r="I793" s="127"/>
      <c r="J793" s="47"/>
      <c r="K793" s="5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47"/>
      <c r="D794" s="47"/>
      <c r="E794" s="47"/>
      <c r="F794" s="47"/>
      <c r="G794" s="47"/>
      <c r="H794" s="126"/>
      <c r="I794" s="127"/>
      <c r="J794" s="47"/>
      <c r="K794" s="5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47"/>
      <c r="D795" s="47"/>
      <c r="E795" s="47"/>
      <c r="F795" s="47"/>
      <c r="G795" s="47"/>
      <c r="H795" s="126"/>
      <c r="I795" s="127"/>
      <c r="J795" s="47"/>
      <c r="K795" s="5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47"/>
      <c r="D796" s="47"/>
      <c r="E796" s="47"/>
      <c r="F796" s="47"/>
      <c r="G796" s="47"/>
      <c r="H796" s="126"/>
      <c r="I796" s="127"/>
      <c r="J796" s="47"/>
      <c r="K796" s="5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47"/>
      <c r="D797" s="47"/>
      <c r="E797" s="47"/>
      <c r="F797" s="47"/>
      <c r="G797" s="47"/>
      <c r="H797" s="126"/>
      <c r="I797" s="127"/>
      <c r="J797" s="47"/>
      <c r="K797" s="5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47"/>
      <c r="D798" s="47"/>
      <c r="E798" s="47"/>
      <c r="F798" s="47"/>
      <c r="G798" s="47"/>
      <c r="H798" s="126"/>
      <c r="I798" s="127"/>
      <c r="J798" s="47"/>
      <c r="K798" s="5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47"/>
      <c r="D799" s="47"/>
      <c r="E799" s="47"/>
      <c r="F799" s="47"/>
      <c r="G799" s="47"/>
      <c r="H799" s="126"/>
      <c r="I799" s="127"/>
      <c r="J799" s="47"/>
      <c r="K799" s="5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47"/>
      <c r="D800" s="47"/>
      <c r="E800" s="47"/>
      <c r="F800" s="47"/>
      <c r="G800" s="47"/>
      <c r="H800" s="126"/>
      <c r="I800" s="127"/>
      <c r="J800" s="47"/>
      <c r="K800" s="5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47"/>
      <c r="D801" s="47"/>
      <c r="E801" s="47"/>
      <c r="F801" s="47"/>
      <c r="G801" s="47"/>
      <c r="H801" s="126"/>
      <c r="I801" s="127"/>
      <c r="J801" s="47"/>
      <c r="K801" s="5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47"/>
      <c r="D802" s="47"/>
      <c r="E802" s="47"/>
      <c r="F802" s="47"/>
      <c r="G802" s="47"/>
      <c r="H802" s="126"/>
      <c r="I802" s="127"/>
      <c r="J802" s="47"/>
      <c r="K802" s="5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47"/>
      <c r="D803" s="47"/>
      <c r="E803" s="47"/>
      <c r="F803" s="47"/>
      <c r="G803" s="47"/>
      <c r="H803" s="126"/>
      <c r="I803" s="127"/>
      <c r="J803" s="47"/>
      <c r="K803" s="5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47"/>
      <c r="D804" s="47"/>
      <c r="E804" s="47"/>
      <c r="F804" s="47"/>
      <c r="G804" s="47"/>
      <c r="H804" s="126"/>
      <c r="I804" s="127"/>
      <c r="J804" s="47"/>
      <c r="K804" s="5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47"/>
      <c r="D805" s="47"/>
      <c r="E805" s="47"/>
      <c r="F805" s="47"/>
      <c r="G805" s="47"/>
      <c r="H805" s="126"/>
      <c r="I805" s="127"/>
      <c r="J805" s="47"/>
      <c r="K805" s="5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47"/>
      <c r="D806" s="47"/>
      <c r="E806" s="47"/>
      <c r="F806" s="47"/>
      <c r="G806" s="47"/>
      <c r="H806" s="126"/>
      <c r="I806" s="127"/>
      <c r="J806" s="47"/>
      <c r="K806" s="5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47"/>
      <c r="D807" s="47"/>
      <c r="E807" s="47"/>
      <c r="F807" s="47"/>
      <c r="G807" s="47"/>
      <c r="H807" s="126"/>
      <c r="I807" s="127"/>
      <c r="J807" s="47"/>
      <c r="K807" s="5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47"/>
      <c r="D808" s="47"/>
      <c r="E808" s="47"/>
      <c r="F808" s="47"/>
      <c r="G808" s="47"/>
      <c r="H808" s="126"/>
      <c r="I808" s="127"/>
      <c r="J808" s="47"/>
      <c r="K808" s="5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47"/>
      <c r="D809" s="47"/>
      <c r="E809" s="47"/>
      <c r="F809" s="47"/>
      <c r="G809" s="47"/>
      <c r="H809" s="126"/>
      <c r="I809" s="127"/>
      <c r="J809" s="47"/>
      <c r="K809" s="5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47"/>
      <c r="D810" s="47"/>
      <c r="E810" s="47"/>
      <c r="F810" s="47"/>
      <c r="G810" s="47"/>
      <c r="H810" s="126"/>
      <c r="I810" s="127"/>
      <c r="J810" s="47"/>
      <c r="K810" s="5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47"/>
      <c r="D811" s="47"/>
      <c r="E811" s="47"/>
      <c r="F811" s="47"/>
      <c r="G811" s="47"/>
      <c r="H811" s="126"/>
      <c r="I811" s="127"/>
      <c r="J811" s="47"/>
      <c r="K811" s="5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47"/>
      <c r="D812" s="47"/>
      <c r="E812" s="47"/>
      <c r="F812" s="47"/>
      <c r="G812" s="47"/>
      <c r="H812" s="126"/>
      <c r="I812" s="127"/>
      <c r="J812" s="47"/>
      <c r="K812" s="5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47"/>
      <c r="D813" s="47"/>
      <c r="E813" s="47"/>
      <c r="F813" s="47"/>
      <c r="G813" s="47"/>
      <c r="H813" s="126"/>
      <c r="I813" s="127"/>
      <c r="J813" s="47"/>
      <c r="K813" s="5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47"/>
      <c r="D814" s="47"/>
      <c r="E814" s="47"/>
      <c r="F814" s="47"/>
      <c r="G814" s="47"/>
      <c r="H814" s="126"/>
      <c r="I814" s="127"/>
      <c r="J814" s="47"/>
      <c r="K814" s="5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47"/>
      <c r="D815" s="47"/>
      <c r="E815" s="47"/>
      <c r="F815" s="47"/>
      <c r="G815" s="47"/>
      <c r="H815" s="126"/>
      <c r="I815" s="127"/>
      <c r="J815" s="47"/>
      <c r="K815" s="5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47"/>
      <c r="D816" s="47"/>
      <c r="E816" s="47"/>
      <c r="F816" s="47"/>
      <c r="G816" s="47"/>
      <c r="H816" s="126"/>
      <c r="I816" s="127"/>
      <c r="J816" s="47"/>
      <c r="K816" s="5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47"/>
      <c r="D817" s="47"/>
      <c r="E817" s="47"/>
      <c r="F817" s="47"/>
      <c r="G817" s="47"/>
      <c r="H817" s="126"/>
      <c r="I817" s="127"/>
      <c r="J817" s="47"/>
      <c r="K817" s="5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47"/>
      <c r="D818" s="47"/>
      <c r="E818" s="47"/>
      <c r="F818" s="47"/>
      <c r="G818" s="47"/>
      <c r="H818" s="126"/>
      <c r="I818" s="127"/>
      <c r="J818" s="47"/>
      <c r="K818" s="5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47"/>
      <c r="D819" s="47"/>
      <c r="E819" s="47"/>
      <c r="F819" s="47"/>
      <c r="G819" s="47"/>
      <c r="H819" s="126"/>
      <c r="I819" s="127"/>
      <c r="J819" s="47"/>
      <c r="K819" s="5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47"/>
      <c r="D820" s="47"/>
      <c r="E820" s="47"/>
      <c r="F820" s="47"/>
      <c r="G820" s="47"/>
      <c r="H820" s="126"/>
      <c r="I820" s="127"/>
      <c r="J820" s="47"/>
      <c r="K820" s="5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47"/>
      <c r="D821" s="47"/>
      <c r="E821" s="47"/>
      <c r="F821" s="47"/>
      <c r="G821" s="47"/>
      <c r="H821" s="126"/>
      <c r="I821" s="127"/>
      <c r="J821" s="47"/>
      <c r="K821" s="5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47"/>
      <c r="D822" s="47"/>
      <c r="E822" s="47"/>
      <c r="F822" s="47"/>
      <c r="G822" s="47"/>
      <c r="H822" s="126"/>
      <c r="I822" s="127"/>
      <c r="J822" s="47"/>
      <c r="K822" s="5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47"/>
      <c r="D823" s="47"/>
      <c r="E823" s="47"/>
      <c r="F823" s="47"/>
      <c r="G823" s="47"/>
      <c r="H823" s="126"/>
      <c r="I823" s="127"/>
      <c r="J823" s="47"/>
      <c r="K823" s="5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47"/>
      <c r="D824" s="47"/>
      <c r="E824" s="47"/>
      <c r="F824" s="47"/>
      <c r="G824" s="47"/>
      <c r="H824" s="126"/>
      <c r="I824" s="127"/>
      <c r="J824" s="47"/>
      <c r="K824" s="5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47"/>
      <c r="D825" s="47"/>
      <c r="E825" s="47"/>
      <c r="F825" s="47"/>
      <c r="G825" s="47"/>
      <c r="H825" s="126"/>
      <c r="I825" s="127"/>
      <c r="J825" s="47"/>
      <c r="K825" s="5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47"/>
      <c r="D826" s="47"/>
      <c r="E826" s="47"/>
      <c r="F826" s="47"/>
      <c r="G826" s="47"/>
      <c r="H826" s="126"/>
      <c r="I826" s="127"/>
      <c r="J826" s="47"/>
      <c r="K826" s="5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47"/>
      <c r="D827" s="47"/>
      <c r="E827" s="47"/>
      <c r="F827" s="47"/>
      <c r="G827" s="47"/>
      <c r="H827" s="126"/>
      <c r="I827" s="127"/>
      <c r="J827" s="47"/>
      <c r="K827" s="5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47"/>
      <c r="D828" s="47"/>
      <c r="E828" s="47"/>
      <c r="F828" s="47"/>
      <c r="G828" s="47"/>
      <c r="H828" s="126"/>
      <c r="I828" s="127"/>
      <c r="J828" s="47"/>
      <c r="K828" s="5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47"/>
      <c r="D829" s="47"/>
      <c r="E829" s="47"/>
      <c r="F829" s="47"/>
      <c r="G829" s="47"/>
      <c r="H829" s="126"/>
      <c r="I829" s="127"/>
      <c r="J829" s="47"/>
      <c r="K829" s="5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47"/>
      <c r="D830" s="47"/>
      <c r="E830" s="47"/>
      <c r="F830" s="47"/>
      <c r="G830" s="47"/>
      <c r="H830" s="126"/>
      <c r="I830" s="127"/>
      <c r="J830" s="47"/>
      <c r="K830" s="5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47"/>
      <c r="D831" s="47"/>
      <c r="E831" s="47"/>
      <c r="F831" s="47"/>
      <c r="G831" s="47"/>
      <c r="H831" s="126"/>
      <c r="I831" s="127"/>
      <c r="J831" s="47"/>
      <c r="K831" s="5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47"/>
      <c r="D832" s="47"/>
      <c r="E832" s="47"/>
      <c r="F832" s="47"/>
      <c r="G832" s="47"/>
      <c r="H832" s="126"/>
      <c r="I832" s="127"/>
      <c r="J832" s="47"/>
      <c r="K832" s="5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47"/>
      <c r="D833" s="47"/>
      <c r="E833" s="47"/>
      <c r="F833" s="47"/>
      <c r="G833" s="47"/>
      <c r="H833" s="126"/>
      <c r="I833" s="127"/>
      <c r="J833" s="47"/>
      <c r="K833" s="5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47"/>
      <c r="D834" s="47"/>
      <c r="E834" s="47"/>
      <c r="F834" s="47"/>
      <c r="G834" s="47"/>
      <c r="H834" s="126"/>
      <c r="I834" s="127"/>
      <c r="J834" s="47"/>
      <c r="K834" s="5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47"/>
      <c r="D835" s="47"/>
      <c r="E835" s="47"/>
      <c r="F835" s="47"/>
      <c r="G835" s="47"/>
      <c r="H835" s="126"/>
      <c r="I835" s="127"/>
      <c r="J835" s="47"/>
      <c r="K835" s="5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47"/>
      <c r="D836" s="47"/>
      <c r="E836" s="47"/>
      <c r="F836" s="47"/>
      <c r="G836" s="47"/>
      <c r="H836" s="126"/>
      <c r="I836" s="127"/>
      <c r="J836" s="47"/>
      <c r="K836" s="5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47"/>
      <c r="D837" s="47"/>
      <c r="E837" s="47"/>
      <c r="F837" s="47"/>
      <c r="G837" s="47"/>
      <c r="H837" s="126"/>
      <c r="I837" s="127"/>
      <c r="J837" s="47"/>
      <c r="K837" s="5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47"/>
      <c r="D838" s="47"/>
      <c r="E838" s="47"/>
      <c r="F838" s="47"/>
      <c r="G838" s="47"/>
      <c r="H838" s="126"/>
      <c r="I838" s="127"/>
      <c r="J838" s="47"/>
      <c r="K838" s="5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47"/>
      <c r="D839" s="47"/>
      <c r="E839" s="47"/>
      <c r="F839" s="47"/>
      <c r="G839" s="47"/>
      <c r="H839" s="126"/>
      <c r="I839" s="127"/>
      <c r="J839" s="47"/>
      <c r="K839" s="5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47"/>
      <c r="D840" s="47"/>
      <c r="E840" s="47"/>
      <c r="F840" s="47"/>
      <c r="G840" s="47"/>
      <c r="H840" s="126"/>
      <c r="I840" s="127"/>
      <c r="J840" s="47"/>
      <c r="K840" s="5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47"/>
      <c r="D841" s="47"/>
      <c r="E841" s="47"/>
      <c r="F841" s="47"/>
      <c r="G841" s="47"/>
      <c r="H841" s="126"/>
      <c r="I841" s="127"/>
      <c r="J841" s="47"/>
      <c r="K841" s="5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47"/>
      <c r="D842" s="47"/>
      <c r="E842" s="47"/>
      <c r="F842" s="47"/>
      <c r="G842" s="47"/>
      <c r="H842" s="126"/>
      <c r="I842" s="127"/>
      <c r="J842" s="47"/>
      <c r="K842" s="5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47"/>
      <c r="D843" s="47"/>
      <c r="E843" s="47"/>
      <c r="F843" s="47"/>
      <c r="G843" s="47"/>
      <c r="H843" s="126"/>
      <c r="I843" s="127"/>
      <c r="J843" s="47"/>
      <c r="K843" s="5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47"/>
      <c r="D844" s="47"/>
      <c r="E844" s="47"/>
      <c r="F844" s="47"/>
      <c r="G844" s="47"/>
      <c r="H844" s="126"/>
      <c r="I844" s="127"/>
      <c r="J844" s="47"/>
      <c r="K844" s="5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47"/>
      <c r="D845" s="47"/>
      <c r="E845" s="47"/>
      <c r="F845" s="47"/>
      <c r="G845" s="47"/>
      <c r="H845" s="126"/>
      <c r="I845" s="127"/>
      <c r="J845" s="47"/>
      <c r="K845" s="5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47"/>
      <c r="D846" s="47"/>
      <c r="E846" s="47"/>
      <c r="F846" s="47"/>
      <c r="G846" s="47"/>
      <c r="H846" s="126"/>
      <c r="I846" s="127"/>
      <c r="J846" s="47"/>
      <c r="K846" s="5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47"/>
      <c r="D847" s="47"/>
      <c r="E847" s="47"/>
      <c r="F847" s="47"/>
      <c r="G847" s="47"/>
      <c r="H847" s="126"/>
      <c r="I847" s="127"/>
      <c r="J847" s="47"/>
      <c r="K847" s="5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47"/>
      <c r="D848" s="47"/>
      <c r="E848" s="47"/>
      <c r="F848" s="47"/>
      <c r="G848" s="47"/>
      <c r="H848" s="126"/>
      <c r="I848" s="127"/>
      <c r="J848" s="47"/>
      <c r="K848" s="5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47"/>
      <c r="D849" s="47"/>
      <c r="E849" s="47"/>
      <c r="F849" s="47"/>
      <c r="G849" s="47"/>
      <c r="H849" s="126"/>
      <c r="I849" s="127"/>
      <c r="J849" s="47"/>
      <c r="K849" s="5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47"/>
      <c r="D850" s="47"/>
      <c r="E850" s="47"/>
      <c r="F850" s="47"/>
      <c r="G850" s="47"/>
      <c r="H850" s="126"/>
      <c r="I850" s="127"/>
      <c r="J850" s="47"/>
      <c r="K850" s="5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47"/>
      <c r="D851" s="47"/>
      <c r="E851" s="47"/>
      <c r="F851" s="47"/>
      <c r="G851" s="47"/>
      <c r="H851" s="126"/>
      <c r="I851" s="127"/>
      <c r="J851" s="47"/>
      <c r="K851" s="5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47"/>
      <c r="D852" s="47"/>
      <c r="E852" s="47"/>
      <c r="F852" s="47"/>
      <c r="G852" s="47"/>
      <c r="H852" s="126"/>
      <c r="I852" s="127"/>
      <c r="J852" s="47"/>
      <c r="K852" s="5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47"/>
      <c r="D853" s="47"/>
      <c r="E853" s="47"/>
      <c r="F853" s="47"/>
      <c r="G853" s="47"/>
      <c r="H853" s="126"/>
      <c r="I853" s="127"/>
      <c r="J853" s="47"/>
      <c r="K853" s="5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47"/>
      <c r="D854" s="47"/>
      <c r="E854" s="47"/>
      <c r="F854" s="47"/>
      <c r="G854" s="47"/>
      <c r="H854" s="126"/>
      <c r="I854" s="127"/>
      <c r="J854" s="47"/>
      <c r="K854" s="5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47"/>
      <c r="D855" s="47"/>
      <c r="E855" s="47"/>
      <c r="F855" s="47"/>
      <c r="G855" s="47"/>
      <c r="H855" s="126"/>
      <c r="I855" s="127"/>
      <c r="J855" s="47"/>
      <c r="K855" s="5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47"/>
      <c r="D856" s="47"/>
      <c r="E856" s="47"/>
      <c r="F856" s="47"/>
      <c r="G856" s="47"/>
      <c r="H856" s="126"/>
      <c r="I856" s="127"/>
      <c r="J856" s="47"/>
      <c r="K856" s="5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47"/>
      <c r="D857" s="47"/>
      <c r="E857" s="47"/>
      <c r="F857" s="47"/>
      <c r="G857" s="47"/>
      <c r="H857" s="126"/>
      <c r="I857" s="127"/>
      <c r="J857" s="47"/>
      <c r="K857" s="5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47"/>
      <c r="D858" s="47"/>
      <c r="E858" s="47"/>
      <c r="F858" s="47"/>
      <c r="G858" s="47"/>
      <c r="H858" s="126"/>
      <c r="I858" s="127"/>
      <c r="J858" s="47"/>
      <c r="K858" s="5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47"/>
      <c r="D859" s="47"/>
      <c r="E859" s="47"/>
      <c r="F859" s="47"/>
      <c r="G859" s="47"/>
      <c r="H859" s="126"/>
      <c r="I859" s="127"/>
      <c r="J859" s="47"/>
      <c r="K859" s="5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47"/>
      <c r="D860" s="47"/>
      <c r="E860" s="47"/>
      <c r="F860" s="47"/>
      <c r="G860" s="47"/>
      <c r="H860" s="126"/>
      <c r="I860" s="127"/>
      <c r="J860" s="47"/>
      <c r="K860" s="5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47"/>
      <c r="D861" s="47"/>
      <c r="E861" s="47"/>
      <c r="F861" s="47"/>
      <c r="G861" s="47"/>
      <c r="H861" s="126"/>
      <c r="I861" s="127"/>
      <c r="J861" s="47"/>
      <c r="K861" s="5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47"/>
      <c r="D862" s="47"/>
      <c r="E862" s="47"/>
      <c r="F862" s="47"/>
      <c r="G862" s="47"/>
      <c r="H862" s="126"/>
      <c r="I862" s="127"/>
      <c r="J862" s="47"/>
      <c r="K862" s="5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47"/>
      <c r="D863" s="47"/>
      <c r="E863" s="47"/>
      <c r="F863" s="47"/>
      <c r="G863" s="47"/>
      <c r="H863" s="126"/>
      <c r="I863" s="127"/>
      <c r="J863" s="47"/>
      <c r="K863" s="5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47"/>
      <c r="D864" s="47"/>
      <c r="E864" s="47"/>
      <c r="F864" s="47"/>
      <c r="G864" s="47"/>
      <c r="H864" s="126"/>
      <c r="I864" s="127"/>
      <c r="J864" s="47"/>
      <c r="K864" s="5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47"/>
      <c r="D865" s="47"/>
      <c r="E865" s="47"/>
      <c r="F865" s="47"/>
      <c r="G865" s="47"/>
      <c r="H865" s="126"/>
      <c r="I865" s="127"/>
      <c r="J865" s="47"/>
      <c r="K865" s="5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47"/>
      <c r="D866" s="47"/>
      <c r="E866" s="47"/>
      <c r="F866" s="47"/>
      <c r="G866" s="47"/>
      <c r="H866" s="126"/>
      <c r="I866" s="127"/>
      <c r="J866" s="47"/>
      <c r="K866" s="5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47"/>
      <c r="D867" s="47"/>
      <c r="E867" s="47"/>
      <c r="F867" s="47"/>
      <c r="G867" s="47"/>
      <c r="H867" s="126"/>
      <c r="I867" s="127"/>
      <c r="J867" s="47"/>
      <c r="K867" s="5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47"/>
      <c r="D868" s="47"/>
      <c r="E868" s="47"/>
      <c r="F868" s="47"/>
      <c r="G868" s="47"/>
      <c r="H868" s="126"/>
      <c r="I868" s="127"/>
      <c r="J868" s="47"/>
      <c r="K868" s="5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47"/>
      <c r="D869" s="47"/>
      <c r="E869" s="47"/>
      <c r="F869" s="47"/>
      <c r="G869" s="47"/>
      <c r="H869" s="126"/>
      <c r="I869" s="127"/>
      <c r="J869" s="47"/>
      <c r="K869" s="5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47"/>
      <c r="D870" s="47"/>
      <c r="E870" s="47"/>
      <c r="F870" s="47"/>
      <c r="G870" s="47"/>
      <c r="H870" s="126"/>
      <c r="I870" s="127"/>
      <c r="J870" s="47"/>
      <c r="K870" s="5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47"/>
      <c r="D871" s="47"/>
      <c r="E871" s="47"/>
      <c r="F871" s="47"/>
      <c r="G871" s="47"/>
      <c r="H871" s="126"/>
      <c r="I871" s="127"/>
      <c r="J871" s="47"/>
      <c r="K871" s="5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47"/>
      <c r="D872" s="47"/>
      <c r="E872" s="47"/>
      <c r="F872" s="47"/>
      <c r="G872" s="47"/>
      <c r="H872" s="126"/>
      <c r="I872" s="127"/>
      <c r="J872" s="47"/>
      <c r="K872" s="5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47"/>
      <c r="D873" s="47"/>
      <c r="E873" s="47"/>
      <c r="F873" s="47"/>
      <c r="G873" s="47"/>
      <c r="H873" s="126"/>
      <c r="I873" s="127"/>
      <c r="J873" s="47"/>
      <c r="K873" s="5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47"/>
      <c r="D874" s="47"/>
      <c r="E874" s="47"/>
      <c r="F874" s="47"/>
      <c r="G874" s="47"/>
      <c r="H874" s="126"/>
      <c r="I874" s="127"/>
      <c r="J874" s="47"/>
      <c r="K874" s="5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47"/>
      <c r="D875" s="47"/>
      <c r="E875" s="47"/>
      <c r="F875" s="47"/>
      <c r="G875" s="47"/>
      <c r="H875" s="126"/>
      <c r="I875" s="127"/>
      <c r="J875" s="47"/>
      <c r="K875" s="5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47"/>
      <c r="D876" s="47"/>
      <c r="E876" s="47"/>
      <c r="F876" s="47"/>
      <c r="G876" s="47"/>
      <c r="H876" s="126"/>
      <c r="I876" s="127"/>
      <c r="J876" s="47"/>
      <c r="K876" s="5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47"/>
      <c r="D877" s="47"/>
      <c r="E877" s="47"/>
      <c r="F877" s="47"/>
      <c r="G877" s="47"/>
      <c r="H877" s="126"/>
      <c r="I877" s="127"/>
      <c r="J877" s="47"/>
      <c r="K877" s="5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47"/>
      <c r="D878" s="47"/>
      <c r="E878" s="47"/>
      <c r="F878" s="47"/>
      <c r="G878" s="47"/>
      <c r="H878" s="126"/>
      <c r="I878" s="127"/>
      <c r="J878" s="47"/>
      <c r="K878" s="5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47"/>
      <c r="D879" s="47"/>
      <c r="E879" s="47"/>
      <c r="F879" s="47"/>
      <c r="G879" s="47"/>
      <c r="H879" s="126"/>
      <c r="I879" s="127"/>
      <c r="J879" s="47"/>
      <c r="K879" s="5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47"/>
      <c r="D880" s="47"/>
      <c r="E880" s="47"/>
      <c r="F880" s="47"/>
      <c r="G880" s="47"/>
      <c r="H880" s="126"/>
      <c r="I880" s="127"/>
      <c r="J880" s="47"/>
      <c r="K880" s="5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47"/>
      <c r="D881" s="47"/>
      <c r="E881" s="47"/>
      <c r="F881" s="47"/>
      <c r="G881" s="47"/>
      <c r="H881" s="126"/>
      <c r="I881" s="127"/>
      <c r="J881" s="47"/>
      <c r="K881" s="5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47"/>
      <c r="D882" s="47"/>
      <c r="E882" s="47"/>
      <c r="F882" s="47"/>
      <c r="G882" s="47"/>
      <c r="H882" s="126"/>
      <c r="I882" s="127"/>
      <c r="J882" s="47"/>
      <c r="K882" s="5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47"/>
      <c r="D883" s="47"/>
      <c r="E883" s="47"/>
      <c r="F883" s="47"/>
      <c r="G883" s="47"/>
      <c r="H883" s="126"/>
      <c r="I883" s="127"/>
      <c r="J883" s="47"/>
      <c r="K883" s="5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47"/>
      <c r="D884" s="47"/>
      <c r="E884" s="47"/>
      <c r="F884" s="47"/>
      <c r="G884" s="47"/>
      <c r="H884" s="126"/>
      <c r="I884" s="127"/>
      <c r="J884" s="47"/>
      <c r="K884" s="5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47"/>
      <c r="D885" s="47"/>
      <c r="E885" s="47"/>
      <c r="F885" s="47"/>
      <c r="G885" s="47"/>
      <c r="H885" s="126"/>
      <c r="I885" s="127"/>
      <c r="J885" s="47"/>
      <c r="K885" s="5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47"/>
      <c r="D886" s="47"/>
      <c r="E886" s="47"/>
      <c r="F886" s="47"/>
      <c r="G886" s="47"/>
      <c r="H886" s="126"/>
      <c r="I886" s="127"/>
      <c r="J886" s="47"/>
      <c r="K886" s="5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47"/>
      <c r="D887" s="47"/>
      <c r="E887" s="47"/>
      <c r="F887" s="47"/>
      <c r="G887" s="47"/>
      <c r="H887" s="126"/>
      <c r="I887" s="127"/>
      <c r="J887" s="47"/>
      <c r="K887" s="5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47"/>
      <c r="D888" s="47"/>
      <c r="E888" s="47"/>
      <c r="F888" s="47"/>
      <c r="G888" s="47"/>
      <c r="H888" s="126"/>
      <c r="I888" s="127"/>
      <c r="J888" s="47"/>
      <c r="K888" s="5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47"/>
      <c r="D889" s="47"/>
      <c r="E889" s="47"/>
      <c r="F889" s="47"/>
      <c r="G889" s="47"/>
      <c r="H889" s="126"/>
      <c r="I889" s="127"/>
      <c r="J889" s="47"/>
      <c r="K889" s="5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47"/>
      <c r="D890" s="47"/>
      <c r="E890" s="47"/>
      <c r="F890" s="47"/>
      <c r="G890" s="47"/>
      <c r="H890" s="126"/>
      <c r="I890" s="127"/>
      <c r="J890" s="47"/>
      <c r="K890" s="5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47"/>
      <c r="D891" s="47"/>
      <c r="E891" s="47"/>
      <c r="F891" s="47"/>
      <c r="G891" s="47"/>
      <c r="H891" s="126"/>
      <c r="I891" s="127"/>
      <c r="J891" s="47"/>
      <c r="K891" s="5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47"/>
      <c r="D892" s="47"/>
      <c r="E892" s="47"/>
      <c r="F892" s="47"/>
      <c r="G892" s="47"/>
      <c r="H892" s="126"/>
      <c r="I892" s="127"/>
      <c r="J892" s="47"/>
      <c r="K892" s="5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47"/>
      <c r="D893" s="47"/>
      <c r="E893" s="47"/>
      <c r="F893" s="47"/>
      <c r="G893" s="47"/>
      <c r="H893" s="126"/>
      <c r="I893" s="127"/>
      <c r="J893" s="47"/>
      <c r="K893" s="5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47"/>
      <c r="D894" s="47"/>
      <c r="E894" s="47"/>
      <c r="F894" s="47"/>
      <c r="G894" s="47"/>
      <c r="H894" s="126"/>
      <c r="I894" s="127"/>
      <c r="J894" s="47"/>
      <c r="K894" s="5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47"/>
      <c r="D895" s="47"/>
      <c r="E895" s="47"/>
      <c r="F895" s="47"/>
      <c r="G895" s="47"/>
      <c r="H895" s="126"/>
      <c r="I895" s="127"/>
      <c r="J895" s="47"/>
      <c r="K895" s="5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47"/>
      <c r="D896" s="47"/>
      <c r="E896" s="47"/>
      <c r="F896" s="47"/>
      <c r="G896" s="47"/>
      <c r="H896" s="126"/>
      <c r="I896" s="127"/>
      <c r="J896" s="47"/>
      <c r="K896" s="5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47"/>
      <c r="D897" s="47"/>
      <c r="E897" s="47"/>
      <c r="F897" s="47"/>
      <c r="G897" s="47"/>
      <c r="H897" s="126"/>
      <c r="I897" s="127"/>
      <c r="J897" s="47"/>
      <c r="K897" s="5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47"/>
      <c r="D898" s="47"/>
      <c r="E898" s="47"/>
      <c r="F898" s="47"/>
      <c r="G898" s="47"/>
      <c r="H898" s="126"/>
      <c r="I898" s="127"/>
      <c r="J898" s="47"/>
      <c r="K898" s="5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47"/>
      <c r="D899" s="47"/>
      <c r="E899" s="47"/>
      <c r="F899" s="47"/>
      <c r="G899" s="47"/>
      <c r="H899" s="126"/>
      <c r="I899" s="127"/>
      <c r="J899" s="47"/>
      <c r="K899" s="5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47"/>
      <c r="D900" s="47"/>
      <c r="E900" s="47"/>
      <c r="F900" s="47"/>
      <c r="G900" s="47"/>
      <c r="H900" s="126"/>
      <c r="I900" s="127"/>
      <c r="J900" s="47"/>
      <c r="K900" s="5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47"/>
      <c r="D901" s="47"/>
      <c r="E901" s="47"/>
      <c r="F901" s="47"/>
      <c r="G901" s="47"/>
      <c r="H901" s="126"/>
      <c r="I901" s="127"/>
      <c r="J901" s="47"/>
      <c r="K901" s="5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47"/>
      <c r="D902" s="47"/>
      <c r="E902" s="47"/>
      <c r="F902" s="47"/>
      <c r="G902" s="47"/>
      <c r="H902" s="126"/>
      <c r="I902" s="127"/>
      <c r="J902" s="47"/>
      <c r="K902" s="5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47"/>
      <c r="D903" s="47"/>
      <c r="E903" s="47"/>
      <c r="F903" s="47"/>
      <c r="G903" s="47"/>
      <c r="H903" s="126"/>
      <c r="I903" s="127"/>
      <c r="J903" s="47"/>
      <c r="K903" s="5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47"/>
      <c r="D904" s="47"/>
      <c r="E904" s="47"/>
      <c r="F904" s="47"/>
      <c r="G904" s="47"/>
      <c r="H904" s="126"/>
      <c r="I904" s="127"/>
      <c r="J904" s="47"/>
      <c r="K904" s="5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47"/>
      <c r="D905" s="47"/>
      <c r="E905" s="47"/>
      <c r="F905" s="47"/>
      <c r="G905" s="47"/>
      <c r="H905" s="126"/>
      <c r="I905" s="127"/>
      <c r="J905" s="47"/>
      <c r="K905" s="5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47"/>
      <c r="D906" s="47"/>
      <c r="E906" s="47"/>
      <c r="F906" s="47"/>
      <c r="G906" s="47"/>
      <c r="H906" s="126"/>
      <c r="I906" s="127"/>
      <c r="J906" s="47"/>
      <c r="K906" s="5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47"/>
      <c r="D907" s="47"/>
      <c r="E907" s="47"/>
      <c r="F907" s="47"/>
      <c r="G907" s="47"/>
      <c r="H907" s="126"/>
      <c r="I907" s="127"/>
      <c r="J907" s="47"/>
      <c r="K907" s="5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47"/>
      <c r="D908" s="47"/>
      <c r="E908" s="47"/>
      <c r="F908" s="47"/>
      <c r="G908" s="47"/>
      <c r="H908" s="126"/>
      <c r="I908" s="127"/>
      <c r="J908" s="47"/>
      <c r="K908" s="5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47"/>
      <c r="D909" s="47"/>
      <c r="E909" s="47"/>
      <c r="F909" s="47"/>
      <c r="G909" s="47"/>
      <c r="H909" s="126"/>
      <c r="I909" s="127"/>
      <c r="J909" s="47"/>
      <c r="K909" s="5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47"/>
      <c r="D910" s="47"/>
      <c r="E910" s="47"/>
      <c r="F910" s="47"/>
      <c r="G910" s="47"/>
      <c r="H910" s="126"/>
      <c r="I910" s="127"/>
      <c r="J910" s="47"/>
      <c r="K910" s="5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47"/>
      <c r="D911" s="47"/>
      <c r="E911" s="47"/>
      <c r="F911" s="47"/>
      <c r="G911" s="47"/>
      <c r="H911" s="126"/>
      <c r="I911" s="127"/>
      <c r="J911" s="47"/>
      <c r="K911" s="5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47"/>
      <c r="D912" s="47"/>
      <c r="E912" s="47"/>
      <c r="F912" s="47"/>
      <c r="G912" s="47"/>
      <c r="H912" s="126"/>
      <c r="I912" s="127"/>
      <c r="J912" s="47"/>
      <c r="K912" s="5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47"/>
      <c r="D913" s="47"/>
      <c r="E913" s="47"/>
      <c r="F913" s="47"/>
      <c r="G913" s="47"/>
      <c r="H913" s="126"/>
      <c r="I913" s="127"/>
      <c r="J913" s="47"/>
      <c r="K913" s="5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47"/>
      <c r="D914" s="47"/>
      <c r="E914" s="47"/>
      <c r="F914" s="47"/>
      <c r="G914" s="47"/>
      <c r="H914" s="126"/>
      <c r="I914" s="127"/>
      <c r="J914" s="47"/>
      <c r="K914" s="5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47"/>
      <c r="D915" s="47"/>
      <c r="E915" s="47"/>
      <c r="F915" s="47"/>
      <c r="G915" s="47"/>
      <c r="H915" s="126"/>
      <c r="I915" s="127"/>
      <c r="J915" s="47"/>
      <c r="K915" s="5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47"/>
      <c r="D916" s="47"/>
      <c r="E916" s="47"/>
      <c r="F916" s="47"/>
      <c r="G916" s="47"/>
      <c r="H916" s="126"/>
      <c r="I916" s="127"/>
      <c r="J916" s="47"/>
      <c r="K916" s="5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47"/>
      <c r="D917" s="47"/>
      <c r="E917" s="47"/>
      <c r="F917" s="47"/>
      <c r="G917" s="47"/>
      <c r="H917" s="126"/>
      <c r="I917" s="127"/>
      <c r="J917" s="47"/>
      <c r="K917" s="5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47"/>
      <c r="D918" s="47"/>
      <c r="E918" s="47"/>
      <c r="F918" s="47"/>
      <c r="G918" s="47"/>
      <c r="H918" s="126"/>
      <c r="I918" s="127"/>
      <c r="J918" s="47"/>
      <c r="K918" s="5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47"/>
      <c r="D919" s="47"/>
      <c r="E919" s="47"/>
      <c r="F919" s="47"/>
      <c r="G919" s="47"/>
      <c r="H919" s="126"/>
      <c r="I919" s="127"/>
      <c r="J919" s="47"/>
      <c r="K919" s="5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47"/>
      <c r="D920" s="47"/>
      <c r="E920" s="47"/>
      <c r="F920" s="47"/>
      <c r="G920" s="47"/>
      <c r="H920" s="126"/>
      <c r="I920" s="127"/>
      <c r="J920" s="47"/>
      <c r="K920" s="5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47"/>
      <c r="D921" s="47"/>
      <c r="E921" s="47"/>
      <c r="F921" s="47"/>
      <c r="G921" s="47"/>
      <c r="H921" s="126"/>
      <c r="I921" s="127"/>
      <c r="J921" s="47"/>
      <c r="K921" s="5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47"/>
      <c r="D922" s="47"/>
      <c r="E922" s="47"/>
      <c r="F922" s="47"/>
      <c r="G922" s="47"/>
      <c r="H922" s="126"/>
      <c r="I922" s="127"/>
      <c r="J922" s="47"/>
      <c r="K922" s="5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47"/>
      <c r="D923" s="47"/>
      <c r="E923" s="47"/>
      <c r="F923" s="47"/>
      <c r="G923" s="47"/>
      <c r="H923" s="126"/>
      <c r="I923" s="127"/>
      <c r="J923" s="47"/>
      <c r="K923" s="5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47"/>
      <c r="D924" s="47"/>
      <c r="E924" s="47"/>
      <c r="F924" s="47"/>
      <c r="G924" s="47"/>
      <c r="H924" s="126"/>
      <c r="I924" s="127"/>
      <c r="J924" s="47"/>
      <c r="K924" s="5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47"/>
      <c r="D925" s="47"/>
      <c r="E925" s="47"/>
      <c r="F925" s="47"/>
      <c r="G925" s="47"/>
      <c r="H925" s="126"/>
      <c r="I925" s="127"/>
      <c r="J925" s="47"/>
      <c r="K925" s="5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47"/>
      <c r="D926" s="47"/>
      <c r="E926" s="47"/>
      <c r="F926" s="47"/>
      <c r="G926" s="47"/>
      <c r="H926" s="126"/>
      <c r="I926" s="127"/>
      <c r="J926" s="47"/>
      <c r="K926" s="5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47"/>
      <c r="D927" s="47"/>
      <c r="E927" s="47"/>
      <c r="F927" s="47"/>
      <c r="G927" s="47"/>
      <c r="H927" s="126"/>
      <c r="I927" s="127"/>
      <c r="J927" s="47"/>
      <c r="K927" s="5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47"/>
      <c r="D928" s="47"/>
      <c r="E928" s="47"/>
      <c r="F928" s="47"/>
      <c r="G928" s="47"/>
      <c r="H928" s="126"/>
      <c r="I928" s="127"/>
      <c r="J928" s="47"/>
      <c r="K928" s="5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47"/>
      <c r="D929" s="47"/>
      <c r="E929" s="47"/>
      <c r="F929" s="47"/>
      <c r="G929" s="47"/>
      <c r="H929" s="126"/>
      <c r="I929" s="127"/>
      <c r="J929" s="47"/>
      <c r="K929" s="5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47"/>
      <c r="D930" s="47"/>
      <c r="E930" s="47"/>
      <c r="F930" s="47"/>
      <c r="G930" s="47"/>
      <c r="H930" s="126"/>
      <c r="I930" s="127"/>
      <c r="J930" s="47"/>
      <c r="K930" s="5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47"/>
      <c r="D931" s="47"/>
      <c r="E931" s="47"/>
      <c r="F931" s="47"/>
      <c r="G931" s="47"/>
      <c r="H931" s="126"/>
      <c r="I931" s="127"/>
      <c r="J931" s="47"/>
      <c r="K931" s="5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47"/>
      <c r="D932" s="47"/>
      <c r="E932" s="47"/>
      <c r="F932" s="47"/>
      <c r="G932" s="47"/>
      <c r="H932" s="126"/>
      <c r="I932" s="127"/>
      <c r="J932" s="47"/>
      <c r="K932" s="5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47"/>
      <c r="D933" s="47"/>
      <c r="E933" s="47"/>
      <c r="F933" s="47"/>
      <c r="G933" s="47"/>
      <c r="H933" s="126"/>
      <c r="I933" s="127"/>
      <c r="J933" s="47"/>
      <c r="K933" s="5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47"/>
      <c r="D934" s="47"/>
      <c r="E934" s="47"/>
      <c r="F934" s="47"/>
      <c r="G934" s="47"/>
      <c r="H934" s="126"/>
      <c r="I934" s="127"/>
      <c r="J934" s="47"/>
      <c r="K934" s="5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47"/>
      <c r="D935" s="47"/>
      <c r="E935" s="47"/>
      <c r="F935" s="47"/>
      <c r="G935" s="47"/>
      <c r="H935" s="126"/>
      <c r="I935" s="127"/>
      <c r="J935" s="47"/>
      <c r="K935" s="5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47"/>
      <c r="D936" s="47"/>
      <c r="E936" s="47"/>
      <c r="F936" s="47"/>
      <c r="G936" s="47"/>
      <c r="H936" s="126"/>
      <c r="I936" s="127"/>
      <c r="J936" s="47"/>
      <c r="K936" s="5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47"/>
      <c r="D937" s="47"/>
      <c r="E937" s="47"/>
      <c r="F937" s="47"/>
      <c r="G937" s="47"/>
      <c r="H937" s="126"/>
      <c r="I937" s="127"/>
      <c r="J937" s="47"/>
      <c r="K937" s="5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47"/>
      <c r="D938" s="47"/>
      <c r="E938" s="47"/>
      <c r="F938" s="47"/>
      <c r="G938" s="47"/>
      <c r="H938" s="126"/>
      <c r="I938" s="127"/>
      <c r="J938" s="47"/>
      <c r="K938" s="5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47"/>
      <c r="D939" s="47"/>
      <c r="E939" s="47"/>
      <c r="F939" s="47"/>
      <c r="G939" s="47"/>
      <c r="H939" s="126"/>
      <c r="I939" s="127"/>
      <c r="J939" s="47"/>
      <c r="K939" s="5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47"/>
      <c r="D940" s="47"/>
      <c r="E940" s="47"/>
      <c r="F940" s="47"/>
      <c r="G940" s="47"/>
      <c r="H940" s="126"/>
      <c r="I940" s="127"/>
      <c r="J940" s="47"/>
      <c r="K940" s="5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47"/>
      <c r="D941" s="47"/>
      <c r="E941" s="47"/>
      <c r="F941" s="47"/>
      <c r="G941" s="47"/>
      <c r="H941" s="126"/>
      <c r="I941" s="127"/>
      <c r="J941" s="47"/>
      <c r="K941" s="5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47"/>
      <c r="D942" s="47"/>
      <c r="E942" s="47"/>
      <c r="F942" s="47"/>
      <c r="G942" s="47"/>
      <c r="H942" s="126"/>
      <c r="I942" s="127"/>
      <c r="J942" s="47"/>
      <c r="K942" s="5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47"/>
      <c r="D943" s="47"/>
      <c r="E943" s="47"/>
      <c r="F943" s="47"/>
      <c r="G943" s="47"/>
      <c r="H943" s="126"/>
      <c r="I943" s="127"/>
      <c r="J943" s="47"/>
      <c r="K943" s="5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47"/>
      <c r="D944" s="47"/>
      <c r="E944" s="47"/>
      <c r="F944" s="47"/>
      <c r="G944" s="47"/>
      <c r="H944" s="126"/>
      <c r="I944" s="127"/>
      <c r="J944" s="47"/>
      <c r="K944" s="5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47"/>
      <c r="D945" s="47"/>
      <c r="E945" s="47"/>
      <c r="F945" s="47"/>
      <c r="G945" s="47"/>
      <c r="H945" s="126"/>
      <c r="I945" s="127"/>
      <c r="J945" s="47"/>
      <c r="K945" s="5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47"/>
      <c r="D946" s="47"/>
      <c r="E946" s="47"/>
      <c r="F946" s="47"/>
      <c r="G946" s="47"/>
      <c r="H946" s="126"/>
      <c r="I946" s="127"/>
      <c r="J946" s="47"/>
      <c r="K946" s="5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47"/>
      <c r="D947" s="47"/>
      <c r="E947" s="47"/>
      <c r="F947" s="47"/>
      <c r="G947" s="47"/>
      <c r="H947" s="126"/>
      <c r="I947" s="127"/>
      <c r="J947" s="47"/>
      <c r="K947" s="5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47"/>
      <c r="D948" s="47"/>
      <c r="E948" s="47"/>
      <c r="F948" s="47"/>
      <c r="G948" s="47"/>
      <c r="H948" s="126"/>
      <c r="I948" s="127"/>
      <c r="J948" s="47"/>
      <c r="K948" s="5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47"/>
      <c r="D949" s="47"/>
      <c r="E949" s="47"/>
      <c r="F949" s="47"/>
      <c r="G949" s="47"/>
      <c r="H949" s="126"/>
      <c r="I949" s="127"/>
      <c r="J949" s="47"/>
      <c r="K949" s="5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47"/>
      <c r="D950" s="47"/>
      <c r="E950" s="47"/>
      <c r="F950" s="47"/>
      <c r="G950" s="47"/>
      <c r="H950" s="126"/>
      <c r="I950" s="127"/>
      <c r="J950" s="47"/>
      <c r="K950" s="5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47"/>
      <c r="D951" s="47"/>
      <c r="E951" s="47"/>
      <c r="F951" s="47"/>
      <c r="G951" s="47"/>
      <c r="H951" s="126"/>
      <c r="I951" s="127"/>
      <c r="J951" s="47"/>
      <c r="K951" s="5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47"/>
      <c r="D952" s="47"/>
      <c r="E952" s="47"/>
      <c r="F952" s="47"/>
      <c r="G952" s="47"/>
      <c r="H952" s="126"/>
      <c r="I952" s="127"/>
      <c r="J952" s="47"/>
      <c r="K952" s="5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47"/>
      <c r="D953" s="47"/>
      <c r="E953" s="47"/>
      <c r="F953" s="47"/>
      <c r="G953" s="47"/>
      <c r="H953" s="126"/>
      <c r="I953" s="127"/>
      <c r="J953" s="47"/>
      <c r="K953" s="5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47"/>
      <c r="D954" s="47"/>
      <c r="E954" s="47"/>
      <c r="F954" s="47"/>
      <c r="G954" s="47"/>
      <c r="H954" s="126"/>
      <c r="I954" s="127"/>
      <c r="J954" s="47"/>
      <c r="K954" s="5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47"/>
      <c r="D955" s="47"/>
      <c r="E955" s="47"/>
      <c r="F955" s="47"/>
      <c r="G955" s="47"/>
      <c r="H955" s="126"/>
      <c r="I955" s="127"/>
      <c r="J955" s="47"/>
      <c r="K955" s="5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47"/>
      <c r="D956" s="47"/>
      <c r="E956" s="47"/>
      <c r="F956" s="47"/>
      <c r="G956" s="47"/>
      <c r="H956" s="126"/>
      <c r="I956" s="127"/>
      <c r="J956" s="47"/>
      <c r="K956" s="5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47"/>
      <c r="D957" s="47"/>
      <c r="E957" s="47"/>
      <c r="F957" s="47"/>
      <c r="G957" s="47"/>
      <c r="H957" s="126"/>
      <c r="I957" s="127"/>
      <c r="J957" s="47"/>
      <c r="K957" s="5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47"/>
      <c r="D958" s="47"/>
      <c r="E958" s="47"/>
      <c r="F958" s="47"/>
      <c r="G958" s="47"/>
      <c r="H958" s="126"/>
      <c r="I958" s="127"/>
      <c r="J958" s="47"/>
      <c r="K958" s="5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47"/>
      <c r="D959" s="47"/>
      <c r="E959" s="47"/>
      <c r="F959" s="47"/>
      <c r="G959" s="47"/>
      <c r="H959" s="126"/>
      <c r="I959" s="127"/>
      <c r="J959" s="47"/>
      <c r="K959" s="5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47"/>
      <c r="D960" s="47"/>
      <c r="E960" s="47"/>
      <c r="F960" s="47"/>
      <c r="G960" s="47"/>
      <c r="H960" s="126"/>
      <c r="I960" s="127"/>
      <c r="J960" s="47"/>
      <c r="K960" s="5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47"/>
      <c r="D961" s="47"/>
      <c r="E961" s="47"/>
      <c r="F961" s="47"/>
      <c r="G961" s="47"/>
      <c r="H961" s="126"/>
      <c r="I961" s="127"/>
      <c r="J961" s="47"/>
      <c r="K961" s="5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47"/>
      <c r="D962" s="47"/>
      <c r="E962" s="47"/>
      <c r="F962" s="47"/>
      <c r="G962" s="47"/>
      <c r="H962" s="126"/>
      <c r="I962" s="127"/>
      <c r="J962" s="47"/>
      <c r="K962" s="5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47"/>
      <c r="D963" s="47"/>
      <c r="E963" s="47"/>
      <c r="F963" s="47"/>
      <c r="G963" s="47"/>
      <c r="H963" s="126"/>
      <c r="I963" s="127"/>
      <c r="J963" s="47"/>
      <c r="K963" s="5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47"/>
      <c r="D964" s="47"/>
      <c r="E964" s="47"/>
      <c r="F964" s="47"/>
      <c r="G964" s="47"/>
      <c r="H964" s="126"/>
      <c r="I964" s="127"/>
      <c r="J964" s="47"/>
      <c r="K964" s="5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47"/>
      <c r="D965" s="47"/>
      <c r="E965" s="47"/>
      <c r="F965" s="47"/>
      <c r="G965" s="47"/>
      <c r="H965" s="126"/>
      <c r="I965" s="127"/>
      <c r="J965" s="47"/>
      <c r="K965" s="5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47"/>
      <c r="D966" s="47"/>
      <c r="E966" s="47"/>
      <c r="F966" s="47"/>
      <c r="G966" s="47"/>
      <c r="H966" s="126"/>
      <c r="I966" s="127"/>
      <c r="J966" s="47"/>
      <c r="K966" s="5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47"/>
      <c r="D967" s="47"/>
      <c r="E967" s="47"/>
      <c r="F967" s="47"/>
      <c r="G967" s="47"/>
      <c r="H967" s="126"/>
      <c r="I967" s="127"/>
      <c r="J967" s="47"/>
      <c r="K967" s="5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47"/>
      <c r="D968" s="47"/>
      <c r="E968" s="47"/>
      <c r="F968" s="47"/>
      <c r="G968" s="47"/>
      <c r="H968" s="126"/>
      <c r="I968" s="127"/>
      <c r="J968" s="47"/>
      <c r="K968" s="5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47"/>
      <c r="D969" s="47"/>
      <c r="E969" s="47"/>
      <c r="F969" s="47"/>
      <c r="G969" s="47"/>
      <c r="H969" s="126"/>
      <c r="I969" s="127"/>
      <c r="J969" s="47"/>
      <c r="K969" s="5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47"/>
      <c r="D970" s="47"/>
      <c r="E970" s="47"/>
      <c r="F970" s="47"/>
      <c r="G970" s="47"/>
      <c r="H970" s="126"/>
      <c r="I970" s="127"/>
      <c r="J970" s="47"/>
      <c r="K970" s="5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47"/>
      <c r="D971" s="47"/>
      <c r="E971" s="47"/>
      <c r="F971" s="47"/>
      <c r="G971" s="47"/>
      <c r="H971" s="126"/>
      <c r="I971" s="127"/>
      <c r="J971" s="47"/>
      <c r="K971" s="5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47"/>
      <c r="D972" s="47"/>
      <c r="E972" s="47"/>
      <c r="F972" s="47"/>
      <c r="G972" s="47"/>
      <c r="H972" s="126"/>
      <c r="I972" s="127"/>
      <c r="J972" s="47"/>
      <c r="K972" s="5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47"/>
      <c r="D973" s="47"/>
      <c r="E973" s="47"/>
      <c r="F973" s="47"/>
      <c r="G973" s="47"/>
      <c r="H973" s="126"/>
      <c r="I973" s="127"/>
      <c r="J973" s="47"/>
      <c r="K973" s="5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47"/>
      <c r="D974" s="47"/>
      <c r="E974" s="47"/>
      <c r="F974" s="47"/>
      <c r="G974" s="47"/>
      <c r="H974" s="126"/>
      <c r="I974" s="127"/>
      <c r="J974" s="47"/>
      <c r="K974" s="5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47"/>
      <c r="D975" s="47"/>
      <c r="E975" s="47"/>
      <c r="F975" s="47"/>
      <c r="G975" s="47"/>
      <c r="H975" s="126"/>
      <c r="I975" s="127"/>
      <c r="J975" s="47"/>
      <c r="K975" s="5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47"/>
      <c r="D976" s="47"/>
      <c r="E976" s="47"/>
      <c r="F976" s="47"/>
      <c r="G976" s="47"/>
      <c r="H976" s="126"/>
      <c r="I976" s="127"/>
      <c r="J976" s="47"/>
      <c r="K976" s="5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47"/>
      <c r="D977" s="47"/>
      <c r="E977" s="47"/>
      <c r="F977" s="47"/>
      <c r="G977" s="47"/>
      <c r="H977" s="126"/>
      <c r="I977" s="127"/>
      <c r="J977" s="47"/>
      <c r="K977" s="5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47"/>
      <c r="D978" s="47"/>
      <c r="E978" s="47"/>
      <c r="F978" s="47"/>
      <c r="G978" s="47"/>
      <c r="H978" s="126"/>
      <c r="I978" s="127"/>
      <c r="J978" s="47"/>
      <c r="K978" s="5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47"/>
      <c r="D979" s="47"/>
      <c r="E979" s="47"/>
      <c r="F979" s="47"/>
      <c r="G979" s="47"/>
      <c r="H979" s="126"/>
      <c r="I979" s="127"/>
      <c r="J979" s="47"/>
      <c r="K979" s="5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47"/>
      <c r="D980" s="47"/>
      <c r="E980" s="47"/>
      <c r="F980" s="47"/>
      <c r="G980" s="47"/>
      <c r="H980" s="126"/>
      <c r="I980" s="127"/>
      <c r="J980" s="47"/>
      <c r="K980" s="5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47"/>
      <c r="D981" s="47"/>
      <c r="E981" s="47"/>
      <c r="F981" s="47"/>
      <c r="G981" s="47"/>
      <c r="H981" s="126"/>
      <c r="I981" s="127"/>
      <c r="J981" s="47"/>
      <c r="K981" s="5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47"/>
      <c r="D982" s="47"/>
      <c r="E982" s="47"/>
      <c r="F982" s="47"/>
      <c r="G982" s="47"/>
      <c r="H982" s="126"/>
      <c r="I982" s="127"/>
      <c r="J982" s="47"/>
      <c r="K982" s="5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47"/>
      <c r="D983" s="47"/>
      <c r="E983" s="47"/>
      <c r="F983" s="47"/>
      <c r="G983" s="47"/>
      <c r="H983" s="126"/>
      <c r="I983" s="127"/>
      <c r="J983" s="47"/>
      <c r="K983" s="5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47"/>
      <c r="D984" s="47"/>
      <c r="E984" s="47"/>
      <c r="F984" s="47"/>
      <c r="G984" s="47"/>
      <c r="H984" s="126"/>
      <c r="I984" s="127"/>
      <c r="J984" s="47"/>
      <c r="K984" s="5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47"/>
      <c r="D985" s="47"/>
      <c r="E985" s="47"/>
      <c r="F985" s="47"/>
      <c r="G985" s="47"/>
      <c r="H985" s="126"/>
      <c r="I985" s="127"/>
      <c r="J985" s="47"/>
      <c r="K985" s="5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47"/>
      <c r="D986" s="47"/>
      <c r="E986" s="47"/>
      <c r="F986" s="47"/>
      <c r="G986" s="47"/>
      <c r="H986" s="126"/>
      <c r="I986" s="127"/>
      <c r="J986" s="47"/>
      <c r="K986" s="5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47"/>
      <c r="D987" s="47"/>
      <c r="E987" s="47"/>
      <c r="F987" s="47"/>
      <c r="G987" s="47"/>
      <c r="H987" s="126"/>
      <c r="I987" s="127"/>
      <c r="J987" s="47"/>
      <c r="K987" s="5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47"/>
      <c r="D988" s="47"/>
      <c r="E988" s="47"/>
      <c r="F988" s="47"/>
      <c r="G988" s="47"/>
      <c r="H988" s="126"/>
      <c r="I988" s="127"/>
      <c r="J988" s="47"/>
      <c r="K988" s="5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47"/>
      <c r="D989" s="47"/>
      <c r="E989" s="47"/>
      <c r="F989" s="47"/>
      <c r="G989" s="47"/>
      <c r="H989" s="126"/>
      <c r="I989" s="127"/>
      <c r="J989" s="47"/>
      <c r="K989" s="5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47"/>
      <c r="D990" s="47"/>
      <c r="E990" s="47"/>
      <c r="F990" s="47"/>
      <c r="G990" s="47"/>
      <c r="H990" s="126"/>
      <c r="I990" s="127"/>
      <c r="J990" s="47"/>
      <c r="K990" s="5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47"/>
      <c r="D991" s="47"/>
      <c r="E991" s="47"/>
      <c r="F991" s="47"/>
      <c r="G991" s="47"/>
      <c r="H991" s="126"/>
      <c r="I991" s="127"/>
      <c r="J991" s="47"/>
      <c r="K991" s="5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47"/>
      <c r="D992" s="47"/>
      <c r="E992" s="47"/>
      <c r="F992" s="47"/>
      <c r="G992" s="47"/>
      <c r="H992" s="126"/>
      <c r="I992" s="127"/>
      <c r="J992" s="47"/>
      <c r="K992" s="5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47"/>
      <c r="D993" s="47"/>
      <c r="E993" s="47"/>
      <c r="F993" s="47"/>
      <c r="G993" s="47"/>
      <c r="H993" s="126"/>
      <c r="I993" s="127"/>
      <c r="J993" s="47"/>
      <c r="K993" s="5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47"/>
      <c r="D994" s="47"/>
      <c r="E994" s="47"/>
      <c r="F994" s="47"/>
      <c r="G994" s="47"/>
      <c r="H994" s="126"/>
      <c r="I994" s="127"/>
      <c r="J994" s="47"/>
      <c r="K994" s="5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47"/>
      <c r="D995" s="47"/>
      <c r="E995" s="47"/>
      <c r="F995" s="47"/>
      <c r="G995" s="47"/>
      <c r="H995" s="126"/>
      <c r="I995" s="127"/>
      <c r="J995" s="47"/>
      <c r="K995" s="5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47"/>
      <c r="D996" s="47"/>
      <c r="E996" s="47"/>
      <c r="F996" s="47"/>
      <c r="G996" s="47"/>
      <c r="H996" s="126"/>
      <c r="I996" s="127"/>
      <c r="J996" s="47"/>
      <c r="K996" s="5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47"/>
      <c r="D997" s="47"/>
      <c r="E997" s="47"/>
      <c r="F997" s="47"/>
      <c r="G997" s="47"/>
      <c r="H997" s="126"/>
      <c r="I997" s="127"/>
      <c r="J997" s="47"/>
      <c r="K997" s="5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47"/>
      <c r="D998" s="47"/>
      <c r="E998" s="47"/>
      <c r="F998" s="47"/>
      <c r="G998" s="47"/>
      <c r="H998" s="126"/>
      <c r="I998" s="127"/>
      <c r="J998" s="47"/>
      <c r="K998" s="5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47"/>
      <c r="D999" s="47"/>
      <c r="E999" s="47"/>
      <c r="F999" s="47"/>
      <c r="G999" s="47"/>
      <c r="H999" s="126"/>
      <c r="I999" s="127"/>
      <c r="J999" s="47"/>
      <c r="K999" s="5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47"/>
      <c r="D1000" s="47"/>
      <c r="E1000" s="47"/>
      <c r="F1000" s="47"/>
      <c r="G1000" s="47"/>
      <c r="H1000" s="126"/>
      <c r="I1000" s="127"/>
      <c r="J1000" s="47"/>
      <c r="K1000" s="5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2">
    <mergeCell ref="C68:C69"/>
    <mergeCell ref="C70:C7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53.25"/>
    <col customWidth="1" min="3" max="3" width="8.0"/>
    <col customWidth="1" min="4" max="4" width="13.0"/>
    <col customWidth="1" min="5" max="5" width="8.0"/>
    <col customWidth="1" min="6" max="6" width="9.75"/>
    <col customWidth="1" min="7" max="7" width="14.38"/>
    <col customWidth="1" min="8" max="8" width="8.0"/>
    <col customWidth="1" min="9" max="9" width="12.38"/>
    <col customWidth="1" min="10" max="10" width="11.63"/>
    <col customWidth="1" min="11" max="26" width="8.0"/>
  </cols>
  <sheetData>
    <row r="1" ht="18.0" customHeight="1">
      <c r="A1" s="1" t="s">
        <v>0</v>
      </c>
      <c r="B1" s="5"/>
      <c r="C1" s="5"/>
      <c r="D1" s="5"/>
      <c r="E1" s="7"/>
      <c r="F1" s="8" t="s">
        <v>7</v>
      </c>
      <c r="G1" s="5"/>
      <c r="H1" s="7"/>
      <c r="I1" s="30">
        <v>6337784.0</v>
      </c>
      <c r="J1" s="7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9.5" customHeight="1">
      <c r="A2" s="31"/>
      <c r="B2" s="32"/>
      <c r="C2" s="32"/>
      <c r="D2" s="32"/>
      <c r="E2" s="32"/>
      <c r="F2" s="8" t="s">
        <v>18</v>
      </c>
      <c r="G2" s="5"/>
      <c r="H2" s="7"/>
      <c r="I2" s="30">
        <v>8312976.0</v>
      </c>
      <c r="J2" s="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6.5" customHeight="1">
      <c r="A3" s="35" t="s">
        <v>19</v>
      </c>
      <c r="B3" s="5"/>
      <c r="C3" s="5"/>
      <c r="D3" s="5"/>
      <c r="E3" s="5"/>
      <c r="F3" s="5"/>
      <c r="G3" s="5"/>
      <c r="H3" s="5"/>
      <c r="I3" s="7"/>
      <c r="J3" s="6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6.5" customHeight="1">
      <c r="A4" s="62"/>
      <c r="B4" s="63"/>
      <c r="C4" s="64"/>
      <c r="D4" s="65"/>
      <c r="E4" s="63"/>
      <c r="F4" s="63"/>
      <c r="G4" s="66"/>
      <c r="H4" s="67"/>
      <c r="I4" s="68"/>
      <c r="J4" s="67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39.0" customHeight="1">
      <c r="A5" s="108" t="s">
        <v>26</v>
      </c>
      <c r="B5" s="108" t="s">
        <v>25</v>
      </c>
      <c r="C5" s="108" t="s">
        <v>47</v>
      </c>
      <c r="D5" s="109" t="s">
        <v>48</v>
      </c>
      <c r="E5" s="111" t="s">
        <v>49</v>
      </c>
      <c r="F5" s="7"/>
      <c r="G5" s="118" t="s">
        <v>51</v>
      </c>
      <c r="H5" s="119" t="s">
        <v>55</v>
      </c>
      <c r="I5" s="120">
        <v>2015.0</v>
      </c>
      <c r="J5" s="185">
        <v>2016.0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86" t="s">
        <v>54</v>
      </c>
      <c r="B6" s="187" t="s">
        <v>69</v>
      </c>
      <c r="C6" s="188" t="s">
        <v>57</v>
      </c>
      <c r="D6" s="187" t="s">
        <v>58</v>
      </c>
      <c r="E6" s="197">
        <v>42005.0</v>
      </c>
      <c r="F6" s="254">
        <v>42643.0</v>
      </c>
      <c r="G6" s="256" t="str">
        <f>I6+J6</f>
        <v>1,314,483</v>
      </c>
      <c r="H6" s="267">
        <v>0.11</v>
      </c>
      <c r="I6" s="268">
        <v>716604.0</v>
      </c>
      <c r="J6" s="327">
        <v>597879.0</v>
      </c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</row>
    <row r="7" ht="14.25" customHeight="1">
      <c r="A7" s="330"/>
      <c r="B7" s="187" t="s">
        <v>124</v>
      </c>
      <c r="C7" s="331" t="s">
        <v>125</v>
      </c>
      <c r="D7" s="332" t="s">
        <v>126</v>
      </c>
      <c r="E7" s="254">
        <v>41671.0</v>
      </c>
      <c r="F7" s="254">
        <v>42756.0</v>
      </c>
      <c r="G7" s="268">
        <v>1249971.51</v>
      </c>
      <c r="H7" s="267">
        <v>0.1</v>
      </c>
      <c r="I7" s="268">
        <v>362851.0</v>
      </c>
      <c r="J7" s="327" t="str">
        <f>G7/3</f>
        <v>416,657</v>
      </c>
      <c r="K7" s="328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  <c r="X7" s="334"/>
      <c r="Y7" s="334"/>
      <c r="Z7" s="334"/>
    </row>
    <row r="8" ht="14.25" customHeight="1">
      <c r="A8" s="330"/>
      <c r="B8" s="187" t="s">
        <v>91</v>
      </c>
      <c r="C8" s="387" t="s">
        <v>92</v>
      </c>
      <c r="D8" s="388" t="s">
        <v>90</v>
      </c>
      <c r="E8" s="448">
        <v>41852.0</v>
      </c>
      <c r="F8" s="448">
        <v>43282.0</v>
      </c>
      <c r="G8" s="256">
        <v>6490660.0</v>
      </c>
      <c r="H8" s="449" t="s">
        <v>83</v>
      </c>
      <c r="I8" s="450">
        <v>1115147.0</v>
      </c>
      <c r="J8" s="535" t="str">
        <f>G8/4</f>
        <v>1,622,665</v>
      </c>
      <c r="K8" s="328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  <c r="X8" s="334"/>
      <c r="Y8" s="334"/>
      <c r="Z8" s="334"/>
    </row>
    <row r="9" ht="14.25" customHeight="1">
      <c r="A9" s="330"/>
      <c r="B9" s="187" t="s">
        <v>296</v>
      </c>
      <c r="C9" s="387" t="s">
        <v>129</v>
      </c>
      <c r="D9" s="388" t="s">
        <v>130</v>
      </c>
      <c r="E9" s="537">
        <v>41306.0</v>
      </c>
      <c r="F9" s="537">
        <v>42156.0</v>
      </c>
      <c r="G9" s="256">
        <v>876179.0</v>
      </c>
      <c r="H9" s="538" t="s">
        <v>83</v>
      </c>
      <c r="I9" s="256">
        <v>197953.0</v>
      </c>
      <c r="J9" s="539"/>
      <c r="K9" s="328"/>
      <c r="L9" s="334"/>
      <c r="M9" s="334"/>
      <c r="N9" s="334"/>
      <c r="O9" s="334"/>
      <c r="P9" s="334"/>
      <c r="Q9" s="334"/>
      <c r="R9" s="334"/>
      <c r="S9" s="334"/>
      <c r="T9" s="334"/>
      <c r="U9" s="334"/>
      <c r="V9" s="334"/>
      <c r="W9" s="334"/>
      <c r="X9" s="334"/>
      <c r="Y9" s="334"/>
      <c r="Z9" s="334"/>
    </row>
    <row r="10" ht="26.25" customHeight="1">
      <c r="A10" s="330"/>
      <c r="B10" s="187" t="s">
        <v>300</v>
      </c>
      <c r="C10" s="331" t="s">
        <v>188</v>
      </c>
      <c r="D10" s="596" t="s">
        <v>189</v>
      </c>
      <c r="E10" s="254">
        <v>41730.0</v>
      </c>
      <c r="F10" s="254">
        <v>42825.0</v>
      </c>
      <c r="G10" s="268">
        <v>1687546.0</v>
      </c>
      <c r="H10" s="597" t="s">
        <v>83</v>
      </c>
      <c r="I10" s="268">
        <v>490276.0</v>
      </c>
      <c r="J10" s="327" t="str">
        <f>(12/36)*G10</f>
        <v>562,515</v>
      </c>
      <c r="K10" s="328"/>
      <c r="L10" s="657"/>
      <c r="M10" s="657"/>
      <c r="N10" s="657"/>
      <c r="O10" s="657"/>
      <c r="P10" s="657"/>
      <c r="Q10" s="657"/>
      <c r="R10" s="657"/>
      <c r="S10" s="657"/>
      <c r="T10" s="657"/>
      <c r="U10" s="657"/>
      <c r="V10" s="657"/>
      <c r="W10" s="657"/>
      <c r="X10" s="657"/>
      <c r="Y10" s="657"/>
      <c r="Z10" s="657"/>
    </row>
    <row r="11" ht="14.25" customHeight="1">
      <c r="A11" s="659" t="s">
        <v>59</v>
      </c>
      <c r="B11" s="187" t="s">
        <v>402</v>
      </c>
      <c r="C11" s="331" t="s">
        <v>403</v>
      </c>
      <c r="D11" s="660" t="s">
        <v>404</v>
      </c>
      <c r="E11" s="661">
        <v>41365.0</v>
      </c>
      <c r="F11" s="662">
        <v>42460.0</v>
      </c>
      <c r="G11" s="665">
        <v>275691.0</v>
      </c>
      <c r="H11" s="267" t="s">
        <v>83</v>
      </c>
      <c r="I11" s="268">
        <v>57794.0</v>
      </c>
      <c r="J11" s="327" t="str">
        <f>G11/36*3</f>
        <v>22,974</v>
      </c>
      <c r="K11" s="328"/>
      <c r="L11" s="334"/>
      <c r="M11" s="334"/>
      <c r="N11" s="334"/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4"/>
    </row>
    <row r="12" ht="14.25" customHeight="1">
      <c r="A12" s="481"/>
      <c r="B12" s="187" t="s">
        <v>447</v>
      </c>
      <c r="C12" s="387" t="s">
        <v>448</v>
      </c>
      <c r="D12" s="667" t="s">
        <v>449</v>
      </c>
      <c r="E12" s="706">
        <v>42129.0</v>
      </c>
      <c r="F12" s="448">
        <v>42216.0</v>
      </c>
      <c r="G12" s="707">
        <v>34295.5</v>
      </c>
      <c r="H12" s="449" t="s">
        <v>83</v>
      </c>
      <c r="I12" s="450">
        <v>32492.0</v>
      </c>
      <c r="J12" s="535">
        <v>0.0</v>
      </c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U12" s="328"/>
      <c r="V12" s="328"/>
      <c r="W12" s="328"/>
      <c r="X12" s="328"/>
      <c r="Y12" s="328"/>
      <c r="Z12" s="328"/>
    </row>
    <row r="13" ht="14.25" customHeight="1">
      <c r="A13" s="481"/>
      <c r="B13" s="187" t="s">
        <v>60</v>
      </c>
      <c r="C13" s="387" t="s">
        <v>61</v>
      </c>
      <c r="D13" s="667" t="s">
        <v>58</v>
      </c>
      <c r="E13" s="706">
        <v>41395.0</v>
      </c>
      <c r="F13" s="713">
        <v>42490.0</v>
      </c>
      <c r="G13" s="714">
        <v>833333.0</v>
      </c>
      <c r="H13" s="449">
        <v>0.0</v>
      </c>
      <c r="I13" s="450">
        <v>196748.0</v>
      </c>
      <c r="J13" s="535" t="str">
        <f>G13/36*4</f>
        <v>92,593</v>
      </c>
      <c r="K13" s="334"/>
      <c r="L13" s="334"/>
      <c r="M13" s="334"/>
      <c r="N13" s="334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334"/>
      <c r="Z13" s="334"/>
    </row>
    <row r="14" ht="14.25" customHeight="1">
      <c r="A14" s="715"/>
      <c r="B14" s="187" t="s">
        <v>488</v>
      </c>
      <c r="C14" s="387" t="s">
        <v>489</v>
      </c>
      <c r="D14" s="667" t="s">
        <v>189</v>
      </c>
      <c r="E14" s="706">
        <v>42157.0</v>
      </c>
      <c r="F14" s="713">
        <v>42335.0</v>
      </c>
      <c r="G14" s="714">
        <v>8000.0</v>
      </c>
      <c r="H14" s="449" t="s">
        <v>83</v>
      </c>
      <c r="I14" s="450">
        <v>8000.0</v>
      </c>
      <c r="J14" s="535" t="str">
        <f>I14</f>
        <v>8,000</v>
      </c>
      <c r="K14" s="334"/>
      <c r="L14" s="334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  <c r="X14" s="334"/>
      <c r="Y14" s="334"/>
      <c r="Z14" s="334"/>
    </row>
    <row r="15" ht="14.25" customHeight="1">
      <c r="A15" s="659" t="s">
        <v>93</v>
      </c>
      <c r="B15" s="187" t="s">
        <v>190</v>
      </c>
      <c r="C15" s="387" t="s">
        <v>191</v>
      </c>
      <c r="D15" s="667" t="s">
        <v>189</v>
      </c>
      <c r="E15" s="448">
        <v>40326.0</v>
      </c>
      <c r="F15" s="448">
        <v>42094.0</v>
      </c>
      <c r="G15" s="714">
        <v>990265.0</v>
      </c>
      <c r="H15" s="450" t="s">
        <v>83</v>
      </c>
      <c r="I15" s="450">
        <v>175957.0</v>
      </c>
      <c r="J15" s="535">
        <v>0.0</v>
      </c>
      <c r="K15" s="334"/>
      <c r="L15" s="334"/>
      <c r="M15" s="334"/>
      <c r="N15" s="334"/>
      <c r="O15" s="334"/>
      <c r="P15" s="334"/>
      <c r="Q15" s="334"/>
      <c r="R15" s="334"/>
      <c r="S15" s="334"/>
      <c r="T15" s="334"/>
      <c r="U15" s="334"/>
      <c r="V15" s="334"/>
      <c r="W15" s="334"/>
      <c r="X15" s="334"/>
      <c r="Y15" s="334"/>
      <c r="Z15" s="334"/>
    </row>
    <row r="16" ht="14.25" customHeight="1">
      <c r="A16" s="481"/>
      <c r="B16" s="187" t="s">
        <v>490</v>
      </c>
      <c r="C16" s="387" t="s">
        <v>95</v>
      </c>
      <c r="D16" s="718" t="s">
        <v>90</v>
      </c>
      <c r="E16" s="537">
        <v>41883.0</v>
      </c>
      <c r="F16" s="537">
        <v>42036.0</v>
      </c>
      <c r="G16" s="714">
        <v>132983.0</v>
      </c>
      <c r="H16" s="256" t="s">
        <v>83</v>
      </c>
      <c r="I16" s="450">
        <v>46455.0</v>
      </c>
      <c r="J16" s="535"/>
      <c r="K16" s="334"/>
      <c r="L16" s="334"/>
      <c r="M16" s="334"/>
      <c r="N16" s="334"/>
      <c r="O16" s="334"/>
      <c r="P16" s="334"/>
      <c r="Q16" s="334"/>
      <c r="R16" s="334"/>
      <c r="S16" s="334"/>
      <c r="T16" s="334"/>
      <c r="U16" s="334"/>
      <c r="V16" s="334"/>
      <c r="W16" s="334"/>
      <c r="X16" s="334"/>
      <c r="Y16" s="334"/>
      <c r="Z16" s="334"/>
    </row>
    <row r="17" ht="16.5" customHeight="1">
      <c r="A17" s="481"/>
      <c r="B17" s="187" t="s">
        <v>491</v>
      </c>
      <c r="C17" s="387" t="s">
        <v>492</v>
      </c>
      <c r="D17" s="667" t="s">
        <v>90</v>
      </c>
      <c r="E17" s="448">
        <v>42095.0</v>
      </c>
      <c r="F17" s="448">
        <v>42216.0</v>
      </c>
      <c r="G17" s="707">
        <v>137582.0</v>
      </c>
      <c r="H17" s="450" t="s">
        <v>83</v>
      </c>
      <c r="I17" s="450">
        <v>137582.0</v>
      </c>
      <c r="J17" s="535">
        <v>0.0</v>
      </c>
      <c r="K17" s="334"/>
      <c r="L17" s="334"/>
      <c r="M17" s="334"/>
      <c r="N17" s="334"/>
      <c r="O17" s="334"/>
      <c r="P17" s="334"/>
      <c r="Q17" s="334"/>
      <c r="R17" s="334"/>
      <c r="S17" s="334"/>
      <c r="T17" s="334"/>
      <c r="U17" s="334"/>
      <c r="V17" s="334"/>
      <c r="W17" s="334"/>
      <c r="X17" s="334"/>
      <c r="Y17" s="334"/>
      <c r="Z17" s="334"/>
    </row>
    <row r="18" ht="14.25" customHeight="1">
      <c r="A18" s="543"/>
      <c r="B18" s="187" t="s">
        <v>493</v>
      </c>
      <c r="C18" s="387" t="s">
        <v>193</v>
      </c>
      <c r="D18" s="667" t="s">
        <v>194</v>
      </c>
      <c r="E18" s="448">
        <v>41791.0</v>
      </c>
      <c r="F18" s="448">
        <v>42491.0</v>
      </c>
      <c r="G18" s="714">
        <v>1250823.0</v>
      </c>
      <c r="H18" s="450" t="s">
        <v>83</v>
      </c>
      <c r="I18" s="450">
        <v>693400.0</v>
      </c>
      <c r="J18" s="535" t="str">
        <f>G18/24*5</f>
        <v>260,588</v>
      </c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  <c r="X18" s="334"/>
      <c r="Y18" s="334"/>
      <c r="Z18" s="334"/>
    </row>
    <row r="19" ht="20.25" customHeight="1">
      <c r="A19" s="659" t="s">
        <v>397</v>
      </c>
      <c r="B19" s="187" t="s">
        <v>494</v>
      </c>
      <c r="C19" s="387" t="s">
        <v>495</v>
      </c>
      <c r="D19" s="667" t="s">
        <v>496</v>
      </c>
      <c r="E19" s="448">
        <v>41974.0</v>
      </c>
      <c r="F19" s="448">
        <v>42155.0</v>
      </c>
      <c r="G19" s="256">
        <v>68970.0</v>
      </c>
      <c r="H19" s="753" t="s">
        <v>83</v>
      </c>
      <c r="I19" s="450">
        <v>39083.0</v>
      </c>
      <c r="J19" s="535">
        <v>0.0</v>
      </c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  <c r="X19" s="334"/>
      <c r="Y19" s="334"/>
      <c r="Z19" s="334"/>
    </row>
    <row r="20" ht="14.25" customHeight="1">
      <c r="A20" s="543"/>
      <c r="B20" s="187" t="s">
        <v>511</v>
      </c>
      <c r="C20" s="387" t="s">
        <v>512</v>
      </c>
      <c r="D20" s="667" t="s">
        <v>513</v>
      </c>
      <c r="E20" s="448">
        <v>42064.0</v>
      </c>
      <c r="F20" s="448">
        <v>42216.0</v>
      </c>
      <c r="G20" s="256">
        <v>108847.0</v>
      </c>
      <c r="H20" s="753" t="s">
        <v>83</v>
      </c>
      <c r="I20" s="450" t="str">
        <f>G20</f>
        <v>108,847</v>
      </c>
      <c r="J20" s="535">
        <v>0.0</v>
      </c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328"/>
      <c r="Y20" s="328"/>
      <c r="Z20" s="328"/>
    </row>
    <row r="21" ht="14.25" customHeight="1">
      <c r="A21" s="330"/>
      <c r="B21" s="187" t="s">
        <v>514</v>
      </c>
      <c r="C21" s="776" t="s">
        <v>515</v>
      </c>
      <c r="D21" s="667" t="s">
        <v>528</v>
      </c>
      <c r="E21" s="448">
        <v>42186.0</v>
      </c>
      <c r="F21" s="448">
        <v>42460.0</v>
      </c>
      <c r="G21" s="256">
        <v>192175.0</v>
      </c>
      <c r="H21" s="777" t="s">
        <v>83</v>
      </c>
      <c r="I21" s="256">
        <v>98494.0</v>
      </c>
      <c r="J21" s="539" t="str">
        <f t="shared" ref="J21:J22" si="1">G21-I21</f>
        <v>93,681</v>
      </c>
      <c r="K21" s="328"/>
      <c r="L21" s="328"/>
      <c r="M21" s="328"/>
      <c r="N21" s="328"/>
      <c r="O21" s="328"/>
      <c r="P21" s="328"/>
      <c r="Q21" s="328"/>
      <c r="R21" s="328"/>
      <c r="S21" s="328"/>
      <c r="T21" s="328"/>
      <c r="U21" s="328"/>
      <c r="V21" s="328"/>
      <c r="W21" s="328"/>
      <c r="X21" s="328"/>
      <c r="Y21" s="328"/>
      <c r="Z21" s="328"/>
    </row>
    <row r="22" ht="14.25" customHeight="1">
      <c r="A22" s="330"/>
      <c r="B22" s="187" t="s">
        <v>529</v>
      </c>
      <c r="C22" s="776" t="s">
        <v>530</v>
      </c>
      <c r="D22" s="667" t="s">
        <v>528</v>
      </c>
      <c r="E22" s="448">
        <v>42186.0</v>
      </c>
      <c r="F22" s="448">
        <v>42460.0</v>
      </c>
      <c r="G22" s="256">
        <v>245000.0</v>
      </c>
      <c r="H22" s="777" t="s">
        <v>83</v>
      </c>
      <c r="I22" s="256">
        <v>123729.0</v>
      </c>
      <c r="J22" s="539" t="str">
        <f t="shared" si="1"/>
        <v>121,271</v>
      </c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  <c r="X22" s="328"/>
      <c r="Y22" s="328"/>
      <c r="Z22" s="328"/>
    </row>
    <row r="23" ht="16.5" customHeight="1">
      <c r="A23" s="330"/>
      <c r="B23" s="187" t="s">
        <v>531</v>
      </c>
      <c r="C23" s="776" t="s">
        <v>532</v>
      </c>
      <c r="D23" s="667" t="s">
        <v>533</v>
      </c>
      <c r="E23" s="448">
        <v>42156.0</v>
      </c>
      <c r="F23" s="448">
        <v>42186.0</v>
      </c>
      <c r="G23" s="450">
        <v>5625.0</v>
      </c>
      <c r="H23" s="753" t="s">
        <v>83</v>
      </c>
      <c r="I23" s="450" t="str">
        <f>G23</f>
        <v>5,625</v>
      </c>
      <c r="J23" s="535">
        <v>0.0</v>
      </c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  <c r="X23" s="328"/>
      <c r="Y23" s="328"/>
      <c r="Z23" s="328"/>
    </row>
    <row r="24" ht="14.25" customHeight="1">
      <c r="A24" s="186" t="s">
        <v>195</v>
      </c>
      <c r="B24" s="187" t="s">
        <v>196</v>
      </c>
      <c r="C24" s="387" t="s">
        <v>197</v>
      </c>
      <c r="D24" s="667" t="s">
        <v>198</v>
      </c>
      <c r="E24" s="448">
        <v>40848.0</v>
      </c>
      <c r="F24" s="448">
        <v>42917.0</v>
      </c>
      <c r="G24" s="450">
        <v>794831.0</v>
      </c>
      <c r="H24" s="450" t="s">
        <v>83</v>
      </c>
      <c r="I24" s="450">
        <v>195547.0</v>
      </c>
      <c r="J24" s="535">
        <v>130000.0</v>
      </c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4"/>
    </row>
    <row r="25" ht="14.25" customHeight="1">
      <c r="A25" s="779" t="s">
        <v>96</v>
      </c>
      <c r="B25" s="187" t="s">
        <v>97</v>
      </c>
      <c r="C25" s="387" t="s">
        <v>98</v>
      </c>
      <c r="D25" s="667" t="s">
        <v>90</v>
      </c>
      <c r="E25" s="448">
        <v>41275.0</v>
      </c>
      <c r="F25" s="448">
        <v>42369.0</v>
      </c>
      <c r="G25" s="450">
        <v>1188108.0</v>
      </c>
      <c r="H25" s="450" t="s">
        <v>83</v>
      </c>
      <c r="I25" s="450">
        <v>457702.0</v>
      </c>
      <c r="J25" s="535">
        <v>200000.0</v>
      </c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4"/>
    </row>
    <row r="26" ht="14.25" customHeight="1">
      <c r="A26" s="330" t="s">
        <v>199</v>
      </c>
      <c r="B26" s="187" t="s">
        <v>200</v>
      </c>
      <c r="C26" s="387" t="s">
        <v>201</v>
      </c>
      <c r="D26" s="667" t="s">
        <v>202</v>
      </c>
      <c r="E26" s="448">
        <v>41579.0</v>
      </c>
      <c r="F26" s="448">
        <v>42064.0</v>
      </c>
      <c r="G26" s="268" t="str">
        <f>394974-140000</f>
        <v>254,974</v>
      </c>
      <c r="H26" s="450" t="s">
        <v>83</v>
      </c>
      <c r="I26" s="450">
        <v>107384.0</v>
      </c>
      <c r="J26" s="535">
        <v>75000.0</v>
      </c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4"/>
    </row>
    <row r="27" ht="14.25" customHeight="1">
      <c r="A27" s="330"/>
      <c r="B27" s="187" t="s">
        <v>534</v>
      </c>
      <c r="C27" s="387" t="s">
        <v>535</v>
      </c>
      <c r="D27" s="781" t="str">
        <f>D26</f>
        <v>DFID ACPP</v>
      </c>
      <c r="E27" s="448">
        <v>42095.0</v>
      </c>
      <c r="F27" s="448">
        <v>42430.0</v>
      </c>
      <c r="G27" s="268">
        <v>140000.0</v>
      </c>
      <c r="H27" s="450" t="s">
        <v>83</v>
      </c>
      <c r="I27" s="450">
        <v>109686.0</v>
      </c>
      <c r="J27" s="783" t="str">
        <f>G27-I27</f>
        <v>30,314</v>
      </c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4"/>
    </row>
    <row r="28" ht="14.25" customHeight="1">
      <c r="A28" s="659" t="s">
        <v>450</v>
      </c>
      <c r="B28" s="187" t="s">
        <v>439</v>
      </c>
      <c r="C28" s="331" t="s">
        <v>477</v>
      </c>
      <c r="D28" s="660" t="s">
        <v>478</v>
      </c>
      <c r="E28" s="254">
        <v>42005.0</v>
      </c>
      <c r="F28" s="254">
        <v>42369.0</v>
      </c>
      <c r="G28" s="268">
        <v>124246.0</v>
      </c>
      <c r="H28" s="268" t="s">
        <v>83</v>
      </c>
      <c r="I28" s="268" t="str">
        <f>G28</f>
        <v>124,246</v>
      </c>
      <c r="J28" s="327">
        <v>0.0</v>
      </c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</row>
    <row r="29" ht="14.25" customHeight="1">
      <c r="A29" s="481"/>
      <c r="B29" s="187" t="s">
        <v>544</v>
      </c>
      <c r="C29" s="331" t="s">
        <v>545</v>
      </c>
      <c r="D29" s="660" t="s">
        <v>478</v>
      </c>
      <c r="E29" s="254">
        <v>42005.0</v>
      </c>
      <c r="F29" s="254">
        <v>42339.0</v>
      </c>
      <c r="G29" s="268">
        <v>17500.0</v>
      </c>
      <c r="H29" s="268" t="s">
        <v>83</v>
      </c>
      <c r="I29" s="268">
        <v>17500.0</v>
      </c>
      <c r="J29" s="327"/>
      <c r="K29" s="328"/>
      <c r="L29" s="328"/>
      <c r="M29" s="328"/>
      <c r="N29" s="328"/>
      <c r="O29" s="328"/>
      <c r="P29" s="328"/>
      <c r="Q29" s="328"/>
      <c r="R29" s="328"/>
      <c r="S29" s="328"/>
      <c r="T29" s="328"/>
      <c r="U29" s="328"/>
      <c r="V29" s="328"/>
      <c r="W29" s="328"/>
      <c r="X29" s="328"/>
      <c r="Y29" s="328"/>
      <c r="Z29" s="328"/>
    </row>
    <row r="30" ht="16.5" customHeight="1">
      <c r="A30" s="715"/>
      <c r="B30" s="187" t="s">
        <v>479</v>
      </c>
      <c r="C30" s="331" t="s">
        <v>480</v>
      </c>
      <c r="D30" s="660" t="s">
        <v>478</v>
      </c>
      <c r="E30" s="254">
        <v>42005.0</v>
      </c>
      <c r="F30" s="254">
        <v>42369.0</v>
      </c>
      <c r="G30" s="268">
        <v>179053.0</v>
      </c>
      <c r="H30" s="268" t="s">
        <v>83</v>
      </c>
      <c r="I30" s="268" t="str">
        <f>G30</f>
        <v>179,053</v>
      </c>
      <c r="J30" s="327">
        <v>0.0</v>
      </c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</row>
    <row r="31" ht="16.5" customHeight="1">
      <c r="A31" s="659" t="s">
        <v>546</v>
      </c>
      <c r="B31" s="187" t="s">
        <v>482</v>
      </c>
      <c r="C31" s="331" t="s">
        <v>483</v>
      </c>
      <c r="D31" s="660" t="s">
        <v>484</v>
      </c>
      <c r="E31" s="254">
        <v>41730.0</v>
      </c>
      <c r="F31" s="254">
        <v>42094.0</v>
      </c>
      <c r="G31" s="268">
        <v>34200.0</v>
      </c>
      <c r="H31" s="268" t="s">
        <v>83</v>
      </c>
      <c r="I31" s="268">
        <v>14560.0</v>
      </c>
      <c r="J31" s="327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4"/>
    </row>
    <row r="32" ht="16.5" customHeight="1">
      <c r="A32" s="481"/>
      <c r="B32" s="187" t="s">
        <v>556</v>
      </c>
      <c r="C32" s="331" t="s">
        <v>557</v>
      </c>
      <c r="D32" s="660" t="s">
        <v>237</v>
      </c>
      <c r="E32" s="254">
        <v>42186.0</v>
      </c>
      <c r="F32" s="254">
        <v>42522.0</v>
      </c>
      <c r="G32" s="268">
        <v>40000.0</v>
      </c>
      <c r="H32" s="268" t="s">
        <v>83</v>
      </c>
      <c r="I32" s="268">
        <v>20000.0</v>
      </c>
      <c r="J32" s="327">
        <v>20000.0</v>
      </c>
      <c r="K32" s="334"/>
      <c r="L32" s="334"/>
      <c r="M32" s="334"/>
      <c r="N32" s="334"/>
      <c r="O32" s="334"/>
      <c r="P32" s="334"/>
      <c r="Q32" s="334"/>
      <c r="R32" s="334"/>
      <c r="S32" s="334"/>
      <c r="T32" s="334"/>
      <c r="U32" s="334"/>
      <c r="V32" s="334"/>
      <c r="W32" s="334"/>
      <c r="X32" s="334"/>
      <c r="Y32" s="334"/>
      <c r="Z32" s="334"/>
    </row>
    <row r="33" ht="14.25" customHeight="1">
      <c r="A33" s="481"/>
      <c r="B33" s="187" t="s">
        <v>558</v>
      </c>
      <c r="C33" s="776" t="s">
        <v>559</v>
      </c>
      <c r="D33" s="667" t="s">
        <v>237</v>
      </c>
      <c r="E33" s="448">
        <v>42186.0</v>
      </c>
      <c r="F33" s="448">
        <v>42551.0</v>
      </c>
      <c r="G33" s="450">
        <v>40000.0</v>
      </c>
      <c r="H33" s="450" t="s">
        <v>83</v>
      </c>
      <c r="I33" s="450" t="str">
        <f>G33/2</f>
        <v>20,000</v>
      </c>
      <c r="J33" s="535" t="str">
        <f>G33/2</f>
        <v>20,000</v>
      </c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4"/>
      <c r="V33" s="334"/>
      <c r="W33" s="334"/>
      <c r="X33" s="334"/>
      <c r="Y33" s="334"/>
      <c r="Z33" s="334"/>
    </row>
    <row r="34" ht="14.25" customHeight="1">
      <c r="A34" s="715"/>
      <c r="B34" s="187" t="s">
        <v>485</v>
      </c>
      <c r="C34" s="331" t="s">
        <v>486</v>
      </c>
      <c r="D34" s="660" t="s">
        <v>484</v>
      </c>
      <c r="E34" s="254">
        <v>41730.0</v>
      </c>
      <c r="F34" s="254">
        <v>42156.0</v>
      </c>
      <c r="G34" s="268">
        <v>41915.0</v>
      </c>
      <c r="H34" s="268" t="s">
        <v>83</v>
      </c>
      <c r="I34" s="268">
        <v>34543.0</v>
      </c>
      <c r="J34" s="327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  <c r="X34" s="334"/>
      <c r="Y34" s="334"/>
      <c r="Z34" s="334"/>
    </row>
    <row r="35" ht="16.5" customHeight="1">
      <c r="A35" s="821"/>
      <c r="B35" s="822"/>
      <c r="C35" s="827"/>
      <c r="D35" s="828"/>
      <c r="E35" s="829"/>
      <c r="F35" s="829"/>
      <c r="G35" s="830"/>
      <c r="H35" s="831"/>
      <c r="I35" s="831"/>
      <c r="J35" s="83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7.25" customHeight="1">
      <c r="A36" s="853" t="s">
        <v>216</v>
      </c>
      <c r="B36" s="3"/>
      <c r="C36" s="3"/>
      <c r="D36" s="3"/>
      <c r="E36" s="3"/>
      <c r="F36" s="3"/>
      <c r="G36" s="3"/>
      <c r="H36" s="48"/>
      <c r="I36" s="856" t="str">
        <f>SUM(I6:I35)</f>
        <v>5,887,258</v>
      </c>
      <c r="J36" s="856" t="str">
        <f>SUM(J6:J34)</f>
        <v>4,274,137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7.25" customHeight="1">
      <c r="A37" s="49"/>
      <c r="B37" s="50"/>
      <c r="C37" s="50"/>
      <c r="D37" s="50"/>
      <c r="E37" s="50"/>
      <c r="F37" s="50"/>
      <c r="G37" s="50"/>
      <c r="H37" s="507"/>
      <c r="I37" s="913" t="str">
        <f>I36/I1</f>
        <v>93%</v>
      </c>
      <c r="J37" s="913" t="str">
        <f>J36/I2</f>
        <v>51%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50.25" customHeight="1">
      <c r="A38" s="35" t="s">
        <v>462</v>
      </c>
      <c r="B38" s="5"/>
      <c r="C38" s="5"/>
      <c r="D38" s="5"/>
      <c r="E38" s="5"/>
      <c r="F38" s="5"/>
      <c r="G38" s="5"/>
      <c r="H38" s="5"/>
      <c r="I38" s="5"/>
      <c r="J38" s="7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40.5" customHeight="1">
      <c r="A39" s="915"/>
      <c r="B39" s="916"/>
      <c r="C39" s="917"/>
      <c r="D39" s="918"/>
      <c r="E39" s="916"/>
      <c r="F39" s="916"/>
      <c r="G39" s="948"/>
      <c r="H39" s="949"/>
      <c r="I39" s="950"/>
      <c r="J39" s="94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21.0" customHeight="1">
      <c r="A40" s="951" t="s">
        <v>366</v>
      </c>
      <c r="B40" s="951" t="s">
        <v>25</v>
      </c>
      <c r="C40" s="951" t="s">
        <v>457</v>
      </c>
      <c r="D40" s="951" t="s">
        <v>48</v>
      </c>
      <c r="E40" s="955" t="s">
        <v>458</v>
      </c>
      <c r="F40" s="957" t="s">
        <v>459</v>
      </c>
      <c r="G40" s="990" t="s">
        <v>460</v>
      </c>
      <c r="H40" s="957" t="s">
        <v>461</v>
      </c>
      <c r="I40" s="951">
        <v>2015.0</v>
      </c>
      <c r="J40" s="951">
        <v>2016.0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4.25" customHeight="1">
      <c r="A41" s="992" t="s">
        <v>54</v>
      </c>
      <c r="B41" s="993" t="s">
        <v>634</v>
      </c>
      <c r="C41" s="994" t="s">
        <v>548</v>
      </c>
      <c r="D41" s="995" t="s">
        <v>635</v>
      </c>
      <c r="E41" s="197">
        <v>42031.0</v>
      </c>
      <c r="F41" s="996">
        <v>12.0</v>
      </c>
      <c r="G41" s="997">
        <v>130925.0</v>
      </c>
      <c r="H41" s="538" t="s">
        <v>83</v>
      </c>
      <c r="I41" s="997" t="str">
        <f>0.5*G41</f>
        <v>65,463</v>
      </c>
      <c r="J41" s="256" t="str">
        <f>0.5*G41</f>
        <v>65,463</v>
      </c>
      <c r="K41" s="999"/>
      <c r="L41" s="999"/>
      <c r="M41" s="999"/>
      <c r="N41" s="999"/>
      <c r="O41" s="999"/>
      <c r="P41" s="999"/>
      <c r="Q41" s="999"/>
      <c r="R41" s="999"/>
      <c r="S41" s="999"/>
      <c r="T41" s="999"/>
      <c r="U41" s="999"/>
      <c r="V41" s="999"/>
      <c r="W41" s="999"/>
      <c r="X41" s="999"/>
      <c r="Y41" s="999"/>
      <c r="Z41" s="999"/>
    </row>
    <row r="42" ht="16.5" customHeight="1">
      <c r="A42" s="715"/>
      <c r="B42" s="1000" t="s">
        <v>636</v>
      </c>
      <c r="C42" s="1001" t="s">
        <v>637</v>
      </c>
      <c r="D42" s="1002" t="s">
        <v>189</v>
      </c>
      <c r="E42" s="1003" t="s">
        <v>68</v>
      </c>
      <c r="F42" s="1004">
        <v>36.0</v>
      </c>
      <c r="G42" s="1005">
        <v>6000000.0</v>
      </c>
      <c r="H42" s="1006" t="s">
        <v>83</v>
      </c>
      <c r="I42" s="1007">
        <v>0.0</v>
      </c>
      <c r="J42" s="1007" t="str">
        <f>G42*12/36</f>
        <v>2,000,000</v>
      </c>
      <c r="K42" s="1009"/>
      <c r="L42" s="1009"/>
      <c r="M42" s="1009"/>
      <c r="N42" s="1009"/>
      <c r="O42" s="1009"/>
      <c r="P42" s="1009"/>
      <c r="Q42" s="1009"/>
      <c r="R42" s="1009"/>
      <c r="S42" s="1009"/>
      <c r="T42" s="1009"/>
      <c r="U42" s="1009"/>
      <c r="V42" s="1009"/>
      <c r="W42" s="1009"/>
      <c r="X42" s="1009"/>
      <c r="Y42" s="1009"/>
      <c r="Z42" s="1009"/>
    </row>
    <row r="43" ht="16.5" customHeight="1">
      <c r="A43" s="1011" t="s">
        <v>397</v>
      </c>
      <c r="B43" s="1012" t="s">
        <v>639</v>
      </c>
      <c r="C43" s="1013" t="s">
        <v>640</v>
      </c>
      <c r="D43" s="1014" t="s">
        <v>513</v>
      </c>
      <c r="E43" s="1015">
        <v>42186.0</v>
      </c>
      <c r="F43" s="1016">
        <v>4.0</v>
      </c>
      <c r="G43" s="1017">
        <v>67200.0</v>
      </c>
      <c r="H43" s="1018" t="s">
        <v>83</v>
      </c>
      <c r="I43" s="1035" t="str">
        <f>G43</f>
        <v>67,200</v>
      </c>
      <c r="J43" s="1035">
        <v>0.0</v>
      </c>
      <c r="K43" s="1036"/>
      <c r="L43" s="1036"/>
      <c r="M43" s="1036"/>
      <c r="N43" s="1036"/>
      <c r="O43" s="1036"/>
      <c r="P43" s="1036"/>
      <c r="Q43" s="1036"/>
      <c r="R43" s="1036"/>
      <c r="S43" s="1036"/>
      <c r="T43" s="1036"/>
      <c r="U43" s="1036"/>
      <c r="V43" s="1036"/>
      <c r="W43" s="1036"/>
      <c r="X43" s="1036"/>
      <c r="Y43" s="1036"/>
      <c r="Z43" s="1036"/>
    </row>
    <row r="44" ht="16.5" customHeight="1">
      <c r="A44" s="715"/>
      <c r="B44" s="1000" t="s">
        <v>646</v>
      </c>
      <c r="C44" s="1001" t="s">
        <v>637</v>
      </c>
      <c r="D44" s="1002" t="s">
        <v>58</v>
      </c>
      <c r="E44" s="1003">
        <v>42095.0</v>
      </c>
      <c r="F44" s="1004">
        <v>30.0</v>
      </c>
      <c r="G44" s="1005">
        <v>892166.0</v>
      </c>
      <c r="H44" s="1006">
        <v>0.15</v>
      </c>
      <c r="I44" s="1007">
        <v>0.0</v>
      </c>
      <c r="J44" s="1007" t="str">
        <f>G44*12/30</f>
        <v>356,866</v>
      </c>
      <c r="K44" s="1009"/>
      <c r="L44" s="1009"/>
      <c r="M44" s="1009"/>
      <c r="N44" s="1009"/>
      <c r="O44" s="1009"/>
      <c r="P44" s="1009"/>
      <c r="Q44" s="1009"/>
      <c r="R44" s="1009"/>
      <c r="S44" s="1009"/>
      <c r="T44" s="1009"/>
      <c r="U44" s="1009"/>
      <c r="V44" s="1009"/>
      <c r="W44" s="1009"/>
      <c r="X44" s="1009"/>
      <c r="Y44" s="1009"/>
      <c r="Z44" s="1009"/>
    </row>
    <row r="45" ht="16.5" customHeight="1">
      <c r="A45" s="1039" t="s">
        <v>647</v>
      </c>
      <c r="B45" s="1012" t="s">
        <v>648</v>
      </c>
      <c r="C45" s="1013" t="s">
        <v>640</v>
      </c>
      <c r="D45" s="1014" t="s">
        <v>649</v>
      </c>
      <c r="E45" s="1040">
        <v>42079.0</v>
      </c>
      <c r="F45" s="1016">
        <v>36.0</v>
      </c>
      <c r="G45" s="1017">
        <v>705894.0</v>
      </c>
      <c r="H45" s="1018">
        <v>0.1</v>
      </c>
      <c r="I45" s="1035">
        <v>0.0</v>
      </c>
      <c r="J45" s="1035" t="str">
        <f t="shared" ref="J45:J46" si="2">G45*12/36</f>
        <v>235,298</v>
      </c>
      <c r="K45" s="1009"/>
      <c r="L45" s="1009"/>
      <c r="M45" s="1009"/>
      <c r="N45" s="1009"/>
      <c r="O45" s="1009"/>
      <c r="P45" s="1009"/>
      <c r="Q45" s="1009"/>
      <c r="R45" s="1009"/>
      <c r="S45" s="1009"/>
      <c r="T45" s="1009"/>
      <c r="U45" s="1009"/>
      <c r="V45" s="1009"/>
      <c r="W45" s="1009"/>
      <c r="X45" s="1009"/>
      <c r="Y45" s="1009"/>
      <c r="Z45" s="1009"/>
    </row>
    <row r="46" ht="16.5" customHeight="1">
      <c r="A46" s="715"/>
      <c r="B46" s="1050" t="s">
        <v>650</v>
      </c>
      <c r="C46" s="1051" t="s">
        <v>640</v>
      </c>
      <c r="D46" s="1050" t="s">
        <v>651</v>
      </c>
      <c r="E46" s="1015">
        <v>41883.0</v>
      </c>
      <c r="F46" s="1052">
        <v>36.0</v>
      </c>
      <c r="G46" s="1053">
        <v>217422.0</v>
      </c>
      <c r="H46" s="1054" t="s">
        <v>83</v>
      </c>
      <c r="I46" s="1055">
        <v>27915.0</v>
      </c>
      <c r="J46" s="1055" t="str">
        <f t="shared" si="2"/>
        <v>72,474</v>
      </c>
      <c r="K46" s="1009"/>
      <c r="L46" s="1009"/>
      <c r="M46" s="1009"/>
      <c r="N46" s="1009"/>
      <c r="O46" s="1009"/>
      <c r="P46" s="1009"/>
      <c r="Q46" s="1009"/>
      <c r="R46" s="1009"/>
      <c r="S46" s="1009"/>
      <c r="T46" s="1009"/>
      <c r="U46" s="1009"/>
      <c r="V46" s="1009"/>
      <c r="W46" s="1009"/>
      <c r="X46" s="1009"/>
      <c r="Y46" s="1009"/>
      <c r="Z46" s="1009"/>
    </row>
    <row r="47" ht="16.5" customHeight="1">
      <c r="A47" s="1057" t="s">
        <v>93</v>
      </c>
      <c r="B47" s="1058" t="s">
        <v>652</v>
      </c>
      <c r="C47" s="994" t="s">
        <v>637</v>
      </c>
      <c r="D47" s="995" t="s">
        <v>653</v>
      </c>
      <c r="E47" s="197">
        <v>42156.0</v>
      </c>
      <c r="F47" s="996">
        <v>2.0</v>
      </c>
      <c r="G47" s="997">
        <v>141627.0</v>
      </c>
      <c r="H47" s="538" t="s">
        <v>83</v>
      </c>
      <c r="I47" s="256" t="str">
        <f>G47</f>
        <v>141,627</v>
      </c>
      <c r="J47" s="256">
        <v>0.0</v>
      </c>
      <c r="K47" s="1009"/>
      <c r="L47" s="1009"/>
      <c r="M47" s="1009"/>
      <c r="N47" s="1009"/>
      <c r="O47" s="1009"/>
      <c r="P47" s="1009"/>
      <c r="Q47" s="1009"/>
      <c r="R47" s="1009"/>
      <c r="S47" s="1009"/>
      <c r="T47" s="1009"/>
      <c r="U47" s="1009"/>
      <c r="V47" s="1009"/>
      <c r="W47" s="1009"/>
      <c r="X47" s="1009"/>
      <c r="Y47" s="1009"/>
      <c r="Z47" s="1009"/>
    </row>
    <row r="48" ht="16.5" customHeight="1">
      <c r="A48" s="700"/>
      <c r="B48" s="1060" t="s">
        <v>655</v>
      </c>
      <c r="C48" s="1051" t="s">
        <v>640</v>
      </c>
      <c r="D48" s="1050" t="s">
        <v>90</v>
      </c>
      <c r="E48" s="1015">
        <v>41974.0</v>
      </c>
      <c r="F48" s="1052">
        <v>36.0</v>
      </c>
      <c r="G48" s="1053">
        <v>1780470.0</v>
      </c>
      <c r="H48" s="1054" t="s">
        <v>83</v>
      </c>
      <c r="I48" s="1053">
        <v>111203.0</v>
      </c>
      <c r="J48" s="1055" t="str">
        <f>G48*12/36</f>
        <v>593,490</v>
      </c>
      <c r="K48" s="1009"/>
      <c r="L48" s="1009"/>
      <c r="M48" s="1009"/>
      <c r="N48" s="1009"/>
      <c r="O48" s="1009"/>
      <c r="P48" s="1009"/>
      <c r="Q48" s="1009"/>
      <c r="R48" s="1009"/>
      <c r="S48" s="1009"/>
      <c r="T48" s="1009"/>
      <c r="U48" s="1009"/>
      <c r="V48" s="1009"/>
      <c r="W48" s="1009"/>
      <c r="X48" s="1009"/>
      <c r="Y48" s="1009"/>
      <c r="Z48" s="1009"/>
    </row>
    <row r="49" ht="16.5" customHeight="1">
      <c r="A49" s="1062" t="s">
        <v>199</v>
      </c>
      <c r="B49" s="1060" t="s">
        <v>658</v>
      </c>
      <c r="C49" s="1051" t="s">
        <v>640</v>
      </c>
      <c r="D49" s="1050" t="s">
        <v>496</v>
      </c>
      <c r="E49" s="1015">
        <v>42095.0</v>
      </c>
      <c r="F49" s="1052">
        <v>12.0</v>
      </c>
      <c r="G49" s="1053">
        <v>150000.0</v>
      </c>
      <c r="H49" s="1054"/>
      <c r="I49" s="1053">
        <v>100000.0</v>
      </c>
      <c r="J49" s="1055">
        <v>50000.0</v>
      </c>
      <c r="K49" s="1009"/>
      <c r="L49" s="1009"/>
      <c r="M49" s="1009"/>
      <c r="N49" s="1009"/>
      <c r="O49" s="1009"/>
      <c r="P49" s="1009"/>
      <c r="Q49" s="1009"/>
      <c r="R49" s="1009"/>
      <c r="S49" s="1009"/>
      <c r="T49" s="1009"/>
      <c r="U49" s="1009"/>
      <c r="V49" s="1009"/>
      <c r="W49" s="1009"/>
      <c r="X49" s="1009"/>
      <c r="Y49" s="1009"/>
      <c r="Z49" s="1009"/>
    </row>
    <row r="50" ht="16.5" customHeight="1">
      <c r="A50" s="1065" t="s">
        <v>579</v>
      </c>
      <c r="B50" s="5"/>
      <c r="C50" s="5"/>
      <c r="D50" s="5"/>
      <c r="E50" s="5"/>
      <c r="F50" s="5"/>
      <c r="G50" s="5"/>
      <c r="H50" s="7"/>
      <c r="I50" s="1067" t="str">
        <f t="shared" ref="I50:J50" si="3">SUM(I41:I49)</f>
        <v>513,408</v>
      </c>
      <c r="J50" s="450" t="str">
        <f t="shared" si="3"/>
        <v>3,373,591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6.5" customHeight="1">
      <c r="A51" s="1065" t="s">
        <v>584</v>
      </c>
      <c r="B51" s="5"/>
      <c r="C51" s="5"/>
      <c r="D51" s="5"/>
      <c r="E51" s="5"/>
      <c r="F51" s="5"/>
      <c r="G51" s="5"/>
      <c r="H51" s="7"/>
      <c r="I51" s="1070" t="str">
        <f>I48+I46+I14+I45+I43+I49</f>
        <v>314,318</v>
      </c>
      <c r="J51" s="1070" t="str">
        <f>J48+J46+J14+J45+J43</f>
        <v>909,262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6.5" customHeight="1">
      <c r="A52" s="1072" t="s">
        <v>605</v>
      </c>
      <c r="B52" s="3"/>
      <c r="C52" s="3"/>
      <c r="D52" s="3"/>
      <c r="E52" s="3"/>
      <c r="F52" s="3"/>
      <c r="G52" s="3"/>
      <c r="H52" s="48"/>
      <c r="I52" s="268" t="str">
        <f t="shared" ref="I52:J52" si="4">I36+I51</f>
        <v>6,201,576</v>
      </c>
      <c r="J52" s="268" t="str">
        <f t="shared" si="4"/>
        <v>5,183,399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23.25" customHeight="1">
      <c r="A53" s="49"/>
      <c r="B53" s="50"/>
      <c r="C53" s="50"/>
      <c r="D53" s="50"/>
      <c r="E53" s="50"/>
      <c r="F53" s="50"/>
      <c r="G53" s="50"/>
      <c r="H53" s="507"/>
      <c r="I53" s="597" t="str">
        <f>I52/I1</f>
        <v>98%</v>
      </c>
      <c r="J53" s="597" t="str">
        <f>J52/I2</f>
        <v>62%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6.5" customHeight="1">
      <c r="A54" s="966" t="s">
        <v>623</v>
      </c>
      <c r="B54" s="981" t="s">
        <v>626</v>
      </c>
      <c r="C54" s="5"/>
      <c r="D54" s="5"/>
      <c r="E54" s="5"/>
      <c r="F54" s="5"/>
      <c r="G54" s="5"/>
      <c r="H54" s="5"/>
      <c r="I54" s="5"/>
      <c r="J54" s="7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1076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2">
    <mergeCell ref="A11:A14"/>
    <mergeCell ref="A15:A18"/>
    <mergeCell ref="A19:A20"/>
    <mergeCell ref="A28:A30"/>
    <mergeCell ref="F1:H1"/>
    <mergeCell ref="A1:E1"/>
    <mergeCell ref="I1:J1"/>
    <mergeCell ref="A3:I3"/>
    <mergeCell ref="E5:F5"/>
    <mergeCell ref="F2:H2"/>
    <mergeCell ref="I2:J2"/>
    <mergeCell ref="A38:J38"/>
    <mergeCell ref="A31:A34"/>
    <mergeCell ref="A41:A42"/>
    <mergeCell ref="A43:A44"/>
    <mergeCell ref="A36:H37"/>
    <mergeCell ref="A45:A46"/>
    <mergeCell ref="A47:A48"/>
    <mergeCell ref="A52:H53"/>
    <mergeCell ref="B54:J54"/>
    <mergeCell ref="A51:H51"/>
    <mergeCell ref="A50:H5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88"/>
    <col customWidth="1" min="2" max="2" width="70.13"/>
    <col customWidth="1" min="3" max="3" width="8.0"/>
    <col customWidth="1" min="4" max="4" width="13.0"/>
    <col customWidth="1" min="5" max="5" width="8.0"/>
    <col customWidth="1" min="6" max="6" width="11.38"/>
    <col customWidth="1" min="7" max="7" width="14.38"/>
    <col customWidth="1" hidden="1" min="8" max="8"/>
    <col customWidth="1" min="9" max="9" width="11.0"/>
    <col customWidth="1" min="10" max="10" width="11.63"/>
    <col customWidth="1" min="11" max="11" width="17.75"/>
    <col customWidth="1" min="12" max="12" width="18.25"/>
    <col customWidth="1" min="13" max="26" width="8.0"/>
  </cols>
  <sheetData>
    <row r="1" ht="13.5" customHeight="1">
      <c r="A1" s="33"/>
      <c r="B1" s="34"/>
      <c r="C1" s="69"/>
      <c r="D1" s="70"/>
      <c r="E1" s="104"/>
      <c r="F1" s="104"/>
      <c r="G1" s="104"/>
      <c r="H1" s="105"/>
      <c r="I1" s="105"/>
      <c r="J1" s="105"/>
      <c r="K1" s="106" t="s">
        <v>21</v>
      </c>
      <c r="L1" s="107" t="s">
        <v>23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129" t="s">
        <v>24</v>
      </c>
      <c r="B2" s="130" t="s">
        <v>25</v>
      </c>
      <c r="C2" s="130" t="s">
        <v>47</v>
      </c>
      <c r="D2" s="130" t="s">
        <v>48</v>
      </c>
      <c r="E2" s="132" t="s">
        <v>63</v>
      </c>
      <c r="G2" s="133" t="s">
        <v>50</v>
      </c>
      <c r="H2" s="179"/>
      <c r="I2" s="180" t="s">
        <v>52</v>
      </c>
      <c r="J2" s="180" t="s">
        <v>53</v>
      </c>
      <c r="K2" s="106"/>
      <c r="L2" s="107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181" t="s">
        <v>54</v>
      </c>
      <c r="B3" s="182" t="s">
        <v>56</v>
      </c>
      <c r="C3" s="182" t="s">
        <v>57</v>
      </c>
      <c r="D3" s="182" t="s">
        <v>58</v>
      </c>
      <c r="E3" s="209">
        <v>40940.0</v>
      </c>
      <c r="F3" s="209">
        <v>41913.0</v>
      </c>
      <c r="G3" s="210">
        <v>1422755.4078167651</v>
      </c>
      <c r="H3" s="249">
        <v>0.11</v>
      </c>
      <c r="I3" s="210">
        <v>520000.0</v>
      </c>
      <c r="J3" s="210">
        <v>0.0</v>
      </c>
      <c r="K3" s="250"/>
      <c r="L3" s="251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181" t="s">
        <v>59</v>
      </c>
      <c r="B4" s="270" t="s">
        <v>60</v>
      </c>
      <c r="C4" s="270" t="s">
        <v>61</v>
      </c>
      <c r="D4" s="270" t="s">
        <v>58</v>
      </c>
      <c r="E4" s="271">
        <v>41395.0</v>
      </c>
      <c r="F4" s="272">
        <v>42490.0</v>
      </c>
      <c r="G4" s="326">
        <v>833333.0</v>
      </c>
      <c r="H4" s="249">
        <v>0.0</v>
      </c>
      <c r="I4" s="210">
        <v>264451.0</v>
      </c>
      <c r="J4" s="210" t="str">
        <f>I4</f>
        <v>264,451</v>
      </c>
      <c r="K4" s="250"/>
      <c r="L4" s="251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181"/>
      <c r="B5" s="270"/>
      <c r="C5" s="270"/>
      <c r="D5" s="270"/>
      <c r="E5" s="271"/>
      <c r="F5" s="342" t="s">
        <v>58</v>
      </c>
      <c r="G5" s="344" t="str">
        <f t="shared" ref="G5:J5" si="1">SUM(G3:G4)</f>
        <v>2,256,088</v>
      </c>
      <c r="H5" s="344" t="str">
        <f t="shared" si="1"/>
        <v>0</v>
      </c>
      <c r="I5" s="344" t="str">
        <f t="shared" si="1"/>
        <v>784,451</v>
      </c>
      <c r="J5" s="344" t="str">
        <f t="shared" si="1"/>
        <v>264,451</v>
      </c>
      <c r="K5" s="250" t="str">
        <f>G5/G131*100</f>
        <v>  9.26 </v>
      </c>
      <c r="L5" s="251" t="str">
        <f>G5/2</f>
        <v>  1,128,044 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3"/>
      <c r="B6" s="347"/>
      <c r="C6" s="347"/>
      <c r="D6" s="347"/>
      <c r="E6" s="348"/>
      <c r="F6" s="348"/>
      <c r="G6" s="381"/>
      <c r="H6" s="382"/>
      <c r="I6" s="381"/>
      <c r="J6" s="381"/>
      <c r="K6" s="250"/>
      <c r="L6" s="251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181" t="s">
        <v>54</v>
      </c>
      <c r="B7" s="270" t="s">
        <v>88</v>
      </c>
      <c r="C7" s="270" t="s">
        <v>89</v>
      </c>
      <c r="D7" s="270" t="s">
        <v>90</v>
      </c>
      <c r="E7" s="392">
        <v>40695.0</v>
      </c>
      <c r="F7" s="392">
        <v>41790.0</v>
      </c>
      <c r="G7" s="210">
        <v>1961681.158928382</v>
      </c>
      <c r="H7" s="210" t="s">
        <v>83</v>
      </c>
      <c r="I7" s="210">
        <v>225157.0</v>
      </c>
      <c r="J7" s="210">
        <v>0.0</v>
      </c>
      <c r="K7" s="250"/>
      <c r="L7" s="251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3.5" customHeight="1">
      <c r="A8" s="181" t="s">
        <v>93</v>
      </c>
      <c r="B8" s="394" t="s">
        <v>94</v>
      </c>
      <c r="C8" s="270" t="s">
        <v>95</v>
      </c>
      <c r="D8" s="270" t="s">
        <v>90</v>
      </c>
      <c r="E8" s="392">
        <v>40756.0</v>
      </c>
      <c r="F8" s="392">
        <v>41882.0</v>
      </c>
      <c r="G8" s="326">
        <v>1259763.1646757994</v>
      </c>
      <c r="H8" s="210" t="s">
        <v>83</v>
      </c>
      <c r="I8" s="210">
        <v>243946.0</v>
      </c>
      <c r="J8" s="210">
        <v>0.0</v>
      </c>
      <c r="K8" s="250"/>
      <c r="L8" s="251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3.5" customHeight="1">
      <c r="A9" s="181" t="s">
        <v>96</v>
      </c>
      <c r="B9" s="394" t="s">
        <v>97</v>
      </c>
      <c r="C9" s="270" t="s">
        <v>98</v>
      </c>
      <c r="D9" s="270" t="s">
        <v>90</v>
      </c>
      <c r="E9" s="392">
        <v>41275.0</v>
      </c>
      <c r="F9" s="392">
        <v>42369.0</v>
      </c>
      <c r="G9" s="210">
        <v>1188108.0</v>
      </c>
      <c r="H9" s="210" t="s">
        <v>83</v>
      </c>
      <c r="I9" s="210">
        <v>448503.0</v>
      </c>
      <c r="J9" s="210">
        <v>400000.0</v>
      </c>
      <c r="K9" s="250"/>
      <c r="L9" s="251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181"/>
      <c r="B10" s="394"/>
      <c r="C10" s="270"/>
      <c r="D10" s="270"/>
      <c r="E10" s="392"/>
      <c r="F10" s="396" t="s">
        <v>90</v>
      </c>
      <c r="G10" s="398" t="str">
        <f t="shared" ref="G10:J10" si="2">SUM(G7:G9)</f>
        <v>4,409,552</v>
      </c>
      <c r="H10" s="398" t="str">
        <f t="shared" si="2"/>
        <v>0</v>
      </c>
      <c r="I10" s="398" t="str">
        <f t="shared" si="2"/>
        <v>917,606</v>
      </c>
      <c r="J10" s="398" t="str">
        <f t="shared" si="2"/>
        <v>400,000</v>
      </c>
      <c r="K10" s="250" t="str">
        <f>G10/G131*100</f>
        <v>  18.10 </v>
      </c>
      <c r="L10" s="251" t="str">
        <f>G10/3</f>
        <v>  1,469,851 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3.5" customHeight="1">
      <c r="A11" s="33"/>
      <c r="B11" s="401"/>
      <c r="C11" s="437"/>
      <c r="D11" s="437"/>
      <c r="E11" s="438"/>
      <c r="F11" s="438"/>
      <c r="G11" s="381"/>
      <c r="H11" s="381"/>
      <c r="I11" s="381"/>
      <c r="J11" s="381"/>
      <c r="K11" s="250"/>
      <c r="L11" s="251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181" t="s">
        <v>54</v>
      </c>
      <c r="B12" s="270" t="s">
        <v>206</v>
      </c>
      <c r="C12" s="270" t="s">
        <v>207</v>
      </c>
      <c r="D12" s="270" t="s">
        <v>208</v>
      </c>
      <c r="E12" s="392">
        <v>41687.0</v>
      </c>
      <c r="F12" s="392">
        <v>41882.0</v>
      </c>
      <c r="G12" s="210" t="str">
        <f>500*25</f>
        <v>12,500</v>
      </c>
      <c r="H12" s="210" t="str">
        <f>H11</f>
        <v/>
      </c>
      <c r="I12" s="210" t="str">
        <f>G12</f>
        <v>12,500</v>
      </c>
      <c r="J12" s="210">
        <v>0.0</v>
      </c>
      <c r="K12" s="250"/>
      <c r="L12" s="251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440" t="s">
        <v>123</v>
      </c>
      <c r="B13" s="441" t="s">
        <v>229</v>
      </c>
      <c r="C13" s="441" t="s">
        <v>225</v>
      </c>
      <c r="D13" s="441" t="s">
        <v>226</v>
      </c>
      <c r="E13" s="442">
        <v>40817.0</v>
      </c>
      <c r="F13" s="442">
        <v>41974.0</v>
      </c>
      <c r="G13" s="472">
        <v>9500.0</v>
      </c>
      <c r="H13" s="472" t="s">
        <v>83</v>
      </c>
      <c r="I13" s="530">
        <v>9400.0</v>
      </c>
      <c r="J13" s="530">
        <v>0.0</v>
      </c>
      <c r="K13" s="250"/>
      <c r="L13" s="25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440" t="s">
        <v>244</v>
      </c>
      <c r="B14" s="531" t="s">
        <v>275</v>
      </c>
      <c r="C14" s="441" t="s">
        <v>276</v>
      </c>
      <c r="D14" s="441" t="s">
        <v>277</v>
      </c>
      <c r="E14" s="532" t="s">
        <v>293</v>
      </c>
      <c r="F14" s="532">
        <v>41974.0</v>
      </c>
      <c r="G14" s="472">
        <v>23062.05</v>
      </c>
      <c r="H14" s="472" t="s">
        <v>83</v>
      </c>
      <c r="I14" s="472" t="str">
        <f>G14</f>
        <v>23,062</v>
      </c>
      <c r="J14" s="530">
        <v>0.0</v>
      </c>
      <c r="K14" s="250"/>
      <c r="L14" s="251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440" t="s">
        <v>294</v>
      </c>
      <c r="B15" s="534" t="s">
        <v>259</v>
      </c>
      <c r="C15" s="534" t="s">
        <v>255</v>
      </c>
      <c r="D15" s="534" t="s">
        <v>260</v>
      </c>
      <c r="E15" s="536" t="s">
        <v>295</v>
      </c>
      <c r="F15" s="425"/>
      <c r="G15" s="472">
        <v>9000.0</v>
      </c>
      <c r="H15" s="472" t="s">
        <v>83</v>
      </c>
      <c r="I15" s="472">
        <v>9000.0</v>
      </c>
      <c r="J15" s="472" t="s">
        <v>253</v>
      </c>
      <c r="K15" s="250"/>
      <c r="L15" s="251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440" t="s">
        <v>244</v>
      </c>
      <c r="B16" s="531" t="s">
        <v>297</v>
      </c>
      <c r="C16" s="441" t="s">
        <v>268</v>
      </c>
      <c r="D16" s="441" t="s">
        <v>269</v>
      </c>
      <c r="E16" s="536" t="s">
        <v>295</v>
      </c>
      <c r="F16" s="425"/>
      <c r="G16" s="472" t="str">
        <f>I16</f>
        <v>8,000</v>
      </c>
      <c r="H16" s="472" t="s">
        <v>83</v>
      </c>
      <c r="I16" s="472" t="str">
        <f>7000+1000</f>
        <v>8,000</v>
      </c>
      <c r="J16" s="530" t="s">
        <v>253</v>
      </c>
      <c r="K16" s="250"/>
      <c r="L16" s="251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440" t="s">
        <v>204</v>
      </c>
      <c r="B17" s="531" t="s">
        <v>298</v>
      </c>
      <c r="C17" s="441" t="s">
        <v>265</v>
      </c>
      <c r="D17" s="441" t="s">
        <v>299</v>
      </c>
      <c r="E17" s="442">
        <v>40909.0</v>
      </c>
      <c r="F17" s="442">
        <v>41974.0</v>
      </c>
      <c r="G17" s="472">
        <v>36713.67</v>
      </c>
      <c r="H17" s="472" t="s">
        <v>83</v>
      </c>
      <c r="I17" s="530">
        <v>5812.0</v>
      </c>
      <c r="J17" s="530">
        <v>0.0</v>
      </c>
      <c r="K17" s="250"/>
      <c r="L17" s="251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40" t="s">
        <v>294</v>
      </c>
      <c r="B18" s="534" t="s">
        <v>250</v>
      </c>
      <c r="C18" s="534" t="s">
        <v>251</v>
      </c>
      <c r="D18" s="534" t="s">
        <v>252</v>
      </c>
      <c r="E18" s="532">
        <v>41640.0</v>
      </c>
      <c r="F18" s="532">
        <v>41974.0</v>
      </c>
      <c r="G18" s="472" t="str">
        <f>50000+10000</f>
        <v>60,000</v>
      </c>
      <c r="H18" s="472" t="s">
        <v>83</v>
      </c>
      <c r="I18" s="472" t="str">
        <f>50000+10000</f>
        <v>60,000</v>
      </c>
      <c r="J18" s="472" t="s">
        <v>253</v>
      </c>
      <c r="K18" s="250"/>
      <c r="L18" s="251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40"/>
      <c r="B19" s="534"/>
      <c r="C19" s="534"/>
      <c r="D19" s="534"/>
      <c r="E19" s="532"/>
      <c r="F19" s="540" t="s">
        <v>229</v>
      </c>
      <c r="G19" s="595" t="str">
        <f t="shared" ref="G19:J19" si="3">SUM(G12:G18)</f>
        <v>158,776</v>
      </c>
      <c r="H19" s="595" t="str">
        <f t="shared" si="3"/>
        <v>0</v>
      </c>
      <c r="I19" s="595" t="str">
        <f t="shared" si="3"/>
        <v>127,774</v>
      </c>
      <c r="J19" s="595" t="str">
        <f t="shared" si="3"/>
        <v>0</v>
      </c>
      <c r="K19" s="250" t="str">
        <f>G19/G131*100</f>
        <v>  0.65 </v>
      </c>
      <c r="L19" s="251" t="str">
        <f>G19/7</f>
        <v>  22,682 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3.5" customHeight="1">
      <c r="A20" s="33"/>
      <c r="B20" s="437"/>
      <c r="C20" s="437"/>
      <c r="D20" s="437"/>
      <c r="E20" s="438"/>
      <c r="F20" s="438"/>
      <c r="G20" s="381"/>
      <c r="H20" s="381"/>
      <c r="I20" s="381"/>
      <c r="J20" s="381"/>
      <c r="K20" s="250"/>
      <c r="L20" s="25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181" t="s">
        <v>54</v>
      </c>
      <c r="B21" s="394" t="s">
        <v>128</v>
      </c>
      <c r="C21" s="270" t="s">
        <v>129</v>
      </c>
      <c r="D21" s="270" t="s">
        <v>130</v>
      </c>
      <c r="E21" s="392">
        <v>41306.0</v>
      </c>
      <c r="F21" s="392">
        <v>42004.0</v>
      </c>
      <c r="G21" s="210">
        <v>876179.0</v>
      </c>
      <c r="H21" s="210" t="s">
        <v>83</v>
      </c>
      <c r="I21" s="210">
        <v>421884.0</v>
      </c>
      <c r="J21" s="210">
        <v>0.0</v>
      </c>
      <c r="K21" s="250"/>
      <c r="L21" s="25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663" t="s">
        <v>135</v>
      </c>
      <c r="B22" s="664" t="s">
        <v>136</v>
      </c>
      <c r="C22" s="664" t="s">
        <v>137</v>
      </c>
      <c r="D22" s="664" t="s">
        <v>130</v>
      </c>
      <c r="E22" s="709">
        <v>41579.0</v>
      </c>
      <c r="F22" s="709">
        <v>41640.0</v>
      </c>
      <c r="G22" s="710">
        <v>26000.0</v>
      </c>
      <c r="H22" s="710" t="s">
        <v>83</v>
      </c>
      <c r="I22" s="712">
        <v>24600.0</v>
      </c>
      <c r="J22" s="664">
        <v>0.0</v>
      </c>
      <c r="K22" s="250"/>
      <c r="L22" s="25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663" t="s">
        <v>135</v>
      </c>
      <c r="B23" s="664" t="s">
        <v>138</v>
      </c>
      <c r="C23" s="664" t="s">
        <v>139</v>
      </c>
      <c r="D23" s="664" t="s">
        <v>140</v>
      </c>
      <c r="E23" s="709">
        <v>41730.0</v>
      </c>
      <c r="F23" s="709">
        <v>42036.0</v>
      </c>
      <c r="G23" s="710">
        <v>70000.0</v>
      </c>
      <c r="H23" s="710" t="s">
        <v>83</v>
      </c>
      <c r="I23" s="712">
        <v>63000.0</v>
      </c>
      <c r="J23" s="664">
        <v>7000.0</v>
      </c>
      <c r="K23" s="250"/>
      <c r="L23" s="251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763" t="s">
        <v>74</v>
      </c>
      <c r="B24" s="764" t="s">
        <v>141</v>
      </c>
      <c r="C24" s="764" t="s">
        <v>142</v>
      </c>
      <c r="D24" s="764" t="s">
        <v>143</v>
      </c>
      <c r="E24" s="765">
        <v>41671.0</v>
      </c>
      <c r="F24" s="765">
        <v>42217.0</v>
      </c>
      <c r="G24" s="766">
        <v>428250.0</v>
      </c>
      <c r="H24" s="767" t="s">
        <v>83</v>
      </c>
      <c r="I24" s="766">
        <v>249207.0</v>
      </c>
      <c r="J24" s="766" t="str">
        <f>G24-I24</f>
        <v>179,043</v>
      </c>
      <c r="K24" s="250"/>
      <c r="L24" s="251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763"/>
      <c r="B25" s="764"/>
      <c r="C25" s="764"/>
      <c r="D25" s="764"/>
      <c r="E25" s="765"/>
      <c r="F25" s="807" t="s">
        <v>520</v>
      </c>
      <c r="G25" s="838" t="str">
        <f t="shared" ref="G25:J25" si="4">SUM(G21:G24)</f>
        <v>1,400,429</v>
      </c>
      <c r="H25" s="838" t="str">
        <f t="shared" si="4"/>
        <v>0</v>
      </c>
      <c r="I25" s="838" t="str">
        <f t="shared" si="4"/>
        <v>758,691</v>
      </c>
      <c r="J25" s="838" t="str">
        <f t="shared" si="4"/>
        <v>186,043</v>
      </c>
      <c r="K25" s="250" t="str">
        <f>G25/G131*100</f>
        <v>  5.75 </v>
      </c>
      <c r="L25" s="251" t="str">
        <f>G25/4</f>
        <v>  350,107 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3"/>
      <c r="B26" s="401"/>
      <c r="C26" s="437"/>
      <c r="D26" s="437"/>
      <c r="E26" s="438"/>
      <c r="F26" s="438"/>
      <c r="G26" s="381"/>
      <c r="H26" s="381"/>
      <c r="I26" s="381"/>
      <c r="J26" s="381"/>
      <c r="K26" s="250"/>
      <c r="L26" s="251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181" t="s">
        <v>54</v>
      </c>
      <c r="B27" s="842" t="s">
        <v>124</v>
      </c>
      <c r="C27" s="270" t="s">
        <v>125</v>
      </c>
      <c r="D27" s="181" t="s">
        <v>126</v>
      </c>
      <c r="E27" s="392">
        <v>41671.0</v>
      </c>
      <c r="F27" s="392">
        <v>42756.0</v>
      </c>
      <c r="G27" s="210">
        <v>1249971.51</v>
      </c>
      <c r="H27" s="249">
        <v>0.1</v>
      </c>
      <c r="I27" s="210">
        <v>462614.0</v>
      </c>
      <c r="J27" s="210" t="str">
        <f>I27</f>
        <v>462,614</v>
      </c>
      <c r="K27" s="250"/>
      <c r="L27" s="251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181" t="s">
        <v>151</v>
      </c>
      <c r="B28" s="394" t="s">
        <v>152</v>
      </c>
      <c r="C28" s="270" t="s">
        <v>153</v>
      </c>
      <c r="D28" s="270" t="s">
        <v>154</v>
      </c>
      <c r="E28" s="392">
        <v>41122.0</v>
      </c>
      <c r="F28" s="392">
        <v>41943.0</v>
      </c>
      <c r="G28" s="210">
        <v>223000.0</v>
      </c>
      <c r="H28" s="844">
        <v>0.25</v>
      </c>
      <c r="I28" s="210">
        <v>88273.0</v>
      </c>
      <c r="J28" s="210">
        <v>0.0</v>
      </c>
      <c r="K28" s="250"/>
      <c r="L28" s="251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3.5" customHeight="1">
      <c r="A29" s="440" t="s">
        <v>144</v>
      </c>
      <c r="B29" s="845" t="s">
        <v>78</v>
      </c>
      <c r="C29" s="845" t="s">
        <v>79</v>
      </c>
      <c r="D29" s="845" t="s">
        <v>80</v>
      </c>
      <c r="E29" s="845" t="s">
        <v>81</v>
      </c>
      <c r="F29" s="845" t="s">
        <v>82</v>
      </c>
      <c r="G29" s="530">
        <v>100000.0</v>
      </c>
      <c r="H29" s="845" t="s">
        <v>83</v>
      </c>
      <c r="I29" s="530">
        <v>57000.0</v>
      </c>
      <c r="J29" s="530" t="s">
        <v>253</v>
      </c>
      <c r="K29" s="250"/>
      <c r="L29" s="251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663" t="s">
        <v>135</v>
      </c>
      <c r="B30" s="865" t="s">
        <v>169</v>
      </c>
      <c r="C30" s="866" t="s">
        <v>170</v>
      </c>
      <c r="D30" s="866" t="s">
        <v>171</v>
      </c>
      <c r="E30" s="867">
        <v>40969.0</v>
      </c>
      <c r="F30" s="867">
        <v>41671.0</v>
      </c>
      <c r="G30" s="710">
        <v>204376.0</v>
      </c>
      <c r="H30" s="868">
        <v>1.0</v>
      </c>
      <c r="I30" s="710">
        <v>63000.0</v>
      </c>
      <c r="J30" s="710">
        <v>0.0</v>
      </c>
      <c r="K30" s="250"/>
      <c r="L30" s="251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663" t="s">
        <v>135</v>
      </c>
      <c r="B31" s="664" t="s">
        <v>172</v>
      </c>
      <c r="C31" s="664" t="s">
        <v>173</v>
      </c>
      <c r="D31" s="664" t="s">
        <v>181</v>
      </c>
      <c r="E31" s="709">
        <v>40634.0</v>
      </c>
      <c r="F31" s="709">
        <v>42064.0</v>
      </c>
      <c r="G31" s="710">
        <v>579115.0</v>
      </c>
      <c r="H31" s="868">
        <v>0.87</v>
      </c>
      <c r="I31" s="712">
        <v>110706.0</v>
      </c>
      <c r="J31" s="712">
        <v>0.0</v>
      </c>
      <c r="K31" s="250"/>
      <c r="L31" s="251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663" t="s">
        <v>175</v>
      </c>
      <c r="B32" s="664" t="s">
        <v>176</v>
      </c>
      <c r="C32" s="664" t="s">
        <v>177</v>
      </c>
      <c r="D32" s="664" t="s">
        <v>158</v>
      </c>
      <c r="E32" s="709">
        <v>40940.0</v>
      </c>
      <c r="F32" s="709">
        <v>41640.0</v>
      </c>
      <c r="G32" s="710">
        <v>492303.0</v>
      </c>
      <c r="H32" s="868" t="s">
        <v>83</v>
      </c>
      <c r="I32" s="712">
        <v>205897.0</v>
      </c>
      <c r="J32" s="712">
        <v>0.0</v>
      </c>
      <c r="K32" s="250"/>
      <c r="L32" s="251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663" t="s">
        <v>178</v>
      </c>
      <c r="B33" s="870" t="s">
        <v>179</v>
      </c>
      <c r="C33" s="664" t="s">
        <v>180</v>
      </c>
      <c r="D33" s="664" t="s">
        <v>181</v>
      </c>
      <c r="E33" s="709">
        <v>40848.0</v>
      </c>
      <c r="F33" s="709">
        <v>41913.0</v>
      </c>
      <c r="G33" s="710">
        <v>502947.0</v>
      </c>
      <c r="H33" s="868">
        <v>0.75</v>
      </c>
      <c r="I33" s="712">
        <v>184503.0</v>
      </c>
      <c r="J33" s="712">
        <v>0.0</v>
      </c>
      <c r="K33" s="250"/>
      <c r="L33" s="251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763" t="s">
        <v>182</v>
      </c>
      <c r="B34" s="872" t="s">
        <v>183</v>
      </c>
      <c r="C34" s="764" t="s">
        <v>184</v>
      </c>
      <c r="D34" s="764" t="s">
        <v>185</v>
      </c>
      <c r="E34" s="874">
        <v>40603.0</v>
      </c>
      <c r="F34" s="874">
        <v>41760.0</v>
      </c>
      <c r="G34" s="888" t="str">
        <f>613995/1.18*75%</f>
        <v>390,251</v>
      </c>
      <c r="H34" s="767">
        <v>1.0</v>
      </c>
      <c r="I34" s="766">
        <v>0.0</v>
      </c>
      <c r="J34" s="766">
        <v>0.0</v>
      </c>
      <c r="K34" s="250"/>
      <c r="L34" s="251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763" t="s">
        <v>74</v>
      </c>
      <c r="B35" s="764" t="s">
        <v>103</v>
      </c>
      <c r="C35" s="764" t="s">
        <v>112</v>
      </c>
      <c r="D35" s="764" t="s">
        <v>80</v>
      </c>
      <c r="E35" s="764" t="s">
        <v>113</v>
      </c>
      <c r="F35" s="764" t="s">
        <v>114</v>
      </c>
      <c r="G35" s="766" t="str">
        <f>739992.04/1.18</f>
        <v>627,112</v>
      </c>
      <c r="H35" s="764" t="s">
        <v>83</v>
      </c>
      <c r="I35" s="766">
        <v>277681.0</v>
      </c>
      <c r="J35" s="766">
        <v>0.0</v>
      </c>
      <c r="K35" s="250"/>
      <c r="L35" s="251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763" t="s">
        <v>74</v>
      </c>
      <c r="B36" s="764" t="s">
        <v>115</v>
      </c>
      <c r="C36" s="764" t="s">
        <v>116</v>
      </c>
      <c r="D36" s="764" t="s">
        <v>117</v>
      </c>
      <c r="E36" s="764" t="s">
        <v>118</v>
      </c>
      <c r="F36" s="764" t="s">
        <v>583</v>
      </c>
      <c r="G36" s="766">
        <v>83850.0</v>
      </c>
      <c r="H36" s="767">
        <v>0.0</v>
      </c>
      <c r="I36" s="766">
        <v>29050.0</v>
      </c>
      <c r="J36" s="766">
        <v>0.0</v>
      </c>
      <c r="K36" s="250"/>
      <c r="L36" s="251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763" t="s">
        <v>74</v>
      </c>
      <c r="B37" s="764" t="s">
        <v>148</v>
      </c>
      <c r="C37" s="764" t="s">
        <v>149</v>
      </c>
      <c r="D37" s="764" t="s">
        <v>80</v>
      </c>
      <c r="E37" s="765">
        <v>41730.0</v>
      </c>
      <c r="F37" s="765">
        <v>42248.0</v>
      </c>
      <c r="G37" s="766">
        <v>295135.0</v>
      </c>
      <c r="H37" s="767">
        <v>0.0</v>
      </c>
      <c r="I37" s="766">
        <v>150391.0</v>
      </c>
      <c r="J37" s="766" t="str">
        <f>G37-I37</f>
        <v>144,744</v>
      </c>
      <c r="K37" s="250"/>
      <c r="L37" s="251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3.5" customHeight="1">
      <c r="A38" s="927" t="s">
        <v>155</v>
      </c>
      <c r="B38" s="928" t="s">
        <v>156</v>
      </c>
      <c r="C38" s="928" t="s">
        <v>157</v>
      </c>
      <c r="D38" s="928" t="s">
        <v>158</v>
      </c>
      <c r="E38" s="930">
        <v>40969.0</v>
      </c>
      <c r="F38" s="930">
        <v>42040.0</v>
      </c>
      <c r="G38" s="932"/>
      <c r="H38" s="933" t="s">
        <v>360</v>
      </c>
      <c r="I38" s="972">
        <v>1450000.0</v>
      </c>
      <c r="J38" s="972" t="str">
        <f>I38/12*2</f>
        <v>241,667</v>
      </c>
      <c r="K38" s="250"/>
      <c r="L38" s="251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927" t="s">
        <v>628</v>
      </c>
      <c r="B39" s="928" t="s">
        <v>160</v>
      </c>
      <c r="C39" s="928" t="s">
        <v>161</v>
      </c>
      <c r="D39" s="928" t="s">
        <v>162</v>
      </c>
      <c r="E39" s="930">
        <v>40909.0</v>
      </c>
      <c r="F39" s="930">
        <v>42125.0</v>
      </c>
      <c r="G39" s="932">
        <v>538698.0</v>
      </c>
      <c r="H39" s="933">
        <v>0.75</v>
      </c>
      <c r="I39" s="972" t="str">
        <f>G39/30*12</f>
        <v>215,479</v>
      </c>
      <c r="J39" s="972" t="str">
        <f>G39/30*5</f>
        <v>89,783</v>
      </c>
      <c r="K39" s="250"/>
      <c r="L39" s="251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927" t="s">
        <v>163</v>
      </c>
      <c r="B40" s="975" t="s">
        <v>164</v>
      </c>
      <c r="C40" s="928" t="s">
        <v>165</v>
      </c>
      <c r="D40" s="928" t="s">
        <v>162</v>
      </c>
      <c r="E40" s="976">
        <v>41760.0</v>
      </c>
      <c r="F40" s="976">
        <v>42826.0</v>
      </c>
      <c r="G40" s="977">
        <v>25000.0</v>
      </c>
      <c r="H40" s="1019" t="s">
        <v>165</v>
      </c>
      <c r="I40" s="972" t="str">
        <f>G40/2</f>
        <v>12,500</v>
      </c>
      <c r="J40" s="972" t="str">
        <f t="shared" ref="J40:J41" si="5">G40-I40</f>
        <v>12,500</v>
      </c>
      <c r="K40" s="250"/>
      <c r="L40" s="251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927" t="s">
        <v>163</v>
      </c>
      <c r="B41" s="928" t="s">
        <v>166</v>
      </c>
      <c r="C41" s="928" t="s">
        <v>167</v>
      </c>
      <c r="D41" s="928" t="s">
        <v>168</v>
      </c>
      <c r="E41" s="930">
        <v>41640.0</v>
      </c>
      <c r="F41" s="930">
        <v>42339.0</v>
      </c>
      <c r="G41" s="972">
        <v>331650.0</v>
      </c>
      <c r="H41" s="1030">
        <v>0.0</v>
      </c>
      <c r="I41" s="972" t="str">
        <f>G41/24*12</f>
        <v>165,825</v>
      </c>
      <c r="J41" s="972" t="str">
        <f t="shared" si="5"/>
        <v>165,825</v>
      </c>
      <c r="K41" s="250"/>
      <c r="L41" s="251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927"/>
      <c r="B42" s="928"/>
      <c r="C42" s="928"/>
      <c r="D42" s="928"/>
      <c r="E42" s="976"/>
      <c r="F42" s="1032" t="s">
        <v>645</v>
      </c>
      <c r="G42" s="1034" t="str">
        <f t="shared" ref="G42:J42" si="6">SUM(G27:G41)</f>
        <v>5,643,408</v>
      </c>
      <c r="H42" s="1034" t="str">
        <f t="shared" si="6"/>
        <v>5</v>
      </c>
      <c r="I42" s="1034" t="str">
        <f t="shared" si="6"/>
        <v>3,472,919</v>
      </c>
      <c r="J42" s="1034" t="str">
        <f t="shared" si="6"/>
        <v>1,117,133</v>
      </c>
      <c r="K42" s="250" t="str">
        <f>G42/G131*100</f>
        <v>  23.16 </v>
      </c>
      <c r="L42" s="251" t="str">
        <f>G42/15</f>
        <v>  376,227 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3"/>
      <c r="B43" s="437"/>
      <c r="C43" s="437"/>
      <c r="D43" s="437"/>
      <c r="E43" s="1037"/>
      <c r="F43" s="1037"/>
      <c r="G43" s="1038"/>
      <c r="H43" s="1056"/>
      <c r="I43" s="1038"/>
      <c r="J43" s="1038"/>
      <c r="K43" s="250"/>
      <c r="L43" s="251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181" t="s">
        <v>54</v>
      </c>
      <c r="B44" s="842" t="s">
        <v>187</v>
      </c>
      <c r="C44" s="270" t="s">
        <v>188</v>
      </c>
      <c r="D44" s="181" t="s">
        <v>189</v>
      </c>
      <c r="E44" s="392">
        <v>41730.0</v>
      </c>
      <c r="F44" s="392">
        <v>42825.0</v>
      </c>
      <c r="G44" s="210">
        <v>1687546.0</v>
      </c>
      <c r="H44" s="249" t="s">
        <v>83</v>
      </c>
      <c r="I44" s="210" t="str">
        <f>(9/36)*G44</f>
        <v>421,887</v>
      </c>
      <c r="J44" s="210" t="str">
        <f>(12/36)*G44</f>
        <v>562,515</v>
      </c>
      <c r="K44" s="250"/>
      <c r="L44" s="251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181" t="s">
        <v>93</v>
      </c>
      <c r="B45" s="394" t="s">
        <v>190</v>
      </c>
      <c r="C45" s="270" t="s">
        <v>191</v>
      </c>
      <c r="D45" s="270" t="s">
        <v>189</v>
      </c>
      <c r="E45" s="392">
        <v>40326.0</v>
      </c>
      <c r="F45" s="392">
        <v>42094.0</v>
      </c>
      <c r="G45" s="326">
        <v>990265.0</v>
      </c>
      <c r="H45" s="210" t="s">
        <v>83</v>
      </c>
      <c r="I45" s="210">
        <v>394647.0</v>
      </c>
      <c r="J45" s="210">
        <v>98662.0</v>
      </c>
      <c r="K45" s="250"/>
      <c r="L45" s="251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181" t="s">
        <v>654</v>
      </c>
      <c r="B46" s="394" t="s">
        <v>196</v>
      </c>
      <c r="C46" s="270" t="s">
        <v>197</v>
      </c>
      <c r="D46" s="270" t="s">
        <v>198</v>
      </c>
      <c r="E46" s="392">
        <v>40848.0</v>
      </c>
      <c r="F46" s="392">
        <v>42917.0</v>
      </c>
      <c r="G46" s="210">
        <v>794831.0</v>
      </c>
      <c r="H46" s="210" t="s">
        <v>83</v>
      </c>
      <c r="I46" s="210">
        <v>237503.0</v>
      </c>
      <c r="J46" s="210" t="str">
        <f>I46</f>
        <v>237,503</v>
      </c>
      <c r="K46" s="250"/>
      <c r="L46" s="251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181" t="s">
        <v>199</v>
      </c>
      <c r="B47" s="394" t="s">
        <v>200</v>
      </c>
      <c r="C47" s="270" t="s">
        <v>201</v>
      </c>
      <c r="D47" s="270" t="s">
        <v>202</v>
      </c>
      <c r="E47" s="392">
        <v>41579.0</v>
      </c>
      <c r="F47" s="392">
        <v>41729.0</v>
      </c>
      <c r="G47" s="210">
        <v>74354.0</v>
      </c>
      <c r="H47" s="210" t="s">
        <v>83</v>
      </c>
      <c r="I47" s="210" t="str">
        <f>(3/5)*G47</f>
        <v>44,612</v>
      </c>
      <c r="J47" s="210">
        <v>0.0</v>
      </c>
      <c r="K47" s="250"/>
      <c r="L47" s="251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40" t="s">
        <v>656</v>
      </c>
      <c r="B48" s="441" t="s">
        <v>145</v>
      </c>
      <c r="C48" s="441" t="s">
        <v>146</v>
      </c>
      <c r="D48" s="441" t="s">
        <v>147</v>
      </c>
      <c r="E48" s="442">
        <v>40787.0</v>
      </c>
      <c r="F48" s="442">
        <v>42430.0</v>
      </c>
      <c r="G48" s="472">
        <v>170270.0</v>
      </c>
      <c r="H48" s="472" t="s">
        <v>83</v>
      </c>
      <c r="I48" s="530">
        <v>74866.0</v>
      </c>
      <c r="J48" s="530" t="s">
        <v>253</v>
      </c>
      <c r="K48" s="250"/>
      <c r="L48" s="251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440" t="s">
        <v>294</v>
      </c>
      <c r="B49" s="441" t="s">
        <v>248</v>
      </c>
      <c r="C49" s="441" t="s">
        <v>249</v>
      </c>
      <c r="D49" s="441" t="s">
        <v>147</v>
      </c>
      <c r="E49" s="442">
        <v>40909.0</v>
      </c>
      <c r="F49" s="442">
        <v>42430.0</v>
      </c>
      <c r="G49" s="472">
        <v>136927.88998311257</v>
      </c>
      <c r="H49" s="472" t="s">
        <v>83</v>
      </c>
      <c r="I49" s="530">
        <v>54428.0</v>
      </c>
      <c r="J49" s="530" t="s">
        <v>253</v>
      </c>
      <c r="K49" s="250"/>
      <c r="L49" s="251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440" t="s">
        <v>204</v>
      </c>
      <c r="B50" s="531" t="s">
        <v>205</v>
      </c>
      <c r="C50" s="441" t="s">
        <v>227</v>
      </c>
      <c r="D50" s="441" t="s">
        <v>147</v>
      </c>
      <c r="E50" s="442">
        <v>40634.0</v>
      </c>
      <c r="F50" s="442">
        <v>42430.0</v>
      </c>
      <c r="G50" s="472">
        <v>304662.5</v>
      </c>
      <c r="H50" s="472" t="s">
        <v>83</v>
      </c>
      <c r="I50" s="530">
        <v>59301.5</v>
      </c>
      <c r="J50" s="530" t="s">
        <v>253</v>
      </c>
      <c r="K50" s="250"/>
      <c r="L50" s="251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440" t="s">
        <v>228</v>
      </c>
      <c r="B51" s="531" t="s">
        <v>239</v>
      </c>
      <c r="C51" s="441" t="s">
        <v>240</v>
      </c>
      <c r="D51" s="441" t="s">
        <v>147</v>
      </c>
      <c r="E51" s="442">
        <v>40634.0</v>
      </c>
      <c r="F51" s="442">
        <v>42430.0</v>
      </c>
      <c r="G51" s="472">
        <v>408318.98</v>
      </c>
      <c r="H51" s="472" t="s">
        <v>83</v>
      </c>
      <c r="I51" s="530">
        <v>86182.71999999999</v>
      </c>
      <c r="J51" s="530" t="s">
        <v>253</v>
      </c>
      <c r="K51" s="250"/>
      <c r="L51" s="251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440" t="s">
        <v>241</v>
      </c>
      <c r="B52" s="441" t="s">
        <v>242</v>
      </c>
      <c r="C52" s="441" t="s">
        <v>243</v>
      </c>
      <c r="D52" s="441" t="s">
        <v>147</v>
      </c>
      <c r="E52" s="442">
        <v>40634.0</v>
      </c>
      <c r="F52" s="442">
        <v>42430.0</v>
      </c>
      <c r="G52" s="530">
        <v>173801.2625</v>
      </c>
      <c r="H52" s="530" t="s">
        <v>83</v>
      </c>
      <c r="I52" s="530">
        <v>76117.2625</v>
      </c>
      <c r="J52" s="530" t="s">
        <v>253</v>
      </c>
      <c r="K52" s="250"/>
      <c r="L52" s="251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440"/>
      <c r="B53" s="441"/>
      <c r="C53" s="441"/>
      <c r="D53" s="441"/>
      <c r="E53" s="442"/>
      <c r="F53" s="1061" t="s">
        <v>189</v>
      </c>
      <c r="G53" s="1066" t="str">
        <f t="shared" ref="G53:J53" si="7">SUM(G44:G52)</f>
        <v>4,740,977</v>
      </c>
      <c r="H53" s="1066" t="str">
        <f t="shared" si="7"/>
        <v>0</v>
      </c>
      <c r="I53" s="1066" t="str">
        <f t="shared" si="7"/>
        <v>1,449,544</v>
      </c>
      <c r="J53" s="1066" t="str">
        <f t="shared" si="7"/>
        <v>898,680</v>
      </c>
      <c r="K53" s="250" t="str">
        <f>G53/G131*100</f>
        <v>  19.46 </v>
      </c>
      <c r="L53" s="251" t="str">
        <f>G53/9</f>
        <v>  526,775 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33"/>
      <c r="B54" s="1068"/>
      <c r="C54" s="1068"/>
      <c r="D54" s="1068"/>
      <c r="E54" s="438"/>
      <c r="F54" s="438"/>
      <c r="G54" s="1071"/>
      <c r="H54" s="1071"/>
      <c r="I54" s="1071"/>
      <c r="J54" s="1071"/>
      <c r="K54" s="250"/>
      <c r="L54" s="251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181" t="s">
        <v>662</v>
      </c>
      <c r="B55" s="270" t="s">
        <v>402</v>
      </c>
      <c r="C55" s="270" t="s">
        <v>403</v>
      </c>
      <c r="D55" s="270" t="s">
        <v>404</v>
      </c>
      <c r="E55" s="271">
        <v>41365.0</v>
      </c>
      <c r="F55" s="272">
        <v>42460.0</v>
      </c>
      <c r="G55" s="326">
        <v>275691.0</v>
      </c>
      <c r="H55" s="249" t="s">
        <v>83</v>
      </c>
      <c r="I55" s="210">
        <v>89817.0</v>
      </c>
      <c r="J55" s="210" t="str">
        <f>I55</f>
        <v>89,817</v>
      </c>
      <c r="K55" s="250"/>
      <c r="L55" s="25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181"/>
      <c r="B56" s="270"/>
      <c r="C56" s="270"/>
      <c r="D56" s="270"/>
      <c r="E56" s="271"/>
      <c r="F56" s="342" t="s">
        <v>404</v>
      </c>
      <c r="G56" s="344" t="str">
        <f t="shared" ref="G56:J56" si="8">G55</f>
        <v>275,691</v>
      </c>
      <c r="H56" s="344" t="str">
        <f t="shared" si="8"/>
        <v>n/a</v>
      </c>
      <c r="I56" s="344" t="str">
        <f t="shared" si="8"/>
        <v>89,817</v>
      </c>
      <c r="J56" s="344" t="str">
        <f t="shared" si="8"/>
        <v>89,817</v>
      </c>
      <c r="K56" s="250" t="str">
        <f>G56/G131*100</f>
        <v>  1.13 </v>
      </c>
      <c r="L56" s="251" t="str">
        <f>G56</f>
        <v>  275,691 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1074"/>
      <c r="B57" s="437"/>
      <c r="C57" s="437"/>
      <c r="D57" s="437"/>
      <c r="E57" s="1037"/>
      <c r="F57" s="1075"/>
      <c r="G57" s="1071"/>
      <c r="H57" s="382"/>
      <c r="I57" s="381"/>
      <c r="J57" s="381"/>
      <c r="K57" s="1077"/>
      <c r="L57" s="1079"/>
      <c r="M57" s="1074"/>
      <c r="N57" s="1074"/>
      <c r="O57" s="1074"/>
      <c r="P57" s="1074"/>
      <c r="Q57" s="1074"/>
      <c r="R57" s="1074"/>
      <c r="S57" s="1074"/>
      <c r="T57" s="1074"/>
      <c r="U57" s="1074"/>
      <c r="V57" s="1074"/>
      <c r="W57" s="1074"/>
      <c r="X57" s="1074"/>
      <c r="Y57" s="1074"/>
      <c r="Z57" s="1074"/>
    </row>
    <row r="58" ht="16.5" customHeight="1">
      <c r="A58" s="181" t="s">
        <v>93</v>
      </c>
      <c r="B58" s="394" t="s">
        <v>394</v>
      </c>
      <c r="C58" s="270" t="s">
        <v>395</v>
      </c>
      <c r="D58" s="270" t="s">
        <v>396</v>
      </c>
      <c r="E58" s="392">
        <v>41579.0</v>
      </c>
      <c r="F58" s="392">
        <v>41698.0</v>
      </c>
      <c r="G58" s="326">
        <v>217391.0</v>
      </c>
      <c r="H58" s="210" t="s">
        <v>83</v>
      </c>
      <c r="I58" s="210">
        <v>108695.5</v>
      </c>
      <c r="J58" s="210">
        <v>0.0</v>
      </c>
      <c r="K58" s="250"/>
      <c r="L58" s="251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6.5" customHeight="1">
      <c r="A59" s="181"/>
      <c r="B59" s="394"/>
      <c r="C59" s="270"/>
      <c r="D59" s="270"/>
      <c r="E59" s="392"/>
      <c r="F59" s="396" t="s">
        <v>396</v>
      </c>
      <c r="G59" s="344" t="str">
        <f t="shared" ref="G59:J59" si="9">G58</f>
        <v>217,391</v>
      </c>
      <c r="H59" s="344" t="str">
        <f t="shared" si="9"/>
        <v>n/a</v>
      </c>
      <c r="I59" s="344" t="str">
        <f t="shared" si="9"/>
        <v>108,696</v>
      </c>
      <c r="J59" s="344" t="str">
        <f t="shared" si="9"/>
        <v>0</v>
      </c>
      <c r="K59" s="250" t="str">
        <f>G59/G131*100</f>
        <v>  0.89 </v>
      </c>
      <c r="L59" s="251" t="str">
        <f>G59</f>
        <v>  217,391 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1074"/>
      <c r="B60" s="1074"/>
      <c r="C60" s="1074"/>
      <c r="D60" s="1074"/>
      <c r="E60" s="1074"/>
      <c r="F60" s="1074"/>
      <c r="G60" s="1074"/>
      <c r="H60" s="1088"/>
      <c r="I60" s="381"/>
      <c r="J60" s="381"/>
      <c r="K60" s="1077"/>
      <c r="L60" s="1079"/>
      <c r="M60" s="1074"/>
      <c r="N60" s="1074"/>
      <c r="O60" s="1074"/>
      <c r="P60" s="1074"/>
      <c r="Q60" s="1074"/>
      <c r="R60" s="1074"/>
      <c r="S60" s="1074"/>
      <c r="T60" s="1074"/>
      <c r="U60" s="1074"/>
      <c r="V60" s="1074"/>
      <c r="W60" s="1074"/>
      <c r="X60" s="1074"/>
      <c r="Y60" s="1074"/>
      <c r="Z60" s="1074"/>
    </row>
    <row r="61" ht="13.5" customHeight="1">
      <c r="A61" s="181" t="s">
        <v>397</v>
      </c>
      <c r="B61" s="394" t="s">
        <v>398</v>
      </c>
      <c r="C61" s="270" t="s">
        <v>399</v>
      </c>
      <c r="D61" s="270" t="s">
        <v>400</v>
      </c>
      <c r="E61" s="392">
        <v>41572.0</v>
      </c>
      <c r="F61" s="392">
        <v>41670.0</v>
      </c>
      <c r="G61" s="210">
        <v>91188.0</v>
      </c>
      <c r="H61" s="844" t="s">
        <v>83</v>
      </c>
      <c r="I61" s="210" t="str">
        <f>0.5*G61</f>
        <v>45,594</v>
      </c>
      <c r="J61" s="210">
        <v>0.0</v>
      </c>
      <c r="K61" s="250"/>
      <c r="L61" s="1092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181"/>
      <c r="B62" s="394"/>
      <c r="C62" s="270"/>
      <c r="D62" s="270"/>
      <c r="E62" s="392"/>
      <c r="F62" s="396" t="s">
        <v>668</v>
      </c>
      <c r="G62" s="398" t="str">
        <f t="shared" ref="G62:J62" si="10">G61</f>
        <v>91,188</v>
      </c>
      <c r="H62" s="398" t="str">
        <f t="shared" si="10"/>
        <v>n/a</v>
      </c>
      <c r="I62" s="398" t="str">
        <f t="shared" si="10"/>
        <v>45,594</v>
      </c>
      <c r="J62" s="398" t="str">
        <f t="shared" si="10"/>
        <v>0</v>
      </c>
      <c r="K62" s="250" t="str">
        <f>G62/G131*100</f>
        <v>  0.37 </v>
      </c>
      <c r="L62" s="1092" t="str">
        <f>G62</f>
        <v>  91,188 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6.5" customHeight="1">
      <c r="A63" s="33"/>
      <c r="B63" s="1074"/>
      <c r="C63" s="1074"/>
      <c r="D63" s="1074"/>
      <c r="E63" s="1074"/>
      <c r="F63" s="1074"/>
      <c r="G63" s="1074"/>
      <c r="H63" s="381"/>
      <c r="I63" s="381"/>
      <c r="J63" s="381"/>
      <c r="K63" s="250"/>
      <c r="L63" s="1092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181" t="s">
        <v>0</v>
      </c>
      <c r="B64" s="394" t="s">
        <v>439</v>
      </c>
      <c r="C64" s="270" t="s">
        <v>477</v>
      </c>
      <c r="D64" s="270" t="s">
        <v>478</v>
      </c>
      <c r="E64" s="392">
        <v>41640.0</v>
      </c>
      <c r="F64" s="392">
        <v>41974.0</v>
      </c>
      <c r="G64" s="210">
        <v>126452.0</v>
      </c>
      <c r="H64" s="210" t="s">
        <v>83</v>
      </c>
      <c r="I64" s="210" t="str">
        <f t="shared" ref="I64:I66" si="11">G64</f>
        <v>126,452</v>
      </c>
      <c r="J64" s="210">
        <v>0.0</v>
      </c>
      <c r="K64" s="250"/>
      <c r="L64" s="251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181" t="s">
        <v>0</v>
      </c>
      <c r="B65" s="270" t="s">
        <v>479</v>
      </c>
      <c r="C65" s="270" t="s">
        <v>480</v>
      </c>
      <c r="D65" s="270" t="s">
        <v>478</v>
      </c>
      <c r="E65" s="392">
        <v>41640.0</v>
      </c>
      <c r="F65" s="392">
        <v>41974.0</v>
      </c>
      <c r="G65" s="210">
        <v>180751.0</v>
      </c>
      <c r="H65" s="210" t="s">
        <v>83</v>
      </c>
      <c r="I65" s="210" t="str">
        <f t="shared" si="11"/>
        <v>180,751</v>
      </c>
      <c r="J65" s="210">
        <v>0.0</v>
      </c>
      <c r="K65" s="250"/>
      <c r="L65" s="251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6.5" customHeight="1">
      <c r="A66" s="181" t="s">
        <v>397</v>
      </c>
      <c r="B66" s="394" t="s">
        <v>482</v>
      </c>
      <c r="C66" s="270" t="s">
        <v>483</v>
      </c>
      <c r="D66" s="270" t="s">
        <v>484</v>
      </c>
      <c r="E66" s="392">
        <v>41730.0</v>
      </c>
      <c r="F66" s="392">
        <v>42094.0</v>
      </c>
      <c r="G66" s="210">
        <v>34200.0</v>
      </c>
      <c r="H66" s="210" t="s">
        <v>83</v>
      </c>
      <c r="I66" s="210" t="str">
        <f t="shared" si="11"/>
        <v>34,200</v>
      </c>
      <c r="J66" s="210">
        <v>0.0</v>
      </c>
      <c r="K66" s="250"/>
      <c r="L66" s="251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181" t="s">
        <v>199</v>
      </c>
      <c r="B67" s="394" t="s">
        <v>485</v>
      </c>
      <c r="C67" s="270" t="s">
        <v>486</v>
      </c>
      <c r="D67" s="270" t="s">
        <v>484</v>
      </c>
      <c r="E67" s="392">
        <v>41730.0</v>
      </c>
      <c r="F67" s="392">
        <v>42185.0</v>
      </c>
      <c r="G67" s="210">
        <v>41915.0</v>
      </c>
      <c r="H67" s="210" t="s">
        <v>83</v>
      </c>
      <c r="I67" s="210" t="str">
        <f>(9/18)*G67</f>
        <v>20,958</v>
      </c>
      <c r="J67" s="210" t="str">
        <f>(9/18)*G67</f>
        <v>20,958</v>
      </c>
      <c r="K67" s="250"/>
      <c r="L67" s="251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40" t="s">
        <v>144</v>
      </c>
      <c r="B68" s="441" t="s">
        <v>441</v>
      </c>
      <c r="C68" s="441" t="s">
        <v>442</v>
      </c>
      <c r="D68" s="441" t="s">
        <v>439</v>
      </c>
      <c r="E68" s="532">
        <v>41640.0</v>
      </c>
      <c r="F68" s="532">
        <v>41974.0</v>
      </c>
      <c r="G68" s="530">
        <v>195584.0</v>
      </c>
      <c r="H68" s="530" t="s">
        <v>83</v>
      </c>
      <c r="I68" s="530">
        <v>195584.0</v>
      </c>
      <c r="J68" s="530" t="s">
        <v>253</v>
      </c>
      <c r="K68" s="250"/>
      <c r="L68" s="251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663" t="s">
        <v>135</v>
      </c>
      <c r="B69" s="664" t="s">
        <v>235</v>
      </c>
      <c r="C69" s="664" t="s">
        <v>236</v>
      </c>
      <c r="D69" s="664" t="s">
        <v>437</v>
      </c>
      <c r="E69" s="709">
        <v>41730.0</v>
      </c>
      <c r="F69" s="709">
        <v>41974.0</v>
      </c>
      <c r="G69" s="710">
        <v>29977.0</v>
      </c>
      <c r="H69" s="710" t="s">
        <v>83</v>
      </c>
      <c r="I69" s="712">
        <v>29977.0</v>
      </c>
      <c r="J69" s="664">
        <v>0.0</v>
      </c>
      <c r="K69" s="250"/>
      <c r="L69" s="251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663" t="s">
        <v>175</v>
      </c>
      <c r="B70" s="664" t="s">
        <v>445</v>
      </c>
      <c r="C70" s="664" t="s">
        <v>236</v>
      </c>
      <c r="D70" s="870" t="s">
        <v>437</v>
      </c>
      <c r="E70" s="709">
        <v>41730.0</v>
      </c>
      <c r="F70" s="709">
        <v>41944.0</v>
      </c>
      <c r="G70" s="710">
        <v>30000.0</v>
      </c>
      <c r="H70" s="868" t="s">
        <v>83</v>
      </c>
      <c r="I70" s="712">
        <v>30000.0</v>
      </c>
      <c r="J70" s="712">
        <v>0.0</v>
      </c>
      <c r="K70" s="250"/>
      <c r="L70" s="251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663" t="s">
        <v>4</v>
      </c>
      <c r="B71" s="664" t="s">
        <v>471</v>
      </c>
      <c r="C71" s="664" t="s">
        <v>472</v>
      </c>
      <c r="D71" s="664" t="s">
        <v>237</v>
      </c>
      <c r="E71" s="709">
        <v>40909.0</v>
      </c>
      <c r="F71" s="709">
        <v>41244.0</v>
      </c>
      <c r="G71" s="710">
        <v>54200.0</v>
      </c>
      <c r="H71" s="710" t="s">
        <v>83</v>
      </c>
      <c r="I71" s="712">
        <v>67435.0</v>
      </c>
      <c r="J71" s="712">
        <v>0.0</v>
      </c>
      <c r="K71" s="250"/>
      <c r="L71" s="109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663" t="s">
        <v>4</v>
      </c>
      <c r="B72" s="1101" t="s">
        <v>471</v>
      </c>
      <c r="C72" s="664" t="s">
        <v>473</v>
      </c>
      <c r="D72" s="664" t="s">
        <v>237</v>
      </c>
      <c r="E72" s="709">
        <v>40909.0</v>
      </c>
      <c r="F72" s="709">
        <v>41244.0</v>
      </c>
      <c r="G72" s="710">
        <v>169240.0</v>
      </c>
      <c r="H72" s="710" t="s">
        <v>83</v>
      </c>
      <c r="I72" s="712">
        <v>183922.0</v>
      </c>
      <c r="J72" s="712">
        <v>0.0</v>
      </c>
      <c r="K72" s="250"/>
      <c r="L72" s="1092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763" t="s">
        <v>182</v>
      </c>
      <c r="B73" s="1102" t="s">
        <v>182</v>
      </c>
      <c r="C73" s="1102" t="s">
        <v>104</v>
      </c>
      <c r="D73" s="1102" t="s">
        <v>105</v>
      </c>
      <c r="E73" s="1103">
        <v>41640.0</v>
      </c>
      <c r="F73" s="1103">
        <v>41974.0</v>
      </c>
      <c r="G73" s="888">
        <v>21000.0</v>
      </c>
      <c r="H73" s="1102" t="s">
        <v>83</v>
      </c>
      <c r="I73" s="888">
        <v>21000.0</v>
      </c>
      <c r="J73" s="1102">
        <v>0.0</v>
      </c>
      <c r="K73" s="250"/>
      <c r="L73" s="1092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763" t="s">
        <v>182</v>
      </c>
      <c r="B74" s="1102" t="s">
        <v>474</v>
      </c>
      <c r="C74" s="1102" t="s">
        <v>104</v>
      </c>
      <c r="D74" s="1102" t="s">
        <v>105</v>
      </c>
      <c r="E74" s="1103">
        <v>41275.0</v>
      </c>
      <c r="F74" s="1103">
        <v>41760.0</v>
      </c>
      <c r="G74" s="888">
        <v>130000.0</v>
      </c>
      <c r="H74" s="1102" t="s">
        <v>83</v>
      </c>
      <c r="I74" s="888" t="str">
        <f>80000-10000</f>
        <v>70,000</v>
      </c>
      <c r="J74" s="1102">
        <v>0.0</v>
      </c>
      <c r="K74" s="250"/>
      <c r="L74" s="1092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763" t="s">
        <v>675</v>
      </c>
      <c r="B75" s="764" t="s">
        <v>106</v>
      </c>
      <c r="C75" s="764" t="s">
        <v>107</v>
      </c>
      <c r="D75" s="765" t="s">
        <v>105</v>
      </c>
      <c r="E75" s="765">
        <v>41640.0</v>
      </c>
      <c r="F75" s="765">
        <v>41974.0</v>
      </c>
      <c r="G75" s="1117">
        <v>50000.0</v>
      </c>
      <c r="H75" s="1119" t="s">
        <v>83</v>
      </c>
      <c r="I75" s="766" t="str">
        <f t="shared" ref="I75:I76" si="12">G75</f>
        <v>50,000</v>
      </c>
      <c r="J75" s="766">
        <v>0.0</v>
      </c>
      <c r="K75" s="250"/>
      <c r="L75" s="1092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763" t="s">
        <v>675</v>
      </c>
      <c r="B76" s="1102" t="s">
        <v>521</v>
      </c>
      <c r="C76" s="764" t="s">
        <v>522</v>
      </c>
      <c r="D76" s="764" t="s">
        <v>105</v>
      </c>
      <c r="E76" s="765">
        <v>41640.0</v>
      </c>
      <c r="F76" s="765">
        <v>41974.0</v>
      </c>
      <c r="G76" s="766">
        <v>10000.0</v>
      </c>
      <c r="H76" s="764" t="s">
        <v>83</v>
      </c>
      <c r="I76" s="766" t="str">
        <f t="shared" si="12"/>
        <v>10,000</v>
      </c>
      <c r="J76" s="1102">
        <v>0.0</v>
      </c>
      <c r="K76" s="250"/>
      <c r="L76" s="1092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763" t="s">
        <v>222</v>
      </c>
      <c r="B77" s="1102" t="s">
        <v>497</v>
      </c>
      <c r="C77" s="1102" t="s">
        <v>498</v>
      </c>
      <c r="D77" s="1102" t="s">
        <v>105</v>
      </c>
      <c r="E77" s="1103">
        <v>41640.0</v>
      </c>
      <c r="F77" s="1103">
        <v>41974.0</v>
      </c>
      <c r="G77" s="888">
        <v>30000.0</v>
      </c>
      <c r="H77" s="1102" t="s">
        <v>83</v>
      </c>
      <c r="I77" s="888">
        <v>30000.0</v>
      </c>
      <c r="J77" s="1102">
        <v>0.0</v>
      </c>
      <c r="K77" s="250"/>
      <c r="L77" s="1092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763" t="s">
        <v>676</v>
      </c>
      <c r="B78" s="1102" t="s">
        <v>110</v>
      </c>
      <c r="C78" s="764" t="s">
        <v>111</v>
      </c>
      <c r="D78" s="764" t="s">
        <v>105</v>
      </c>
      <c r="E78" s="765">
        <v>41640.0</v>
      </c>
      <c r="F78" s="765">
        <v>41974.0</v>
      </c>
      <c r="G78" s="766" t="str">
        <f>175000+40000</f>
        <v>215,000</v>
      </c>
      <c r="H78" s="764" t="s">
        <v>83</v>
      </c>
      <c r="I78" s="766" t="str">
        <f>G78</f>
        <v>215,000</v>
      </c>
      <c r="J78" s="1102">
        <v>0.0</v>
      </c>
      <c r="K78" s="250"/>
      <c r="L78" s="109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763" t="s">
        <v>74</v>
      </c>
      <c r="B79" s="764" t="s">
        <v>74</v>
      </c>
      <c r="C79" s="764" t="s">
        <v>475</v>
      </c>
      <c r="D79" s="764" t="s">
        <v>105</v>
      </c>
      <c r="E79" s="1103">
        <v>41640.0</v>
      </c>
      <c r="F79" s="1103">
        <v>41974.0</v>
      </c>
      <c r="G79" s="766">
        <v>15000.0</v>
      </c>
      <c r="H79" s="767" t="s">
        <v>83</v>
      </c>
      <c r="I79" s="766">
        <v>15000.0</v>
      </c>
      <c r="J79" s="766">
        <v>0.0</v>
      </c>
      <c r="K79" s="250"/>
      <c r="L79" s="109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763" t="s">
        <v>332</v>
      </c>
      <c r="B80" s="1102" t="s">
        <v>332</v>
      </c>
      <c r="C80" s="1102" t="s">
        <v>476</v>
      </c>
      <c r="D80" s="1102" t="s">
        <v>105</v>
      </c>
      <c r="E80" s="1103">
        <v>41640.0</v>
      </c>
      <c r="F80" s="1103">
        <v>41974.0</v>
      </c>
      <c r="G80" s="888">
        <v>15000.0</v>
      </c>
      <c r="H80" s="1102" t="s">
        <v>83</v>
      </c>
      <c r="I80" s="888">
        <v>15000.0</v>
      </c>
      <c r="J80" s="1102">
        <v>0.0</v>
      </c>
      <c r="K80" s="250"/>
      <c r="L80" s="109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763" t="s">
        <v>397</v>
      </c>
      <c r="B81" s="1102" t="s">
        <v>523</v>
      </c>
      <c r="C81" s="1102" t="s">
        <v>524</v>
      </c>
      <c r="D81" s="1102" t="s">
        <v>105</v>
      </c>
      <c r="E81" s="1103">
        <v>41640.0</v>
      </c>
      <c r="F81" s="1103">
        <v>41974.0</v>
      </c>
      <c r="G81" s="888">
        <v>30000.0</v>
      </c>
      <c r="H81" s="1102" t="s">
        <v>83</v>
      </c>
      <c r="I81" s="888" t="str">
        <f t="shared" ref="I81:I83" si="13">G81</f>
        <v>30,000</v>
      </c>
      <c r="J81" s="1102">
        <v>0.0</v>
      </c>
      <c r="K81" s="250"/>
      <c r="L81" s="1092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763" t="s">
        <v>676</v>
      </c>
      <c r="B82" s="1102" t="s">
        <v>525</v>
      </c>
      <c r="C82" s="1102" t="s">
        <v>351</v>
      </c>
      <c r="D82" s="1102" t="s">
        <v>105</v>
      </c>
      <c r="E82" s="1103">
        <v>41640.0</v>
      </c>
      <c r="F82" s="1103">
        <v>41974.0</v>
      </c>
      <c r="G82" s="888">
        <v>34360.0</v>
      </c>
      <c r="H82" s="1102" t="s">
        <v>83</v>
      </c>
      <c r="I82" s="888" t="str">
        <f t="shared" si="13"/>
        <v>34,360</v>
      </c>
      <c r="J82" s="1102">
        <v>0.0</v>
      </c>
      <c r="K82" s="250"/>
      <c r="L82" s="1092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763" t="s">
        <v>676</v>
      </c>
      <c r="B83" s="1102" t="s">
        <v>526</v>
      </c>
      <c r="C83" s="1102" t="s">
        <v>351</v>
      </c>
      <c r="D83" s="1102" t="s">
        <v>105</v>
      </c>
      <c r="E83" s="1103">
        <v>41640.0</v>
      </c>
      <c r="F83" s="1103">
        <v>41974.0</v>
      </c>
      <c r="G83" s="888">
        <v>55000.0</v>
      </c>
      <c r="H83" s="1102" t="s">
        <v>83</v>
      </c>
      <c r="I83" s="888" t="str">
        <f t="shared" si="13"/>
        <v>55,000</v>
      </c>
      <c r="J83" s="1102">
        <v>0.0</v>
      </c>
      <c r="K83" s="250"/>
      <c r="L83" s="1092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927" t="s">
        <v>678</v>
      </c>
      <c r="B84" s="928" t="s">
        <v>433</v>
      </c>
      <c r="C84" s="928" t="s">
        <v>434</v>
      </c>
      <c r="D84" s="928" t="s">
        <v>237</v>
      </c>
      <c r="E84" s="930">
        <v>41275.0</v>
      </c>
      <c r="F84" s="930">
        <v>41609.0</v>
      </c>
      <c r="G84" s="972">
        <v>222729.0</v>
      </c>
      <c r="H84" s="1030" t="s">
        <v>360</v>
      </c>
      <c r="I84" s="972">
        <v>236092.0</v>
      </c>
      <c r="J84" s="972">
        <v>236092.0</v>
      </c>
      <c r="K84" s="250"/>
      <c r="L84" s="1092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927"/>
      <c r="B85" s="1125"/>
      <c r="C85" s="1125"/>
      <c r="D85" s="1125"/>
      <c r="E85" s="1126"/>
      <c r="F85" s="1128" t="s">
        <v>478</v>
      </c>
      <c r="G85" s="1141" t="str">
        <f t="shared" ref="G85:J85" si="14">SUM(G64:G84)</f>
        <v>1,690,408</v>
      </c>
      <c r="H85" s="1141" t="str">
        <f t="shared" si="14"/>
        <v>0</v>
      </c>
      <c r="I85" s="1141" t="str">
        <f t="shared" si="14"/>
        <v>1,650,731</v>
      </c>
      <c r="J85" s="1141" t="str">
        <f t="shared" si="14"/>
        <v>257,050</v>
      </c>
      <c r="K85" s="250" t="str">
        <f>G85/G131*100</f>
        <v>  6.94 </v>
      </c>
      <c r="L85" s="1092" t="str">
        <f>G85/21</f>
        <v>  80,496 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33"/>
      <c r="B86" s="401"/>
      <c r="C86" s="437"/>
      <c r="D86" s="437"/>
      <c r="E86" s="438"/>
      <c r="F86" s="438"/>
      <c r="G86" s="1143"/>
      <c r="H86" s="1143"/>
      <c r="I86" s="381"/>
      <c r="J86" s="381"/>
      <c r="K86" s="250"/>
      <c r="L86" s="1092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763" t="s">
        <v>593</v>
      </c>
      <c r="B87" s="1102" t="s">
        <v>424</v>
      </c>
      <c r="C87" s="1102" t="s">
        <v>425</v>
      </c>
      <c r="D87" s="1102" t="s">
        <v>77</v>
      </c>
      <c r="E87" s="1103">
        <v>41640.0</v>
      </c>
      <c r="F87" s="1103">
        <v>41791.0</v>
      </c>
      <c r="G87" s="888">
        <v>21250.0</v>
      </c>
      <c r="H87" s="1102" t="s">
        <v>83</v>
      </c>
      <c r="I87" s="888">
        <v>21250.0</v>
      </c>
      <c r="J87" s="1102">
        <v>0.0</v>
      </c>
      <c r="K87" s="250"/>
      <c r="L87" s="251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763" t="s">
        <v>74</v>
      </c>
      <c r="B88" s="764" t="s">
        <v>420</v>
      </c>
      <c r="C88" s="764" t="s">
        <v>421</v>
      </c>
      <c r="D88" s="764" t="s">
        <v>77</v>
      </c>
      <c r="E88" s="765">
        <v>41640.0</v>
      </c>
      <c r="F88" s="765">
        <v>41974.0</v>
      </c>
      <c r="G88" s="766" t="str">
        <f>153564+10047</f>
        <v>163,611</v>
      </c>
      <c r="H88" s="767">
        <v>0.0</v>
      </c>
      <c r="I88" s="766" t="str">
        <f t="shared" ref="I88:I89" si="15">G88</f>
        <v>163,611</v>
      </c>
      <c r="J88" s="766">
        <v>0.0</v>
      </c>
      <c r="K88" s="250"/>
      <c r="L88" s="251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763" t="s">
        <v>332</v>
      </c>
      <c r="B89" s="1102" t="s">
        <v>422</v>
      </c>
      <c r="C89" s="764" t="s">
        <v>338</v>
      </c>
      <c r="D89" s="764" t="s">
        <v>77</v>
      </c>
      <c r="E89" s="765">
        <v>41456.0</v>
      </c>
      <c r="F89" s="765">
        <v>41791.0</v>
      </c>
      <c r="G89" s="766" t="str">
        <f>93901+6143</f>
        <v>100,044</v>
      </c>
      <c r="H89" s="764">
        <v>0.0</v>
      </c>
      <c r="I89" s="766" t="str">
        <f t="shared" si="15"/>
        <v>100,044</v>
      </c>
      <c r="J89" s="1102">
        <v>0.0</v>
      </c>
      <c r="K89" s="250"/>
      <c r="L89" s="251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763" t="s">
        <v>397</v>
      </c>
      <c r="B90" s="1102" t="s">
        <v>427</v>
      </c>
      <c r="C90" s="764" t="s">
        <v>351</v>
      </c>
      <c r="D90" s="764" t="s">
        <v>77</v>
      </c>
      <c r="E90" s="765">
        <v>41640.0</v>
      </c>
      <c r="F90" s="765">
        <v>41791.0</v>
      </c>
      <c r="G90" s="766">
        <v>21250.0</v>
      </c>
      <c r="H90" s="1102" t="s">
        <v>83</v>
      </c>
      <c r="I90" s="888">
        <v>21250.0</v>
      </c>
      <c r="J90" s="1102">
        <v>0.0</v>
      </c>
      <c r="K90" s="250"/>
      <c r="L90" s="251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40" t="s">
        <v>144</v>
      </c>
      <c r="B91" s="441" t="s">
        <v>428</v>
      </c>
      <c r="C91" s="441" t="s">
        <v>429</v>
      </c>
      <c r="D91" s="441" t="s">
        <v>430</v>
      </c>
      <c r="E91" s="442">
        <v>41395.0</v>
      </c>
      <c r="F91" s="442">
        <v>42095.0</v>
      </c>
      <c r="G91" s="530">
        <v>200000.0</v>
      </c>
      <c r="H91" s="530" t="s">
        <v>83</v>
      </c>
      <c r="I91" s="530" t="str">
        <f>81600+50000</f>
        <v>131,600</v>
      </c>
      <c r="J91" s="530">
        <v>50000.0</v>
      </c>
      <c r="K91" s="250"/>
      <c r="L91" s="251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663" t="s">
        <v>178</v>
      </c>
      <c r="B92" s="870" t="s">
        <v>680</v>
      </c>
      <c r="C92" s="664" t="s">
        <v>681</v>
      </c>
      <c r="D92" s="664" t="s">
        <v>77</v>
      </c>
      <c r="E92" s="709">
        <v>41456.0</v>
      </c>
      <c r="F92" s="709">
        <v>41791.0</v>
      </c>
      <c r="G92" s="710">
        <v>213930.0</v>
      </c>
      <c r="H92" s="868" t="s">
        <v>83</v>
      </c>
      <c r="I92" s="712">
        <v>85127.0</v>
      </c>
      <c r="J92" s="712">
        <v>0.0</v>
      </c>
      <c r="K92" s="250"/>
      <c r="L92" s="251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663"/>
      <c r="B93" s="870"/>
      <c r="C93" s="664"/>
      <c r="D93" s="664"/>
      <c r="E93" s="709"/>
      <c r="F93" s="1147" t="s">
        <v>682</v>
      </c>
      <c r="G93" s="1156" t="str">
        <f t="shared" ref="G93:J93" si="16">SUM(G87:G92)</f>
        <v>720,085</v>
      </c>
      <c r="H93" s="1156" t="str">
        <f t="shared" si="16"/>
        <v>0</v>
      </c>
      <c r="I93" s="1156" t="str">
        <f t="shared" si="16"/>
        <v>522,882</v>
      </c>
      <c r="J93" s="1156" t="str">
        <f t="shared" si="16"/>
        <v>50,000</v>
      </c>
      <c r="K93" s="250" t="str">
        <f>G93/G131*100</f>
        <v>  2.96 </v>
      </c>
      <c r="L93" s="251" t="str">
        <f>G93/6</f>
        <v>  120,014 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2.0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250"/>
      <c r="L94" s="251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440" t="s">
        <v>244</v>
      </c>
      <c r="B95" s="531" t="s">
        <v>270</v>
      </c>
      <c r="C95" s="441" t="s">
        <v>253</v>
      </c>
      <c r="D95" s="441" t="s">
        <v>271</v>
      </c>
      <c r="E95" s="532">
        <v>41699.0</v>
      </c>
      <c r="F95" s="532">
        <v>41699.0</v>
      </c>
      <c r="G95" s="472">
        <v>10927.0</v>
      </c>
      <c r="H95" s="472" t="s">
        <v>685</v>
      </c>
      <c r="I95" s="472">
        <v>10927.0</v>
      </c>
      <c r="J95" s="530">
        <v>0.0</v>
      </c>
      <c r="K95" s="250"/>
      <c r="L95" s="251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663" t="s">
        <v>178</v>
      </c>
      <c r="B96" s="1101" t="s">
        <v>390</v>
      </c>
      <c r="C96" s="664" t="s">
        <v>391</v>
      </c>
      <c r="D96" s="664" t="s">
        <v>392</v>
      </c>
      <c r="E96" s="709">
        <v>41290.0</v>
      </c>
      <c r="F96" s="709">
        <v>41654.0</v>
      </c>
      <c r="G96" s="710">
        <v>71464.0</v>
      </c>
      <c r="H96" s="710" t="s">
        <v>83</v>
      </c>
      <c r="I96" s="712">
        <v>17098.0</v>
      </c>
      <c r="J96" s="712">
        <v>0.0</v>
      </c>
      <c r="K96" s="250"/>
      <c r="L96" s="251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663"/>
      <c r="B97" s="1101"/>
      <c r="C97" s="664"/>
      <c r="D97" s="664"/>
      <c r="E97" s="709"/>
      <c r="F97" s="1147" t="s">
        <v>686</v>
      </c>
      <c r="G97" s="1156" t="str">
        <f t="shared" ref="G97:J97" si="17">SUM(G95:G96)</f>
        <v>82,391</v>
      </c>
      <c r="H97" s="1156" t="str">
        <f t="shared" si="17"/>
        <v>0</v>
      </c>
      <c r="I97" s="1156" t="str">
        <f t="shared" si="17"/>
        <v>28,025</v>
      </c>
      <c r="J97" s="1156" t="str">
        <f t="shared" si="17"/>
        <v>0</v>
      </c>
      <c r="K97" s="250" t="str">
        <f>G97/G131*100</f>
        <v>  0.34 </v>
      </c>
      <c r="L97" s="251" t="str">
        <f>G97/2</f>
        <v>  41,196 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2.0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250"/>
      <c r="L98" s="251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663" t="s">
        <v>687</v>
      </c>
      <c r="B99" s="664" t="s">
        <v>309</v>
      </c>
      <c r="C99" s="664" t="s">
        <v>310</v>
      </c>
      <c r="D99" s="664" t="s">
        <v>308</v>
      </c>
      <c r="E99" s="709">
        <v>41365.0</v>
      </c>
      <c r="F99" s="709">
        <v>41699.0</v>
      </c>
      <c r="G99" s="710">
        <v>300000.0</v>
      </c>
      <c r="H99" s="710" t="s">
        <v>83</v>
      </c>
      <c r="I99" s="712">
        <v>89927.0</v>
      </c>
      <c r="J99" s="712">
        <v>0.0</v>
      </c>
      <c r="K99" s="250"/>
      <c r="L99" s="251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663" t="s">
        <v>135</v>
      </c>
      <c r="B100" s="664" t="s">
        <v>311</v>
      </c>
      <c r="C100" s="664" t="s">
        <v>312</v>
      </c>
      <c r="D100" s="664" t="s">
        <v>266</v>
      </c>
      <c r="E100" s="709">
        <v>41640.0</v>
      </c>
      <c r="F100" s="709">
        <v>41699.0</v>
      </c>
      <c r="G100" s="710">
        <v>16000.0</v>
      </c>
      <c r="H100" s="710" t="s">
        <v>83</v>
      </c>
      <c r="I100" s="712">
        <v>16000.0</v>
      </c>
      <c r="J100" s="712">
        <v>0.0</v>
      </c>
      <c r="K100" s="250"/>
      <c r="L100" s="251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663" t="s">
        <v>175</v>
      </c>
      <c r="B101" s="664" t="s">
        <v>303</v>
      </c>
      <c r="C101" s="664" t="s">
        <v>313</v>
      </c>
      <c r="D101" s="664" t="s">
        <v>266</v>
      </c>
      <c r="E101" s="709">
        <v>41579.0</v>
      </c>
      <c r="F101" s="709">
        <v>42036.0</v>
      </c>
      <c r="G101" s="710">
        <v>263361.0</v>
      </c>
      <c r="H101" s="868" t="s">
        <v>83</v>
      </c>
      <c r="I101" s="712">
        <v>195168.0</v>
      </c>
      <c r="J101" s="712">
        <v>0.0</v>
      </c>
      <c r="K101" s="250"/>
      <c r="L101" s="251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663" t="s">
        <v>314</v>
      </c>
      <c r="B102" s="1101" t="s">
        <v>315</v>
      </c>
      <c r="C102" s="664" t="s">
        <v>335</v>
      </c>
      <c r="D102" s="664" t="s">
        <v>336</v>
      </c>
      <c r="E102" s="709">
        <v>41518.0</v>
      </c>
      <c r="F102" s="709">
        <v>41699.0</v>
      </c>
      <c r="G102" s="710">
        <v>70000.0</v>
      </c>
      <c r="H102" s="710" t="s">
        <v>83</v>
      </c>
      <c r="I102" s="712">
        <v>33365.0</v>
      </c>
      <c r="J102" s="712">
        <v>0.0</v>
      </c>
      <c r="K102" s="250"/>
      <c r="L102" s="251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763" t="s">
        <v>332</v>
      </c>
      <c r="B103" s="1102" t="s">
        <v>337</v>
      </c>
      <c r="C103" s="764" t="s">
        <v>338</v>
      </c>
      <c r="D103" s="764" t="s">
        <v>266</v>
      </c>
      <c r="E103" s="765">
        <v>41640.0</v>
      </c>
      <c r="F103" s="765">
        <v>41974.0</v>
      </c>
      <c r="G103" s="766">
        <v>75029.0</v>
      </c>
      <c r="H103" s="764">
        <v>0.0</v>
      </c>
      <c r="I103" s="766">
        <v>75029.0</v>
      </c>
      <c r="J103" s="888">
        <v>0.0</v>
      </c>
      <c r="K103" s="250"/>
      <c r="L103" s="251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927" t="s">
        <v>628</v>
      </c>
      <c r="B104" s="928" t="s">
        <v>301</v>
      </c>
      <c r="C104" s="1163" t="s">
        <v>302</v>
      </c>
      <c r="D104" s="928" t="s">
        <v>287</v>
      </c>
      <c r="E104" s="930">
        <v>41000.0</v>
      </c>
      <c r="F104" s="930">
        <v>42064.0</v>
      </c>
      <c r="G104" s="932" t="str">
        <f>399988-40000</f>
        <v>359,988</v>
      </c>
      <c r="H104" s="933" t="s">
        <v>360</v>
      </c>
      <c r="I104" s="972" t="str">
        <f>(100000/12*3)+(50000/12*9)</f>
        <v>62,500</v>
      </c>
      <c r="J104" s="972" t="str">
        <f>50000/12*3</f>
        <v>12,500</v>
      </c>
      <c r="K104" s="250"/>
      <c r="L104" s="251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927" t="s">
        <v>628</v>
      </c>
      <c r="B105" s="928" t="s">
        <v>304</v>
      </c>
      <c r="C105" s="545"/>
      <c r="D105" s="928" t="s">
        <v>287</v>
      </c>
      <c r="E105" s="930">
        <v>41365.0</v>
      </c>
      <c r="F105" s="930">
        <v>41699.0</v>
      </c>
      <c r="G105" s="932">
        <v>64890.0</v>
      </c>
      <c r="H105" s="933">
        <v>0.0</v>
      </c>
      <c r="I105" s="972" t="str">
        <f>G105/12*3</f>
        <v>16,223</v>
      </c>
      <c r="J105" s="972">
        <v>0.0</v>
      </c>
      <c r="K105" s="250"/>
      <c r="L105" s="251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927" t="s">
        <v>628</v>
      </c>
      <c r="B106" s="928" t="s">
        <v>285</v>
      </c>
      <c r="C106" s="1166" t="s">
        <v>286</v>
      </c>
      <c r="D106" s="928" t="s">
        <v>287</v>
      </c>
      <c r="E106" s="930">
        <v>41000.0</v>
      </c>
      <c r="F106" s="930">
        <v>42064.0</v>
      </c>
      <c r="G106" s="932">
        <v>510901.0</v>
      </c>
      <c r="H106" s="933" t="s">
        <v>360</v>
      </c>
      <c r="I106" s="972">
        <v>100000.0</v>
      </c>
      <c r="J106" s="972" t="str">
        <f>100000/12*3</f>
        <v>25,000</v>
      </c>
      <c r="K106" s="250"/>
      <c r="L106" s="251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927" t="s">
        <v>628</v>
      </c>
      <c r="B107" s="928" t="s">
        <v>288</v>
      </c>
      <c r="C107" s="545"/>
      <c r="D107" s="928" t="s">
        <v>287</v>
      </c>
      <c r="E107" s="930">
        <v>41609.0</v>
      </c>
      <c r="F107" s="930">
        <v>41699.0</v>
      </c>
      <c r="G107" s="932">
        <v>18711.0</v>
      </c>
      <c r="H107" s="933">
        <v>0.0</v>
      </c>
      <c r="I107" s="972" t="str">
        <f>G107</f>
        <v>18,711</v>
      </c>
      <c r="J107" s="972">
        <v>0.0</v>
      </c>
      <c r="K107" s="250"/>
      <c r="L107" s="251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927" t="s">
        <v>689</v>
      </c>
      <c r="B108" s="928" t="s">
        <v>306</v>
      </c>
      <c r="C108" s="928" t="s">
        <v>307</v>
      </c>
      <c r="D108" s="928" t="s">
        <v>287</v>
      </c>
      <c r="E108" s="930">
        <v>41000.0</v>
      </c>
      <c r="F108" s="930">
        <v>42064.0</v>
      </c>
      <c r="G108" s="972">
        <v>389998.0</v>
      </c>
      <c r="H108" s="1030" t="s">
        <v>360</v>
      </c>
      <c r="I108" s="972">
        <v>100000.0</v>
      </c>
      <c r="J108" s="972" t="str">
        <f>100000/12*3</f>
        <v>25,000</v>
      </c>
      <c r="K108" s="250"/>
      <c r="L108" s="251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927"/>
      <c r="B109" s="1125"/>
      <c r="C109" s="928"/>
      <c r="D109" s="928"/>
      <c r="E109" s="976"/>
      <c r="F109" s="1032" t="s">
        <v>266</v>
      </c>
      <c r="G109" s="1034" t="str">
        <f t="shared" ref="G109:J109" si="18">SUM(G99:G108)</f>
        <v>2,068,878</v>
      </c>
      <c r="H109" s="1034" t="str">
        <f t="shared" si="18"/>
        <v>0</v>
      </c>
      <c r="I109" s="1034" t="str">
        <f t="shared" si="18"/>
        <v>706,923</v>
      </c>
      <c r="J109" s="1034" t="str">
        <f t="shared" si="18"/>
        <v>62,500</v>
      </c>
      <c r="K109" s="250" t="str">
        <f>G109/G131*100</f>
        <v>  8.49 </v>
      </c>
      <c r="L109" s="251" t="str">
        <f>G109/10</f>
        <v>  206,888 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2.0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250"/>
      <c r="L110" s="251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663" t="s">
        <v>135</v>
      </c>
      <c r="B111" s="664" t="s">
        <v>377</v>
      </c>
      <c r="C111" s="664" t="s">
        <v>378</v>
      </c>
      <c r="D111" s="664" t="s">
        <v>379</v>
      </c>
      <c r="E111" s="709">
        <v>41518.0</v>
      </c>
      <c r="F111" s="709">
        <v>41609.0</v>
      </c>
      <c r="G111" s="710">
        <v>4300.0</v>
      </c>
      <c r="H111" s="710" t="s">
        <v>83</v>
      </c>
      <c r="I111" s="712">
        <v>3500.0</v>
      </c>
      <c r="J111" s="664">
        <v>0.0</v>
      </c>
      <c r="K111" s="250"/>
      <c r="L111" s="251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663" t="s">
        <v>178</v>
      </c>
      <c r="B112" s="870" t="s">
        <v>380</v>
      </c>
      <c r="C112" s="664" t="s">
        <v>381</v>
      </c>
      <c r="D112" s="664" t="s">
        <v>382</v>
      </c>
      <c r="E112" s="709">
        <v>41426.0</v>
      </c>
      <c r="F112" s="709">
        <v>41699.0</v>
      </c>
      <c r="G112" s="710">
        <v>229118.0</v>
      </c>
      <c r="H112" s="868" t="s">
        <v>83</v>
      </c>
      <c r="I112" s="712">
        <v>130199.0</v>
      </c>
      <c r="J112" s="712">
        <v>0.0</v>
      </c>
      <c r="K112" s="250"/>
      <c r="L112" s="251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440" t="s">
        <v>228</v>
      </c>
      <c r="B113" s="534" t="s">
        <v>373</v>
      </c>
      <c r="C113" s="1170" t="s">
        <v>508</v>
      </c>
      <c r="D113" s="534" t="s">
        <v>375</v>
      </c>
      <c r="E113" s="532">
        <v>41671.0</v>
      </c>
      <c r="F113" s="532">
        <v>41760.0</v>
      </c>
      <c r="G113" s="1171">
        <v>12020.0</v>
      </c>
      <c r="H113" s="1172">
        <v>0.0</v>
      </c>
      <c r="I113" s="472">
        <v>12020.0</v>
      </c>
      <c r="J113" s="472">
        <v>0.0</v>
      </c>
      <c r="K113" s="250"/>
      <c r="L113" s="251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440"/>
      <c r="B114" s="534"/>
      <c r="C114" s="1170"/>
      <c r="D114" s="534"/>
      <c r="E114" s="532"/>
      <c r="F114" s="540" t="s">
        <v>383</v>
      </c>
      <c r="G114" s="1174" t="str">
        <f t="shared" ref="G114:J114" si="19">SUM(G111:G113)</f>
        <v>245,438</v>
      </c>
      <c r="H114" s="1174" t="str">
        <f t="shared" si="19"/>
        <v>0</v>
      </c>
      <c r="I114" s="1174" t="str">
        <f t="shared" si="19"/>
        <v>145,719</v>
      </c>
      <c r="J114" s="1174" t="str">
        <f t="shared" si="19"/>
        <v>0</v>
      </c>
      <c r="K114" s="250" t="str">
        <f>G114/G131*100</f>
        <v>  1.01 </v>
      </c>
      <c r="L114" s="251" t="str">
        <f>G114/3</f>
        <v>  81,813 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2.0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250"/>
      <c r="L115" s="251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663" t="s">
        <v>175</v>
      </c>
      <c r="B116" s="664" t="s">
        <v>342</v>
      </c>
      <c r="C116" s="664" t="s">
        <v>344</v>
      </c>
      <c r="D116" s="870" t="s">
        <v>393</v>
      </c>
      <c r="E116" s="709">
        <v>41730.0</v>
      </c>
      <c r="F116" s="709">
        <v>42064.0</v>
      </c>
      <c r="G116" s="710">
        <v>54000.0</v>
      </c>
      <c r="H116" s="868" t="s">
        <v>83</v>
      </c>
      <c r="I116" s="712">
        <v>40000.0</v>
      </c>
      <c r="J116" s="712">
        <v>14000.0</v>
      </c>
      <c r="K116" s="250"/>
      <c r="L116" s="251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663"/>
      <c r="B117" s="664"/>
      <c r="C117" s="664"/>
      <c r="D117" s="870"/>
      <c r="E117" s="709"/>
      <c r="F117" s="1147" t="s">
        <v>345</v>
      </c>
      <c r="G117" s="1156" t="str">
        <f t="shared" ref="G117:J117" si="20">G116</f>
        <v>54,000</v>
      </c>
      <c r="H117" s="1156" t="str">
        <f t="shared" si="20"/>
        <v>n/a</v>
      </c>
      <c r="I117" s="1156" t="str">
        <f t="shared" si="20"/>
        <v>40,000</v>
      </c>
      <c r="J117" s="1156" t="str">
        <f t="shared" si="20"/>
        <v>14,000</v>
      </c>
      <c r="K117" s="250" t="str">
        <f>G117/G131*100</f>
        <v>  0.22 </v>
      </c>
      <c r="L117" s="251" t="str">
        <f>G117</f>
        <v>  54,000 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2.0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250"/>
      <c r="L118" s="251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663" t="s">
        <v>175</v>
      </c>
      <c r="B119" s="664" t="s">
        <v>416</v>
      </c>
      <c r="C119" s="664" t="s">
        <v>417</v>
      </c>
      <c r="D119" s="664" t="s">
        <v>418</v>
      </c>
      <c r="E119" s="709">
        <v>41730.0</v>
      </c>
      <c r="F119" s="709">
        <v>41852.0</v>
      </c>
      <c r="G119" s="710">
        <v>41000.0</v>
      </c>
      <c r="H119" s="868" t="s">
        <v>83</v>
      </c>
      <c r="I119" s="712">
        <v>41000.0</v>
      </c>
      <c r="J119" s="712">
        <v>0.0</v>
      </c>
      <c r="K119" s="250"/>
      <c r="L119" s="251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763" t="s">
        <v>182</v>
      </c>
      <c r="B120" s="872" t="s">
        <v>413</v>
      </c>
      <c r="C120" s="764" t="s">
        <v>414</v>
      </c>
      <c r="D120" s="764" t="s">
        <v>415</v>
      </c>
      <c r="E120" s="874">
        <v>41275.0</v>
      </c>
      <c r="F120" s="874">
        <v>41791.0</v>
      </c>
      <c r="G120" s="888" t="str">
        <f>12648+9996</f>
        <v>22,644</v>
      </c>
      <c r="H120" s="1182" t="s">
        <v>83</v>
      </c>
      <c r="I120" s="766">
        <v>11814.0</v>
      </c>
      <c r="J120" s="766">
        <v>0.0</v>
      </c>
      <c r="K120" s="250"/>
      <c r="L120" s="251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440" t="s">
        <v>294</v>
      </c>
      <c r="B121" s="534" t="s">
        <v>261</v>
      </c>
      <c r="C121" s="534" t="s">
        <v>262</v>
      </c>
      <c r="D121" s="534" t="s">
        <v>263</v>
      </c>
      <c r="E121" s="532" t="s">
        <v>693</v>
      </c>
      <c r="F121" s="532" t="s">
        <v>694</v>
      </c>
      <c r="G121" s="472">
        <v>44000.0</v>
      </c>
      <c r="H121" s="472" t="s">
        <v>83</v>
      </c>
      <c r="I121" s="472">
        <v>7478.68</v>
      </c>
      <c r="J121" s="472">
        <v>0.0</v>
      </c>
      <c r="K121" s="250"/>
      <c r="L121" s="109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763" t="s">
        <v>102</v>
      </c>
      <c r="B122" s="1102" t="s">
        <v>410</v>
      </c>
      <c r="C122" s="1102" t="s">
        <v>411</v>
      </c>
      <c r="D122" s="1102" t="s">
        <v>412</v>
      </c>
      <c r="E122" s="1103">
        <v>41640.0</v>
      </c>
      <c r="F122" s="1103" t="s">
        <v>583</v>
      </c>
      <c r="G122" s="888" t="str">
        <f>49929/1.65</f>
        <v>30,260</v>
      </c>
      <c r="H122" s="1102" t="s">
        <v>83</v>
      </c>
      <c r="I122" s="888" t="str">
        <f>G122</f>
        <v>30,260</v>
      </c>
      <c r="J122" s="1102">
        <v>0.0</v>
      </c>
      <c r="K122" s="250"/>
      <c r="L122" s="251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181" t="s">
        <v>695</v>
      </c>
      <c r="B123" s="394" t="s">
        <v>405</v>
      </c>
      <c r="C123" s="270" t="s">
        <v>406</v>
      </c>
      <c r="D123" s="270" t="s">
        <v>407</v>
      </c>
      <c r="E123" s="392">
        <v>41609.0</v>
      </c>
      <c r="F123" s="392">
        <v>41851.0</v>
      </c>
      <c r="G123" s="210">
        <v>30530.62</v>
      </c>
      <c r="H123" s="844" t="s">
        <v>83</v>
      </c>
      <c r="I123" s="210" t="str">
        <f>(7/8)*G123</f>
        <v>26,714</v>
      </c>
      <c r="J123" s="210">
        <v>0.0</v>
      </c>
      <c r="K123" s="250"/>
      <c r="L123" s="251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181"/>
      <c r="B124" s="182"/>
      <c r="C124" s="182"/>
      <c r="D124" s="182"/>
      <c r="E124" s="209"/>
      <c r="F124" s="1186" t="s">
        <v>696</v>
      </c>
      <c r="G124" s="1194" t="str">
        <f t="shared" ref="G124:J124" si="21">SUM(G119:G123)</f>
        <v>168,435</v>
      </c>
      <c r="H124" s="1194" t="str">
        <f t="shared" si="21"/>
        <v>0</v>
      </c>
      <c r="I124" s="1194" t="str">
        <f t="shared" si="21"/>
        <v>117,267</v>
      </c>
      <c r="J124" s="1194" t="str">
        <f t="shared" si="21"/>
        <v>0</v>
      </c>
      <c r="K124" s="250" t="str">
        <f>G124/G131*100</f>
        <v>  0.69 </v>
      </c>
      <c r="L124" s="251" t="str">
        <f>G124/4</f>
        <v>  42,109 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47"/>
      <c r="C125" s="347"/>
      <c r="D125" s="347"/>
      <c r="E125" s="348"/>
      <c r="F125" s="348"/>
      <c r="G125" s="1196"/>
      <c r="H125" s="1196"/>
      <c r="I125" s="1196"/>
      <c r="J125" s="1196"/>
      <c r="K125" s="250"/>
      <c r="L125" s="251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927" t="s">
        <v>131</v>
      </c>
      <c r="B126" s="975" t="s">
        <v>367</v>
      </c>
      <c r="C126" s="928" t="s">
        <v>387</v>
      </c>
      <c r="D126" s="928" t="s">
        <v>386</v>
      </c>
      <c r="E126" s="976">
        <v>41760.0</v>
      </c>
      <c r="F126" s="976">
        <v>42095.0</v>
      </c>
      <c r="G126" s="977">
        <v>69775.0</v>
      </c>
      <c r="H126" s="1019" t="s">
        <v>360</v>
      </c>
      <c r="I126" s="972" t="str">
        <f t="shared" ref="I126:I127" si="22">G126/12*7</f>
        <v>40,702</v>
      </c>
      <c r="J126" s="972" t="str">
        <f t="shared" ref="J126:J127" si="23">G126-I126</f>
        <v>29,073</v>
      </c>
      <c r="K126" s="250"/>
      <c r="L126" s="251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927" t="s">
        <v>131</v>
      </c>
      <c r="B127" s="975" t="s">
        <v>384</v>
      </c>
      <c r="C127" s="928" t="s">
        <v>385</v>
      </c>
      <c r="D127" s="928" t="s">
        <v>386</v>
      </c>
      <c r="E127" s="976">
        <v>41760.0</v>
      </c>
      <c r="F127" s="976">
        <v>42095.0</v>
      </c>
      <c r="G127" s="977">
        <v>69775.0</v>
      </c>
      <c r="H127" s="1019">
        <v>0.0</v>
      </c>
      <c r="I127" s="972" t="str">
        <f t="shared" si="22"/>
        <v>40,702</v>
      </c>
      <c r="J127" s="972" t="str">
        <f t="shared" si="23"/>
        <v>29,073</v>
      </c>
      <c r="K127" s="250"/>
      <c r="L127" s="251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2.0" customHeight="1">
      <c r="A128" s="927"/>
      <c r="B128" s="927"/>
      <c r="C128" s="927"/>
      <c r="D128" s="927"/>
      <c r="E128" s="927"/>
      <c r="F128" s="1199" t="s">
        <v>700</v>
      </c>
      <c r="G128" s="1204" t="str">
        <f t="shared" ref="G128:J128" si="24">SUM(G126:G127)</f>
        <v>139,550</v>
      </c>
      <c r="H128" s="1204" t="str">
        <f t="shared" si="24"/>
        <v>0</v>
      </c>
      <c r="I128" s="1204" t="str">
        <f t="shared" si="24"/>
        <v>81,404</v>
      </c>
      <c r="J128" s="1204" t="str">
        <f t="shared" si="24"/>
        <v>58,146</v>
      </c>
      <c r="K128" s="250" t="str">
        <f>G128/G131*100</f>
        <v>  0.57 </v>
      </c>
      <c r="L128" s="251" t="str">
        <f>G128/2</f>
        <v>  69,775 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2.0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250"/>
      <c r="L129" s="251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2.0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250"/>
      <c r="L130" s="251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2.0" customHeight="1">
      <c r="A131" s="33"/>
      <c r="B131" s="33"/>
      <c r="C131" s="33"/>
      <c r="D131" s="33"/>
      <c r="E131" s="33"/>
      <c r="F131" s="129" t="s">
        <v>42</v>
      </c>
      <c r="G131" s="1207" t="str">
        <f>G124+G117+G114+G109+G97+G93+G85+G62+G59+G56+G53+G42+G25+G19+G10+G5+G128</f>
        <v>24,362,685</v>
      </c>
      <c r="H131" s="1207"/>
      <c r="I131" s="1207" t="str">
        <f t="shared" ref="I131:J131" si="25">I124+I117+I114+I109+I97+I93+I85+I62+I59+I56+I53+I42+I25+I19+I10+I5+I128</f>
        <v>11,048,042</v>
      </c>
      <c r="J131" s="1207" t="str">
        <f t="shared" si="25"/>
        <v>3,397,819</v>
      </c>
      <c r="K131" s="250"/>
      <c r="L131" s="251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2.0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250"/>
      <c r="L132" s="251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2.0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250"/>
      <c r="L133" s="251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2.0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250"/>
      <c r="L134" s="251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2.0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250"/>
      <c r="L135" s="251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2.0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250"/>
      <c r="L136" s="251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2.0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251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2.0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250"/>
      <c r="L138" s="251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2.0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250"/>
      <c r="L139" s="251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2.0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250"/>
      <c r="L140" s="251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2.0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250"/>
      <c r="L141" s="251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2.0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250"/>
      <c r="L142" s="251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2.0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250"/>
      <c r="L143" s="251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2.0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250"/>
      <c r="L144" s="251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2.0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250"/>
      <c r="L145" s="251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2.0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250"/>
      <c r="L146" s="251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2.0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250"/>
      <c r="L147" s="251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2.0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250"/>
      <c r="L148" s="251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2.0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250"/>
      <c r="L149" s="251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2.0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250"/>
      <c r="L150" s="251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2.0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250"/>
      <c r="L151" s="251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2.0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250"/>
      <c r="L152" s="251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2.0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250"/>
      <c r="L153" s="251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2.0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250"/>
      <c r="L154" s="251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2.0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250"/>
      <c r="L155" s="251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2.0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250"/>
      <c r="L156" s="251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2.0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250"/>
      <c r="L157" s="251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2.0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250"/>
      <c r="L158" s="251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2.0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250"/>
      <c r="L159" s="251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2.0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250"/>
      <c r="L160" s="251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2.0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250"/>
      <c r="L161" s="251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2.0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250"/>
      <c r="L162" s="251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2.0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250"/>
      <c r="L163" s="251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2.0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250"/>
      <c r="L164" s="251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2.0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250"/>
      <c r="L165" s="251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2.0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250"/>
      <c r="L166" s="251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2.0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250"/>
      <c r="L167" s="251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2.0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250"/>
      <c r="L168" s="251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2.0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250"/>
      <c r="L169" s="251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2.0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250"/>
      <c r="L170" s="251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2.0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250"/>
      <c r="L171" s="251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2.0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250"/>
      <c r="L172" s="251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2.0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250"/>
      <c r="L173" s="251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2.0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250"/>
      <c r="L174" s="251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2.0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250"/>
      <c r="L175" s="251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2.0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250"/>
      <c r="L176" s="251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2.0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250"/>
      <c r="L177" s="251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2.0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250"/>
      <c r="L178" s="251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2.0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250"/>
      <c r="L179" s="251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2.0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250"/>
      <c r="L180" s="251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2.0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250"/>
      <c r="L181" s="251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2.0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250"/>
      <c r="L182" s="251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2.0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250"/>
      <c r="L183" s="251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2.0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250"/>
      <c r="L184" s="251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2.0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250"/>
      <c r="L185" s="251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2.0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250"/>
      <c r="L186" s="251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2.0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250"/>
      <c r="L187" s="251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2.0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250"/>
      <c r="L188" s="251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2.0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250"/>
      <c r="L189" s="251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2.0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250"/>
      <c r="L190" s="251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2.0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250"/>
      <c r="L191" s="251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2.0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250"/>
      <c r="L192" s="251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2.0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250"/>
      <c r="L193" s="251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2.0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250"/>
      <c r="L194" s="251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2.0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250"/>
      <c r="L195" s="251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2.0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250"/>
      <c r="L196" s="251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2.0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250"/>
      <c r="L197" s="251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2.0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250"/>
      <c r="L198" s="251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2.0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250"/>
      <c r="L199" s="251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2.0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250"/>
      <c r="L200" s="251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2.0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250"/>
      <c r="L201" s="251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2.0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250"/>
      <c r="L202" s="251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2.0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250"/>
      <c r="L203" s="251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2.0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250"/>
      <c r="L204" s="251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2.0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250"/>
      <c r="L205" s="251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2.0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250"/>
      <c r="L206" s="251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2.0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250"/>
      <c r="L207" s="251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2.0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250"/>
      <c r="L208" s="251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2.0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250"/>
      <c r="L209" s="251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2.0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250"/>
      <c r="L210" s="251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2.0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250"/>
      <c r="L211" s="251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2.0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250"/>
      <c r="L212" s="251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2.0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250"/>
      <c r="L213" s="251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2.0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250"/>
      <c r="L214" s="251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2.0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250"/>
      <c r="L215" s="251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2.0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250"/>
      <c r="L216" s="251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2.0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250"/>
      <c r="L217" s="251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2.0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250"/>
      <c r="L218" s="251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2.0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250"/>
      <c r="L219" s="251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2.0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250"/>
      <c r="L220" s="251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2.0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250"/>
      <c r="L221" s="251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2.0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250"/>
      <c r="L222" s="251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2.0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250"/>
      <c r="L223" s="251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2.0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250"/>
      <c r="L224" s="251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2.0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250"/>
      <c r="L225" s="251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2.0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250"/>
      <c r="L226" s="251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2.0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250"/>
      <c r="L227" s="251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2.0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250"/>
      <c r="L228" s="251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2.0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250"/>
      <c r="L229" s="251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2.0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250"/>
      <c r="L230" s="251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2.0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250"/>
      <c r="L231" s="251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2.0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250"/>
      <c r="L232" s="251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2.0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250"/>
      <c r="L233" s="251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2.0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250"/>
      <c r="L234" s="251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2.0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250"/>
      <c r="L235" s="251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2.0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250"/>
      <c r="L236" s="251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2.0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250"/>
      <c r="L237" s="251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2.0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250"/>
      <c r="L238" s="251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2.0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250"/>
      <c r="L239" s="251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2.0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250"/>
      <c r="L240" s="251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2.0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250"/>
      <c r="L241" s="251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2.0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250"/>
      <c r="L242" s="251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2.0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250"/>
      <c r="L243" s="251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2.0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250"/>
      <c r="L244" s="251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2.0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250"/>
      <c r="L245" s="251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2.0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250"/>
      <c r="L246" s="251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2.0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250"/>
      <c r="L247" s="251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2.0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250"/>
      <c r="L248" s="251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2.0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250"/>
      <c r="L249" s="251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2.0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250"/>
      <c r="L250" s="251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2.0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250"/>
      <c r="L251" s="251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2.0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250"/>
      <c r="L252" s="251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2.0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250"/>
      <c r="L253" s="251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2.0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250"/>
      <c r="L254" s="251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2.0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250"/>
      <c r="L255" s="251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2.0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250"/>
      <c r="L256" s="251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2.0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250"/>
      <c r="L257" s="251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2.0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250"/>
      <c r="L258" s="251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2.0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250"/>
      <c r="L259" s="251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2.0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250"/>
      <c r="L260" s="251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2.0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250"/>
      <c r="L261" s="251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2.0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250"/>
      <c r="L262" s="251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2.0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250"/>
      <c r="L263" s="251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2.0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250"/>
      <c r="L264" s="251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2.0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250"/>
      <c r="L265" s="251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2.0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250"/>
      <c r="L266" s="251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2.0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250"/>
      <c r="L267" s="251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2.0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250"/>
      <c r="L268" s="251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2.0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250"/>
      <c r="L269" s="251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2.0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250"/>
      <c r="L270" s="251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2.0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250"/>
      <c r="L271" s="251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2.0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250"/>
      <c r="L272" s="251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2.0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250"/>
      <c r="L273" s="251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2.0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250"/>
      <c r="L274" s="251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2.0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250"/>
      <c r="L275" s="251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2.0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250"/>
      <c r="L276" s="251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2.0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250"/>
      <c r="L277" s="251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2.0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250"/>
      <c r="L278" s="251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2.0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250"/>
      <c r="L279" s="251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2.0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250"/>
      <c r="L280" s="251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2.0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250"/>
      <c r="L281" s="251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2.0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250"/>
      <c r="L282" s="251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2.0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250"/>
      <c r="L283" s="251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2.0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250"/>
      <c r="L284" s="251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2.0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250"/>
      <c r="L285" s="251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2.0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250"/>
      <c r="L286" s="251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2.0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250"/>
      <c r="L287" s="251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2.0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250"/>
      <c r="L288" s="251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2.0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250"/>
      <c r="L289" s="251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2.0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250"/>
      <c r="L290" s="251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2.0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250"/>
      <c r="L291" s="251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2.0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250"/>
      <c r="L292" s="251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2.0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250"/>
      <c r="L293" s="251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2.0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250"/>
      <c r="L294" s="251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2.0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250"/>
      <c r="L295" s="251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2.0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250"/>
      <c r="L296" s="251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2.0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250"/>
      <c r="L297" s="251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2.0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250"/>
      <c r="L298" s="251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2.0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250"/>
      <c r="L299" s="251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2.0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250"/>
      <c r="L300" s="251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2.0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250"/>
      <c r="L301" s="251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2.0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250"/>
      <c r="L302" s="251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0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250"/>
      <c r="L303" s="251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0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250"/>
      <c r="L304" s="251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0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250"/>
      <c r="L305" s="251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0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250"/>
      <c r="L306" s="251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0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250"/>
      <c r="L307" s="251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0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250"/>
      <c r="L308" s="251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0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250"/>
      <c r="L309" s="251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0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250"/>
      <c r="L310" s="251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0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250"/>
      <c r="L311" s="251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0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250"/>
      <c r="L312" s="251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0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250"/>
      <c r="L313" s="251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0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250"/>
      <c r="L314" s="251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0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250"/>
      <c r="L315" s="251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0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250"/>
      <c r="L316" s="251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0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250"/>
      <c r="L317" s="251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0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250"/>
      <c r="L318" s="251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0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250"/>
      <c r="L319" s="251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0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250"/>
      <c r="L320" s="251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0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250"/>
      <c r="L321" s="251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0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250"/>
      <c r="L322" s="251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0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250"/>
      <c r="L323" s="251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0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250"/>
      <c r="L324" s="251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0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250"/>
      <c r="L325" s="251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0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250"/>
      <c r="L326" s="251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0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250"/>
      <c r="L327" s="251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0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250"/>
      <c r="L328" s="251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0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250"/>
      <c r="L329" s="251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0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250"/>
      <c r="L330" s="251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0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250"/>
      <c r="L331" s="251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0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250"/>
      <c r="L332" s="251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0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250"/>
      <c r="L333" s="251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0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250"/>
      <c r="L334" s="251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0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250"/>
      <c r="L335" s="251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0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250"/>
      <c r="L336" s="251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0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250"/>
      <c r="L337" s="251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0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250"/>
      <c r="L338" s="251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0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250"/>
      <c r="L339" s="251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0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250"/>
      <c r="L340" s="251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0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250"/>
      <c r="L341" s="251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0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250"/>
      <c r="L342" s="251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0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250"/>
      <c r="L343" s="251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0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250"/>
      <c r="L344" s="251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0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250"/>
      <c r="L345" s="251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0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250"/>
      <c r="L346" s="251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0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250"/>
      <c r="L347" s="251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0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250"/>
      <c r="L348" s="251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0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250"/>
      <c r="L349" s="251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0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250"/>
      <c r="L350" s="251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0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250"/>
      <c r="L351" s="251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0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250"/>
      <c r="L352" s="251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0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250"/>
      <c r="L353" s="251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0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250"/>
      <c r="L354" s="251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0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250"/>
      <c r="L355" s="251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0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250"/>
      <c r="L356" s="251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0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250"/>
      <c r="L357" s="251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0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250"/>
      <c r="L358" s="251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0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250"/>
      <c r="L359" s="251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0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250"/>
      <c r="L360" s="251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0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250"/>
      <c r="L361" s="251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0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250"/>
      <c r="L362" s="251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0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250"/>
      <c r="L363" s="251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0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250"/>
      <c r="L364" s="251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0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250"/>
      <c r="L365" s="251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0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250"/>
      <c r="L366" s="251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0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250"/>
      <c r="L367" s="251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0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250"/>
      <c r="L368" s="251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0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250"/>
      <c r="L369" s="251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0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250"/>
      <c r="L370" s="251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0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250"/>
      <c r="L371" s="251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0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250"/>
      <c r="L372" s="251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0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250"/>
      <c r="L373" s="251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0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250"/>
      <c r="L374" s="251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0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250"/>
      <c r="L375" s="251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0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250"/>
      <c r="L376" s="251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0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250"/>
      <c r="L377" s="251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0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250"/>
      <c r="L378" s="251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0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250"/>
      <c r="L379" s="251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0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250"/>
      <c r="L380" s="251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0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250"/>
      <c r="L381" s="251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0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250"/>
      <c r="L382" s="251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0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250"/>
      <c r="L383" s="251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0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250"/>
      <c r="L384" s="251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0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250"/>
      <c r="L385" s="251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0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250"/>
      <c r="L386" s="251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0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250"/>
      <c r="L387" s="251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0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250"/>
      <c r="L388" s="251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0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250"/>
      <c r="L389" s="251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0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250"/>
      <c r="L390" s="251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0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250"/>
      <c r="L391" s="251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0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250"/>
      <c r="L392" s="251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0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250"/>
      <c r="L393" s="251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0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250"/>
      <c r="L394" s="251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0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250"/>
      <c r="L395" s="251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0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250"/>
      <c r="L396" s="251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0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250"/>
      <c r="L397" s="251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0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250"/>
      <c r="L398" s="251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0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250"/>
      <c r="L399" s="251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0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250"/>
      <c r="L400" s="251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0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250"/>
      <c r="L401" s="251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0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250"/>
      <c r="L402" s="251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0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250"/>
      <c r="L403" s="251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0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250"/>
      <c r="L404" s="251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0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250"/>
      <c r="L405" s="251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0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250"/>
      <c r="L406" s="251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0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250"/>
      <c r="L407" s="251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0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250"/>
      <c r="L408" s="251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0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250"/>
      <c r="L409" s="251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0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250"/>
      <c r="L410" s="251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0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250"/>
      <c r="L411" s="251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0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250"/>
      <c r="L412" s="251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0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250"/>
      <c r="L413" s="251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0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250"/>
      <c r="L414" s="251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0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250"/>
      <c r="L415" s="251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0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250"/>
      <c r="L416" s="251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0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250"/>
      <c r="L417" s="251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0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250"/>
      <c r="L418" s="251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0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250"/>
      <c r="L419" s="251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0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250"/>
      <c r="L420" s="251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0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250"/>
      <c r="L421" s="251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0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250"/>
      <c r="L422" s="251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0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250"/>
      <c r="L423" s="251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0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250"/>
      <c r="L424" s="251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0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250"/>
      <c r="L425" s="251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0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250"/>
      <c r="L426" s="251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0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250"/>
      <c r="L427" s="251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0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250"/>
      <c r="L428" s="251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0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250"/>
      <c r="L429" s="251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0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250"/>
      <c r="L430" s="251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0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250"/>
      <c r="L431" s="251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0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250"/>
      <c r="L432" s="251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0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250"/>
      <c r="L433" s="251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0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250"/>
      <c r="L434" s="251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0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250"/>
      <c r="L435" s="251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0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250"/>
      <c r="L436" s="251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0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250"/>
      <c r="L437" s="251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0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250"/>
      <c r="L438" s="251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0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250"/>
      <c r="L439" s="251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0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250"/>
      <c r="L440" s="251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0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250"/>
      <c r="L441" s="251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0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250"/>
      <c r="L442" s="251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0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250"/>
      <c r="L443" s="251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0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250"/>
      <c r="L444" s="251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0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250"/>
      <c r="L445" s="251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0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250"/>
      <c r="L446" s="251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0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250"/>
      <c r="L447" s="251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0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250"/>
      <c r="L448" s="251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0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250"/>
      <c r="L449" s="251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0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250"/>
      <c r="L450" s="251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0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250"/>
      <c r="L451" s="251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0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250"/>
      <c r="L452" s="251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0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250"/>
      <c r="L453" s="251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0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250"/>
      <c r="L454" s="251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0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250"/>
      <c r="L455" s="251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0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250"/>
      <c r="L456" s="251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0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250"/>
      <c r="L457" s="251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0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250"/>
      <c r="L458" s="251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0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250"/>
      <c r="L459" s="251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0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250"/>
      <c r="L460" s="251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0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250"/>
      <c r="L461" s="251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0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250"/>
      <c r="L462" s="251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0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250"/>
      <c r="L463" s="251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0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250"/>
      <c r="L464" s="251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0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250"/>
      <c r="L465" s="251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0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250"/>
      <c r="L466" s="251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0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250"/>
      <c r="L467" s="251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0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250"/>
      <c r="L468" s="251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0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250"/>
      <c r="L469" s="251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0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250"/>
      <c r="L470" s="251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0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250"/>
      <c r="L471" s="251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0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250"/>
      <c r="L472" s="251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0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250"/>
      <c r="L473" s="251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0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250"/>
      <c r="L474" s="251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0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250"/>
      <c r="L475" s="251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0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250"/>
      <c r="L476" s="251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0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250"/>
      <c r="L477" s="251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0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250"/>
      <c r="L478" s="251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0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250"/>
      <c r="L479" s="251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0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250"/>
      <c r="L480" s="251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0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250"/>
      <c r="L481" s="251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0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250"/>
      <c r="L482" s="251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0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250"/>
      <c r="L483" s="251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0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250"/>
      <c r="L484" s="251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0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250"/>
      <c r="L485" s="251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0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250"/>
      <c r="L486" s="251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0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250"/>
      <c r="L487" s="251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0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250"/>
      <c r="L488" s="251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0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250"/>
      <c r="L489" s="251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0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250"/>
      <c r="L490" s="251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0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250"/>
      <c r="L491" s="251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0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250"/>
      <c r="L492" s="251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0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250"/>
      <c r="L493" s="251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0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250"/>
      <c r="L494" s="251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0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250"/>
      <c r="L495" s="251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0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250"/>
      <c r="L496" s="251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0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250"/>
      <c r="L497" s="251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0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250"/>
      <c r="L498" s="251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0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250"/>
      <c r="L499" s="251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0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250"/>
      <c r="L500" s="251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0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250"/>
      <c r="L501" s="251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0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250"/>
      <c r="L502" s="251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0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250"/>
      <c r="L503" s="251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0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250"/>
      <c r="L504" s="251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0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250"/>
      <c r="L505" s="251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0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250"/>
      <c r="L506" s="251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0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250"/>
      <c r="L507" s="251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0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250"/>
      <c r="L508" s="251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0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250"/>
      <c r="L509" s="251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0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250"/>
      <c r="L510" s="251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0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250"/>
      <c r="L511" s="251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0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250"/>
      <c r="L512" s="251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0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250"/>
      <c r="L513" s="251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0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250"/>
      <c r="L514" s="251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0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250"/>
      <c r="L515" s="251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0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250"/>
      <c r="L516" s="251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0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250"/>
      <c r="L517" s="251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0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250"/>
      <c r="L518" s="251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0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250"/>
      <c r="L519" s="251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0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250"/>
      <c r="L520" s="251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0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250"/>
      <c r="L521" s="251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0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250"/>
      <c r="L522" s="251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0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250"/>
      <c r="L523" s="251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0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250"/>
      <c r="L524" s="251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0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250"/>
      <c r="L525" s="251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0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250"/>
      <c r="L526" s="251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0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250"/>
      <c r="L527" s="251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0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250"/>
      <c r="L528" s="251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0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250"/>
      <c r="L529" s="251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0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250"/>
      <c r="L530" s="251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0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250"/>
      <c r="L531" s="251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0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250"/>
      <c r="L532" s="251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0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250"/>
      <c r="L533" s="251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0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250"/>
      <c r="L534" s="251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0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250"/>
      <c r="L535" s="251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0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250"/>
      <c r="L536" s="251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0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250"/>
      <c r="L537" s="251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0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250"/>
      <c r="L538" s="251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0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250"/>
      <c r="L539" s="251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0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250"/>
      <c r="L540" s="251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0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250"/>
      <c r="L541" s="251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0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250"/>
      <c r="L542" s="251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0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250"/>
      <c r="L543" s="251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0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250"/>
      <c r="L544" s="251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0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250"/>
      <c r="L545" s="251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0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250"/>
      <c r="L546" s="251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0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250"/>
      <c r="L547" s="251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0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250"/>
      <c r="L548" s="251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0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250"/>
      <c r="L549" s="251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0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250"/>
      <c r="L550" s="251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0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250"/>
      <c r="L551" s="251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0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250"/>
      <c r="L552" s="251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0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250"/>
      <c r="L553" s="251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0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250"/>
      <c r="L554" s="251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0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250"/>
      <c r="L555" s="251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0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250"/>
      <c r="L556" s="251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0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250"/>
      <c r="L557" s="251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0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250"/>
      <c r="L558" s="251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0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250"/>
      <c r="L559" s="251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0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250"/>
      <c r="L560" s="251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0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250"/>
      <c r="L561" s="251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0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250"/>
      <c r="L562" s="251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0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250"/>
      <c r="L563" s="251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0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250"/>
      <c r="L564" s="251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0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250"/>
      <c r="L565" s="251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0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250"/>
      <c r="L566" s="251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0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250"/>
      <c r="L567" s="251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0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250"/>
      <c r="L568" s="251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0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250"/>
      <c r="L569" s="251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0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250"/>
      <c r="L570" s="251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0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250"/>
      <c r="L571" s="251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0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250"/>
      <c r="L572" s="251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0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250"/>
      <c r="L573" s="251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0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250"/>
      <c r="L574" s="251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0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250"/>
      <c r="L575" s="251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0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250"/>
      <c r="L576" s="251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0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250"/>
      <c r="L577" s="251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0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250"/>
      <c r="L578" s="251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0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250"/>
      <c r="L579" s="251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0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250"/>
      <c r="L580" s="251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0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250"/>
      <c r="L581" s="251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0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250"/>
      <c r="L582" s="251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0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250"/>
      <c r="L583" s="251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0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250"/>
      <c r="L584" s="251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0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250"/>
      <c r="L585" s="251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0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250"/>
      <c r="L586" s="251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0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250"/>
      <c r="L587" s="251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0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250"/>
      <c r="L588" s="251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0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250"/>
      <c r="L589" s="251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0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250"/>
      <c r="L590" s="251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0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250"/>
      <c r="L591" s="251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0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250"/>
      <c r="L592" s="251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0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250"/>
      <c r="L593" s="251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0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250"/>
      <c r="L594" s="251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0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250"/>
      <c r="L595" s="251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0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250"/>
      <c r="L596" s="251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0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250"/>
      <c r="L597" s="251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0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250"/>
      <c r="L598" s="251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0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250"/>
      <c r="L599" s="251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0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250"/>
      <c r="L600" s="251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0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250"/>
      <c r="L601" s="251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0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250"/>
      <c r="L602" s="251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0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250"/>
      <c r="L603" s="251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0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250"/>
      <c r="L604" s="251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0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250"/>
      <c r="L605" s="251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0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250"/>
      <c r="L606" s="251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0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250"/>
      <c r="L607" s="251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0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250"/>
      <c r="L608" s="251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0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250"/>
      <c r="L609" s="251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0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250"/>
      <c r="L610" s="251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0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250"/>
      <c r="L611" s="251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0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250"/>
      <c r="L612" s="251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0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250"/>
      <c r="L613" s="251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0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250"/>
      <c r="L614" s="251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0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250"/>
      <c r="L615" s="251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0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250"/>
      <c r="L616" s="251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0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250"/>
      <c r="L617" s="251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0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250"/>
      <c r="L618" s="251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0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250"/>
      <c r="L619" s="251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0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250"/>
      <c r="L620" s="251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0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250"/>
      <c r="L621" s="251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0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250"/>
      <c r="L622" s="251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0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250"/>
      <c r="L623" s="251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0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250"/>
      <c r="L624" s="251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0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250"/>
      <c r="L625" s="251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0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250"/>
      <c r="L626" s="251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0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250"/>
      <c r="L627" s="251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0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250"/>
      <c r="L628" s="251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0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250"/>
      <c r="L629" s="251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0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250"/>
      <c r="L630" s="251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0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250"/>
      <c r="L631" s="251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0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250"/>
      <c r="L632" s="251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0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250"/>
      <c r="L633" s="251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0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250"/>
      <c r="L634" s="251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0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250"/>
      <c r="L635" s="251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0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250"/>
      <c r="L636" s="251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0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250"/>
      <c r="L637" s="251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0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250"/>
      <c r="L638" s="251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0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250"/>
      <c r="L639" s="251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0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250"/>
      <c r="L640" s="251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0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250"/>
      <c r="L641" s="251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0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250"/>
      <c r="L642" s="251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0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250"/>
      <c r="L643" s="251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0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250"/>
      <c r="L644" s="251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0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250"/>
      <c r="L645" s="251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0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250"/>
      <c r="L646" s="251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0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250"/>
      <c r="L647" s="251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0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250"/>
      <c r="L648" s="251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0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250"/>
      <c r="L649" s="251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0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250"/>
      <c r="L650" s="251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0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250"/>
      <c r="L651" s="251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0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250"/>
      <c r="L652" s="251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0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250"/>
      <c r="L653" s="251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0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250"/>
      <c r="L654" s="251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0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250"/>
      <c r="L655" s="251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0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250"/>
      <c r="L656" s="251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0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250"/>
      <c r="L657" s="251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0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250"/>
      <c r="L658" s="251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0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250"/>
      <c r="L659" s="251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0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250"/>
      <c r="L660" s="251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0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250"/>
      <c r="L661" s="251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0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250"/>
      <c r="L662" s="251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0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250"/>
      <c r="L663" s="251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0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250"/>
      <c r="L664" s="251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0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250"/>
      <c r="L665" s="251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0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250"/>
      <c r="L666" s="251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0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250"/>
      <c r="L667" s="251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0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250"/>
      <c r="L668" s="251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0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250"/>
      <c r="L669" s="251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0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250"/>
      <c r="L670" s="251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0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250"/>
      <c r="L671" s="251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0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250"/>
      <c r="L672" s="251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0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250"/>
      <c r="L673" s="251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0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250"/>
      <c r="L674" s="251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0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250"/>
      <c r="L675" s="251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0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250"/>
      <c r="L676" s="251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0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250"/>
      <c r="L677" s="251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0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250"/>
      <c r="L678" s="251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0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250"/>
      <c r="L679" s="251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0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250"/>
      <c r="L680" s="251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0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250"/>
      <c r="L681" s="251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0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250"/>
      <c r="L682" s="251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0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250"/>
      <c r="L683" s="251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0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250"/>
      <c r="L684" s="251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0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250"/>
      <c r="L685" s="251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0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250"/>
      <c r="L686" s="251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0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250"/>
      <c r="L687" s="251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0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250"/>
      <c r="L688" s="251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0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250"/>
      <c r="L689" s="251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0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250"/>
      <c r="L690" s="251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0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250"/>
      <c r="L691" s="251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0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250"/>
      <c r="L692" s="251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0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250"/>
      <c r="L693" s="251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0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250"/>
      <c r="L694" s="251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0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250"/>
      <c r="L695" s="251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0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250"/>
      <c r="L696" s="251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0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250"/>
      <c r="L697" s="251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0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250"/>
      <c r="L698" s="251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0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250"/>
      <c r="L699" s="251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0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250"/>
      <c r="L700" s="251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0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250"/>
      <c r="L701" s="251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0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250"/>
      <c r="L702" s="251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0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250"/>
      <c r="L703" s="251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0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250"/>
      <c r="L704" s="251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0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250"/>
      <c r="L705" s="251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0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250"/>
      <c r="L706" s="251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0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250"/>
      <c r="L707" s="251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0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250"/>
      <c r="L708" s="251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0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250"/>
      <c r="L709" s="251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0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250"/>
      <c r="L710" s="251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0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250"/>
      <c r="L711" s="251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0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250"/>
      <c r="L712" s="251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0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250"/>
      <c r="L713" s="251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0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250"/>
      <c r="L714" s="251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0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250"/>
      <c r="L715" s="251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0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250"/>
      <c r="L716" s="251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0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250"/>
      <c r="L717" s="251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0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250"/>
      <c r="L718" s="251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0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250"/>
      <c r="L719" s="251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0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250"/>
      <c r="L720" s="251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0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250"/>
      <c r="L721" s="251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0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250"/>
      <c r="L722" s="251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0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250"/>
      <c r="L723" s="251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0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250"/>
      <c r="L724" s="251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0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250"/>
      <c r="L725" s="251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0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250"/>
      <c r="L726" s="251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0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250"/>
      <c r="L727" s="251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0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250"/>
      <c r="L728" s="251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0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250"/>
      <c r="L729" s="251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0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250"/>
      <c r="L730" s="251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0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250"/>
      <c r="L731" s="251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0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250"/>
      <c r="L732" s="251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0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250"/>
      <c r="L733" s="251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0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250"/>
      <c r="L734" s="251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0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250"/>
      <c r="L735" s="251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0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250"/>
      <c r="L736" s="251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0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250"/>
      <c r="L737" s="251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0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250"/>
      <c r="L738" s="251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0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250"/>
      <c r="L739" s="251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0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250"/>
      <c r="L740" s="251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0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250"/>
      <c r="L741" s="251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0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250"/>
      <c r="L742" s="251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0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250"/>
      <c r="L743" s="251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0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250"/>
      <c r="L744" s="251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0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250"/>
      <c r="L745" s="251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0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250"/>
      <c r="L746" s="251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0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250"/>
      <c r="L747" s="251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0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250"/>
      <c r="L748" s="251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0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250"/>
      <c r="L749" s="251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0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250"/>
      <c r="L750" s="251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0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250"/>
      <c r="L751" s="251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0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250"/>
      <c r="L752" s="251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0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250"/>
      <c r="L753" s="251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0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250"/>
      <c r="L754" s="251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0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250"/>
      <c r="L755" s="251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0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250"/>
      <c r="L756" s="251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0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250"/>
      <c r="L757" s="251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0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250"/>
      <c r="L758" s="251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0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250"/>
      <c r="L759" s="251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0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250"/>
      <c r="L760" s="251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0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250"/>
      <c r="L761" s="251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0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250"/>
      <c r="L762" s="251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0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250"/>
      <c r="L763" s="251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0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250"/>
      <c r="L764" s="251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0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250"/>
      <c r="L765" s="251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0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250"/>
      <c r="L766" s="251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0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250"/>
      <c r="L767" s="251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0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250"/>
      <c r="L768" s="251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0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250"/>
      <c r="L769" s="251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0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250"/>
      <c r="L770" s="251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0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250"/>
      <c r="L771" s="251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0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250"/>
      <c r="L772" s="251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0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250"/>
      <c r="L773" s="251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0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250"/>
      <c r="L774" s="251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0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250"/>
      <c r="L775" s="251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0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250"/>
      <c r="L776" s="251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0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250"/>
      <c r="L777" s="251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0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250"/>
      <c r="L778" s="251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0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250"/>
      <c r="L779" s="251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0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250"/>
      <c r="L780" s="251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0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250"/>
      <c r="L781" s="251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0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250"/>
      <c r="L782" s="251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0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250"/>
      <c r="L783" s="251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0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250"/>
      <c r="L784" s="251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0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250"/>
      <c r="L785" s="251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0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250"/>
      <c r="L786" s="251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0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250"/>
      <c r="L787" s="251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0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250"/>
      <c r="L788" s="251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0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250"/>
      <c r="L789" s="251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0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250"/>
      <c r="L790" s="251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0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250"/>
      <c r="L791" s="251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0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250"/>
      <c r="L792" s="251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0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250"/>
      <c r="L793" s="251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0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250"/>
      <c r="L794" s="251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0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250"/>
      <c r="L795" s="251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0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250"/>
      <c r="L796" s="251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0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250"/>
      <c r="L797" s="251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0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250"/>
      <c r="L798" s="251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0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250"/>
      <c r="L799" s="251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0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250"/>
      <c r="L800" s="251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0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250"/>
      <c r="L801" s="251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0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250"/>
      <c r="L802" s="251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0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250"/>
      <c r="L803" s="251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0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250"/>
      <c r="L804" s="251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0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250"/>
      <c r="L805" s="251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0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250"/>
      <c r="L806" s="251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0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250"/>
      <c r="L807" s="251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0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250"/>
      <c r="L808" s="251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0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250"/>
      <c r="L809" s="251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0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250"/>
      <c r="L810" s="251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0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250"/>
      <c r="L811" s="251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0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250"/>
      <c r="L812" s="251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0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250"/>
      <c r="L813" s="251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0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250"/>
      <c r="L814" s="251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0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250"/>
      <c r="L815" s="251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0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250"/>
      <c r="L816" s="251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0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250"/>
      <c r="L817" s="251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0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250"/>
      <c r="L818" s="251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0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250"/>
      <c r="L819" s="251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0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250"/>
      <c r="L820" s="251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0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250"/>
      <c r="L821" s="251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0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250"/>
      <c r="L822" s="251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0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250"/>
      <c r="L823" s="251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0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250"/>
      <c r="L824" s="251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0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250"/>
      <c r="L825" s="251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0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250"/>
      <c r="L826" s="251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0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250"/>
      <c r="L827" s="251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0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250"/>
      <c r="L828" s="251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0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250"/>
      <c r="L829" s="251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0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250"/>
      <c r="L830" s="251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0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250"/>
      <c r="L831" s="251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0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250"/>
      <c r="L832" s="251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0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250"/>
      <c r="L833" s="251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0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250"/>
      <c r="L834" s="251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0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250"/>
      <c r="L835" s="251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0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250"/>
      <c r="L836" s="251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0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250"/>
      <c r="L837" s="251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0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250"/>
      <c r="L838" s="251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0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250"/>
      <c r="L839" s="251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0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250"/>
      <c r="L840" s="251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0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250"/>
      <c r="L841" s="251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0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250"/>
      <c r="L842" s="251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0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250"/>
      <c r="L843" s="251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0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250"/>
      <c r="L844" s="251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0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250"/>
      <c r="L845" s="251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0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250"/>
      <c r="L846" s="251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0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250"/>
      <c r="L847" s="251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0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250"/>
      <c r="L848" s="251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0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250"/>
      <c r="L849" s="251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0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250"/>
      <c r="L850" s="251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0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250"/>
      <c r="L851" s="251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0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250"/>
      <c r="L852" s="251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0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250"/>
      <c r="L853" s="251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0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250"/>
      <c r="L854" s="251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0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250"/>
      <c r="L855" s="251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0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250"/>
      <c r="L856" s="251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0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250"/>
      <c r="L857" s="251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0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250"/>
      <c r="L858" s="251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0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250"/>
      <c r="L859" s="251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0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250"/>
      <c r="L860" s="251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0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250"/>
      <c r="L861" s="251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0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250"/>
      <c r="L862" s="251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0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250"/>
      <c r="L863" s="251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0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250"/>
      <c r="L864" s="251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0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250"/>
      <c r="L865" s="251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0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250"/>
      <c r="L866" s="251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0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250"/>
      <c r="L867" s="251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0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250"/>
      <c r="L868" s="251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0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250"/>
      <c r="L869" s="251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0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250"/>
      <c r="L870" s="251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0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250"/>
      <c r="L871" s="251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0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250"/>
      <c r="L872" s="251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0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250"/>
      <c r="L873" s="251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0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250"/>
      <c r="L874" s="251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0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250"/>
      <c r="L875" s="251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0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250"/>
      <c r="L876" s="251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0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250"/>
      <c r="L877" s="251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0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250"/>
      <c r="L878" s="251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0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250"/>
      <c r="L879" s="251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0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250"/>
      <c r="L880" s="251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0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250"/>
      <c r="L881" s="251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0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250"/>
      <c r="L882" s="251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0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250"/>
      <c r="L883" s="251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0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250"/>
      <c r="L884" s="251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0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250"/>
      <c r="L885" s="251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0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250"/>
      <c r="L886" s="251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0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250"/>
      <c r="L887" s="251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0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250"/>
      <c r="L888" s="251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0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250"/>
      <c r="L889" s="251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0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250"/>
      <c r="L890" s="251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0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250"/>
      <c r="L891" s="251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0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250"/>
      <c r="L892" s="251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0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250"/>
      <c r="L893" s="251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0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250"/>
      <c r="L894" s="251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0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250"/>
      <c r="L895" s="251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0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250"/>
      <c r="L896" s="251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0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250"/>
      <c r="L897" s="251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0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250"/>
      <c r="L898" s="251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0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250"/>
      <c r="L899" s="251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0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250"/>
      <c r="L900" s="251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0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250"/>
      <c r="L901" s="251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0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250"/>
      <c r="L902" s="251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0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250"/>
      <c r="L903" s="251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0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250"/>
      <c r="L904" s="251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0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250"/>
      <c r="L905" s="251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0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250"/>
      <c r="L906" s="251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0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250"/>
      <c r="L907" s="251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0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250"/>
      <c r="L908" s="251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0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250"/>
      <c r="L909" s="251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0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250"/>
      <c r="L910" s="251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0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250"/>
      <c r="L911" s="251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0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250"/>
      <c r="L912" s="251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0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250"/>
      <c r="L913" s="251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0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250"/>
      <c r="L914" s="251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0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250"/>
      <c r="L915" s="251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0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250"/>
      <c r="L916" s="251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0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250"/>
      <c r="L917" s="251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0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250"/>
      <c r="L918" s="251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0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250"/>
      <c r="L919" s="251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0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250"/>
      <c r="L920" s="251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0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250"/>
      <c r="L921" s="251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0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250"/>
      <c r="L922" s="251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0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250"/>
      <c r="L923" s="251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0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250"/>
      <c r="L924" s="251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0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250"/>
      <c r="L925" s="251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0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250"/>
      <c r="L926" s="251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0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250"/>
      <c r="L927" s="251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0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250"/>
      <c r="L928" s="251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0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250"/>
      <c r="L929" s="251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0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250"/>
      <c r="L930" s="251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0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250"/>
      <c r="L931" s="251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0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250"/>
      <c r="L932" s="251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0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250"/>
      <c r="L933" s="251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0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250"/>
      <c r="L934" s="251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0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250"/>
      <c r="L935" s="251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0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250"/>
      <c r="L936" s="251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0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250"/>
      <c r="L937" s="251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0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250"/>
      <c r="L938" s="251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0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250"/>
      <c r="L939" s="251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0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250"/>
      <c r="L940" s="251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0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250"/>
      <c r="L941" s="251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0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250"/>
      <c r="L942" s="251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0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250"/>
      <c r="L943" s="251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0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250"/>
      <c r="L944" s="251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0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250"/>
      <c r="L945" s="251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0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250"/>
      <c r="L946" s="251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0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250"/>
      <c r="L947" s="251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0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250"/>
      <c r="L948" s="251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0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250"/>
      <c r="L949" s="251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0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250"/>
      <c r="L950" s="251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0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250"/>
      <c r="L951" s="251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0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250"/>
      <c r="L952" s="251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0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250"/>
      <c r="L953" s="251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0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250"/>
      <c r="L954" s="251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0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250"/>
      <c r="L955" s="251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0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250"/>
      <c r="L956" s="251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0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250"/>
      <c r="L957" s="251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0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250"/>
      <c r="L958" s="251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0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250"/>
      <c r="L959" s="251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0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250"/>
      <c r="L960" s="251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0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250"/>
      <c r="L961" s="251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0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250"/>
      <c r="L962" s="251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0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250"/>
      <c r="L963" s="251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0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250"/>
      <c r="L964" s="251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0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250"/>
      <c r="L965" s="251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0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250"/>
      <c r="L966" s="251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0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250"/>
      <c r="L967" s="251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0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250"/>
      <c r="L968" s="251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0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250"/>
      <c r="L969" s="251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0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250"/>
      <c r="L970" s="251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0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250"/>
      <c r="L971" s="251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0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250"/>
      <c r="L972" s="251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0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250"/>
      <c r="L973" s="251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0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250"/>
      <c r="L974" s="251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0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250"/>
      <c r="L975" s="251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0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250"/>
      <c r="L976" s="251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0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250"/>
      <c r="L977" s="251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0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250"/>
      <c r="L978" s="251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0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250"/>
      <c r="L979" s="251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0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250"/>
      <c r="L980" s="251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0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250"/>
      <c r="L981" s="251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0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250"/>
      <c r="L982" s="251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0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250"/>
      <c r="L983" s="251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0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250"/>
      <c r="L984" s="251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2.0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250"/>
      <c r="L985" s="251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2.0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250"/>
      <c r="L986" s="251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2.0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250"/>
      <c r="L987" s="251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2.0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250"/>
      <c r="L988" s="251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2.0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250"/>
      <c r="L989" s="251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2.0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250"/>
      <c r="L990" s="251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2.0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250"/>
      <c r="L991" s="251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2.0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250"/>
      <c r="L992" s="251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2.0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250"/>
      <c r="L993" s="251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2.0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250"/>
      <c r="L994" s="251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2.0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250"/>
      <c r="L995" s="251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2.0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250"/>
      <c r="L996" s="251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2.0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250"/>
      <c r="L997" s="251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2.0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250"/>
      <c r="L998" s="251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2.0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250"/>
      <c r="L999" s="251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2.0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250"/>
      <c r="L1000" s="251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5">
    <mergeCell ref="E15:F15"/>
    <mergeCell ref="E16:F16"/>
    <mergeCell ref="E2:F2"/>
    <mergeCell ref="C104:C105"/>
    <mergeCell ref="C106:C107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30.5"/>
    <col customWidth="1" min="3" max="3" width="8.63"/>
    <col customWidth="1" min="4" max="4" width="13.63"/>
    <col customWidth="1" min="5" max="5" width="11.88"/>
    <col customWidth="1" min="6" max="6" width="7.63"/>
    <col customWidth="1" min="7" max="7" width="10.75"/>
    <col customWidth="1" min="8" max="8" width="7.25"/>
    <col customWidth="1" min="9" max="9" width="10.25"/>
    <col customWidth="1" min="10" max="10" width="11.38"/>
    <col customWidth="1" hidden="1" min="11" max="11"/>
    <col customWidth="1" min="12" max="12" width="7.75"/>
    <col customWidth="1" min="13" max="13" width="10.13"/>
    <col customWidth="1" min="14" max="14" width="7.75"/>
    <col customWidth="1" min="15" max="16" width="10.13"/>
    <col customWidth="1" min="17" max="26" width="7.75"/>
  </cols>
  <sheetData>
    <row r="1" ht="17.25" customHeight="1">
      <c r="A1" s="9" t="s">
        <v>3</v>
      </c>
      <c r="B1" s="10"/>
      <c r="C1" s="10"/>
      <c r="D1" s="10"/>
      <c r="E1" s="10"/>
      <c r="F1" s="29"/>
      <c r="G1" s="71" t="s">
        <v>17</v>
      </c>
      <c r="H1" s="7"/>
      <c r="I1" s="71">
        <v>1282661.0</v>
      </c>
      <c r="J1" s="7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9.5" customHeight="1">
      <c r="A2" s="73"/>
      <c r="B2" s="102"/>
      <c r="C2" s="103"/>
      <c r="D2" s="103"/>
      <c r="E2" s="103"/>
      <c r="F2" s="103"/>
      <c r="G2" s="134" t="s">
        <v>46</v>
      </c>
      <c r="H2" s="5"/>
      <c r="I2" s="134">
        <v>1630824.1868899544</v>
      </c>
      <c r="J2" s="7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5.75" customHeight="1">
      <c r="A3" s="136" t="s">
        <v>19</v>
      </c>
      <c r="B3" s="10"/>
      <c r="C3" s="10"/>
      <c r="D3" s="10"/>
      <c r="E3" s="10"/>
      <c r="F3" s="10"/>
      <c r="G3" s="10"/>
      <c r="H3" s="10"/>
      <c r="I3" s="137"/>
      <c r="J3" s="139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5.75" customHeight="1">
      <c r="A4" s="140"/>
      <c r="B4" s="141"/>
      <c r="C4" s="142"/>
      <c r="D4" s="143"/>
      <c r="E4" s="144"/>
      <c r="F4" s="144"/>
      <c r="G4" s="145"/>
      <c r="H4" s="146"/>
      <c r="I4" s="147"/>
      <c r="J4" s="148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25.5" customHeight="1">
      <c r="A5" s="149" t="s">
        <v>26</v>
      </c>
      <c r="B5" s="150" t="s">
        <v>25</v>
      </c>
      <c r="C5" s="150" t="s">
        <v>47</v>
      </c>
      <c r="D5" s="150" t="s">
        <v>48</v>
      </c>
      <c r="E5" s="164" t="s">
        <v>64</v>
      </c>
      <c r="F5" s="165"/>
      <c r="G5" s="166" t="s">
        <v>65</v>
      </c>
      <c r="H5" s="167" t="s">
        <v>66</v>
      </c>
      <c r="I5" s="150">
        <v>2015.0</v>
      </c>
      <c r="J5" s="214">
        <v>2016.0</v>
      </c>
      <c r="K5" s="72"/>
      <c r="L5" s="72"/>
      <c r="M5" s="72"/>
      <c r="N5" s="72"/>
      <c r="O5" s="72"/>
      <c r="P5" s="215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239" t="s">
        <v>72</v>
      </c>
      <c r="B6" s="240" t="s">
        <v>78</v>
      </c>
      <c r="C6" s="241" t="s">
        <v>79</v>
      </c>
      <c r="D6" s="241" t="s">
        <v>80</v>
      </c>
      <c r="E6" s="241" t="s">
        <v>81</v>
      </c>
      <c r="F6" s="241" t="s">
        <v>82</v>
      </c>
      <c r="G6" s="243">
        <v>30000.0</v>
      </c>
      <c r="H6" s="241" t="s">
        <v>83</v>
      </c>
      <c r="I6" s="243">
        <v>1000.0</v>
      </c>
      <c r="J6" s="244">
        <v>0.0</v>
      </c>
      <c r="K6" s="245"/>
      <c r="L6" s="72"/>
      <c r="M6" s="72"/>
      <c r="N6" s="72"/>
      <c r="O6" s="246"/>
      <c r="P6" s="246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247"/>
      <c r="B7" s="240" t="s">
        <v>84</v>
      </c>
      <c r="C7" s="241" t="s">
        <v>85</v>
      </c>
      <c r="D7" s="241" t="s">
        <v>86</v>
      </c>
      <c r="E7" s="241" t="s">
        <v>87</v>
      </c>
      <c r="F7" s="241" t="s">
        <v>87</v>
      </c>
      <c r="G7" s="243">
        <v>100000.0</v>
      </c>
      <c r="H7" s="241" t="s">
        <v>83</v>
      </c>
      <c r="I7" s="243">
        <v>58000.0</v>
      </c>
      <c r="J7" s="244">
        <v>0.0</v>
      </c>
      <c r="K7" s="245"/>
      <c r="L7" s="72"/>
      <c r="M7" s="72"/>
      <c r="N7" s="72"/>
      <c r="O7" s="246"/>
      <c r="P7" s="246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5.75" customHeight="1">
      <c r="A8" s="278"/>
      <c r="B8" s="279" t="s">
        <v>99</v>
      </c>
      <c r="C8" s="317" t="s">
        <v>100</v>
      </c>
      <c r="D8" s="317" t="s">
        <v>120</v>
      </c>
      <c r="E8" s="318" t="s">
        <v>121</v>
      </c>
      <c r="F8" s="318" t="s">
        <v>122</v>
      </c>
      <c r="G8" s="319">
        <v>450000.0</v>
      </c>
      <c r="H8" s="317" t="s">
        <v>83</v>
      </c>
      <c r="I8" s="319">
        <v>143814.0</v>
      </c>
      <c r="J8" s="319">
        <v>130000.0</v>
      </c>
      <c r="K8" s="245"/>
      <c r="L8" s="72"/>
      <c r="M8" s="72"/>
      <c r="N8" s="72"/>
      <c r="O8" s="246"/>
      <c r="P8" s="246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6.5" customHeight="1">
      <c r="A9" s="352" t="s">
        <v>123</v>
      </c>
      <c r="B9" s="353" t="s">
        <v>145</v>
      </c>
      <c r="C9" s="354" t="s">
        <v>146</v>
      </c>
      <c r="D9" s="354" t="s">
        <v>147</v>
      </c>
      <c r="E9" s="355">
        <v>40787.0</v>
      </c>
      <c r="F9" s="355">
        <v>42430.0</v>
      </c>
      <c r="G9" s="375">
        <v>244290.0</v>
      </c>
      <c r="H9" s="375" t="s">
        <v>83</v>
      </c>
      <c r="I9" s="376">
        <v>71168.0</v>
      </c>
      <c r="J9" s="403" t="str">
        <f>I9/4</f>
        <v>17,792</v>
      </c>
      <c r="K9" s="245"/>
      <c r="L9" s="72"/>
      <c r="M9" s="72"/>
      <c r="N9" s="72"/>
      <c r="O9" s="246"/>
      <c r="P9" s="246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25.5" customHeight="1">
      <c r="A10" s="247"/>
      <c r="B10" s="405" t="s">
        <v>209</v>
      </c>
      <c r="C10" s="406" t="s">
        <v>211</v>
      </c>
      <c r="D10" s="406" t="s">
        <v>212</v>
      </c>
      <c r="E10" s="407">
        <v>41852.0</v>
      </c>
      <c r="F10" s="407">
        <v>42522.0</v>
      </c>
      <c r="G10" s="408">
        <v>77000.0</v>
      </c>
      <c r="H10" s="408" t="s">
        <v>83</v>
      </c>
      <c r="I10" s="243">
        <v>51000.0</v>
      </c>
      <c r="J10" s="244">
        <v>0.0</v>
      </c>
      <c r="K10" s="245"/>
      <c r="L10" s="72"/>
      <c r="M10" s="72"/>
      <c r="N10" s="72"/>
      <c r="O10" s="246"/>
      <c r="P10" s="246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247"/>
      <c r="B11" s="433" t="s">
        <v>213</v>
      </c>
      <c r="C11" s="434" t="s">
        <v>221</v>
      </c>
      <c r="D11" s="434" t="s">
        <v>223</v>
      </c>
      <c r="E11" s="491" t="s">
        <v>224</v>
      </c>
      <c r="F11" s="491">
        <v>43070.0</v>
      </c>
      <c r="G11" s="493" t="str">
        <f>I11+J11</f>
        <v>41,073</v>
      </c>
      <c r="H11" s="493" t="s">
        <v>83</v>
      </c>
      <c r="I11" s="493">
        <v>19073.0</v>
      </c>
      <c r="J11" s="494">
        <v>22000.0</v>
      </c>
      <c r="K11" s="245"/>
      <c r="L11" s="72"/>
      <c r="M11" s="72"/>
      <c r="N11" s="72"/>
      <c r="O11" s="246"/>
      <c r="P11" s="246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278"/>
      <c r="B12" s="279" t="s">
        <v>280</v>
      </c>
      <c r="C12" s="495" t="s">
        <v>225</v>
      </c>
      <c r="D12" s="495" t="s">
        <v>277</v>
      </c>
      <c r="E12" s="318">
        <v>40817.0</v>
      </c>
      <c r="F12" s="318">
        <v>42339.0</v>
      </c>
      <c r="G12" s="319" t="str">
        <f>I12</f>
        <v>20,328</v>
      </c>
      <c r="H12" s="319" t="s">
        <v>83</v>
      </c>
      <c r="I12" s="319">
        <v>20328.0</v>
      </c>
      <c r="J12" s="518">
        <v>0.0</v>
      </c>
      <c r="K12" s="245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75" customHeight="1">
      <c r="A13" s="550" t="s">
        <v>247</v>
      </c>
      <c r="B13" s="353" t="s">
        <v>248</v>
      </c>
      <c r="C13" s="354" t="s">
        <v>249</v>
      </c>
      <c r="D13" s="354" t="s">
        <v>147</v>
      </c>
      <c r="E13" s="355">
        <v>40909.0</v>
      </c>
      <c r="F13" s="355">
        <v>42430.0</v>
      </c>
      <c r="G13" s="376">
        <v>190678.88998311257</v>
      </c>
      <c r="H13" s="376" t="s">
        <v>83</v>
      </c>
      <c r="I13" s="376">
        <v>46606.0</v>
      </c>
      <c r="J13" s="403" t="str">
        <f>I13/4</f>
        <v>11,652</v>
      </c>
      <c r="K13" s="245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247"/>
      <c r="B14" s="405" t="s">
        <v>250</v>
      </c>
      <c r="C14" s="406" t="s">
        <v>251</v>
      </c>
      <c r="D14" s="406" t="s">
        <v>252</v>
      </c>
      <c r="E14" s="407">
        <v>41640.0</v>
      </c>
      <c r="F14" s="407">
        <v>42705.0</v>
      </c>
      <c r="G14" s="243" t="str">
        <f>3*67500</f>
        <v>202,500</v>
      </c>
      <c r="H14" s="243" t="s">
        <v>83</v>
      </c>
      <c r="I14" s="243">
        <v>72500.0</v>
      </c>
      <c r="J14" s="244">
        <v>67500.0</v>
      </c>
      <c r="K14" s="245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247"/>
      <c r="B15" s="405" t="s">
        <v>316</v>
      </c>
      <c r="C15" s="406" t="s">
        <v>255</v>
      </c>
      <c r="D15" s="406" t="s">
        <v>317</v>
      </c>
      <c r="E15" s="407">
        <v>41640.0</v>
      </c>
      <c r="F15" s="407">
        <v>42339.0</v>
      </c>
      <c r="G15" s="243">
        <v>321939.09</v>
      </c>
      <c r="H15" s="243" t="s">
        <v>83</v>
      </c>
      <c r="I15" s="243">
        <v>1815.0</v>
      </c>
      <c r="J15" s="244">
        <v>0.0</v>
      </c>
      <c r="K15" s="245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247"/>
      <c r="B16" s="405" t="s">
        <v>318</v>
      </c>
      <c r="C16" s="406" t="s">
        <v>319</v>
      </c>
      <c r="D16" s="406" t="s">
        <v>320</v>
      </c>
      <c r="E16" s="555" t="s">
        <v>295</v>
      </c>
      <c r="F16" s="556"/>
      <c r="G16" s="243" t="str">
        <f t="shared" ref="G16:G17" si="1">I16</f>
        <v>21,000</v>
      </c>
      <c r="H16" s="243" t="s">
        <v>83</v>
      </c>
      <c r="I16" s="243" t="str">
        <f>21000</f>
        <v>21,000</v>
      </c>
      <c r="J16" s="244">
        <v>0.0</v>
      </c>
      <c r="K16" s="245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247"/>
      <c r="B17" s="433" t="s">
        <v>321</v>
      </c>
      <c r="C17" s="434" t="s">
        <v>322</v>
      </c>
      <c r="D17" s="434" t="s">
        <v>277</v>
      </c>
      <c r="E17" s="491">
        <v>42005.0</v>
      </c>
      <c r="F17" s="491">
        <v>42705.0</v>
      </c>
      <c r="G17" s="493" t="str">
        <f t="shared" si="1"/>
        <v>70,000</v>
      </c>
      <c r="H17" s="493" t="s">
        <v>83</v>
      </c>
      <c r="I17" s="493">
        <v>70000.0</v>
      </c>
      <c r="J17" s="494">
        <v>0.0</v>
      </c>
      <c r="K17" s="245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247"/>
      <c r="B18" s="405" t="s">
        <v>323</v>
      </c>
      <c r="C18" s="406" t="s">
        <v>319</v>
      </c>
      <c r="D18" s="406" t="s">
        <v>324</v>
      </c>
      <c r="E18" s="407" t="s">
        <v>325</v>
      </c>
      <c r="F18" s="407" t="s">
        <v>326</v>
      </c>
      <c r="G18" s="243">
        <v>10000.0</v>
      </c>
      <c r="H18" s="243" t="s">
        <v>83</v>
      </c>
      <c r="I18" s="243">
        <v>1600.0</v>
      </c>
      <c r="J18" s="243">
        <v>0.0</v>
      </c>
      <c r="K18" s="245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247"/>
      <c r="B19" s="405" t="s">
        <v>327</v>
      </c>
      <c r="C19" s="406" t="s">
        <v>328</v>
      </c>
      <c r="D19" s="406" t="s">
        <v>277</v>
      </c>
      <c r="E19" s="407">
        <v>42005.0</v>
      </c>
      <c r="F19" s="407" t="s">
        <v>326</v>
      </c>
      <c r="G19" s="243" t="str">
        <f>I19</f>
        <v>8,142</v>
      </c>
      <c r="H19" s="243" t="s">
        <v>83</v>
      </c>
      <c r="I19" s="243" t="str">
        <f>3700+4442</f>
        <v>8,142</v>
      </c>
      <c r="J19" s="243">
        <v>0.0</v>
      </c>
      <c r="K19" s="245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247"/>
      <c r="B20" s="405" t="s">
        <v>329</v>
      </c>
      <c r="C20" s="406" t="s">
        <v>328</v>
      </c>
      <c r="D20" s="406" t="s">
        <v>42</v>
      </c>
      <c r="E20" s="407" t="s">
        <v>330</v>
      </c>
      <c r="F20" s="407" t="s">
        <v>330</v>
      </c>
      <c r="G20" s="243">
        <v>34500.0</v>
      </c>
      <c r="H20" s="243" t="s">
        <v>83</v>
      </c>
      <c r="I20" s="243">
        <v>0.0</v>
      </c>
      <c r="J20" s="243">
        <v>34500.0</v>
      </c>
      <c r="K20" s="245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278"/>
      <c r="B21" s="559" t="s">
        <v>331</v>
      </c>
      <c r="C21" s="560" t="s">
        <v>328</v>
      </c>
      <c r="D21" s="560" t="s">
        <v>277</v>
      </c>
      <c r="E21" s="561">
        <v>42005.0</v>
      </c>
      <c r="F21" s="561" t="s">
        <v>326</v>
      </c>
      <c r="G21" s="568" t="str">
        <f>I21</f>
        <v>16,000</v>
      </c>
      <c r="H21" s="568" t="s">
        <v>83</v>
      </c>
      <c r="I21" s="568">
        <v>16000.0</v>
      </c>
      <c r="J21" s="630">
        <v>0.0</v>
      </c>
      <c r="K21" s="245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352" t="s">
        <v>204</v>
      </c>
      <c r="B22" s="632" t="s">
        <v>205</v>
      </c>
      <c r="C22" s="354" t="s">
        <v>227</v>
      </c>
      <c r="D22" s="354" t="s">
        <v>147</v>
      </c>
      <c r="E22" s="355">
        <v>40634.0</v>
      </c>
      <c r="F22" s="355">
        <v>42430.0</v>
      </c>
      <c r="G22" s="376">
        <v>363562.24333333335</v>
      </c>
      <c r="H22" s="376" t="s">
        <v>83</v>
      </c>
      <c r="I22" s="376">
        <v>58900.0</v>
      </c>
      <c r="J22" s="403" t="str">
        <f>I22/4</f>
        <v>14,725</v>
      </c>
      <c r="K22" s="245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247"/>
      <c r="B23" s="635" t="s">
        <v>362</v>
      </c>
      <c r="C23" s="406" t="s">
        <v>265</v>
      </c>
      <c r="D23" s="406" t="s">
        <v>363</v>
      </c>
      <c r="E23" s="407">
        <v>42036.0</v>
      </c>
      <c r="F23" s="407">
        <v>42095.0</v>
      </c>
      <c r="G23" s="243" t="str">
        <f>I23</f>
        <v>7,100</v>
      </c>
      <c r="H23" s="408" t="s">
        <v>83</v>
      </c>
      <c r="I23" s="243">
        <v>7100.0</v>
      </c>
      <c r="J23" s="243">
        <v>0.0</v>
      </c>
      <c r="K23" s="245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278"/>
      <c r="B24" s="559" t="s">
        <v>364</v>
      </c>
      <c r="C24" s="495" t="s">
        <v>265</v>
      </c>
      <c r="D24" s="495" t="s">
        <v>277</v>
      </c>
      <c r="E24" s="318" t="s">
        <v>81</v>
      </c>
      <c r="F24" s="318" t="s">
        <v>82</v>
      </c>
      <c r="G24" s="319">
        <v>6980.0</v>
      </c>
      <c r="H24" s="637" t="s">
        <v>83</v>
      </c>
      <c r="I24" s="319">
        <v>10321.0</v>
      </c>
      <c r="J24" s="518">
        <v>0.0</v>
      </c>
      <c r="K24" s="245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550" t="s">
        <v>228</v>
      </c>
      <c r="B25" s="632" t="s">
        <v>239</v>
      </c>
      <c r="C25" s="354" t="s">
        <v>240</v>
      </c>
      <c r="D25" s="354" t="s">
        <v>147</v>
      </c>
      <c r="E25" s="355">
        <v>40634.0</v>
      </c>
      <c r="F25" s="355">
        <v>42430.0</v>
      </c>
      <c r="G25" s="376" t="str">
        <f>408318.98+I25</f>
        <v>493,618</v>
      </c>
      <c r="H25" s="375" t="s">
        <v>83</v>
      </c>
      <c r="I25" s="376">
        <v>85299.0</v>
      </c>
      <c r="J25" s="403" t="str">
        <f>I25/4</f>
        <v>21,325</v>
      </c>
      <c r="K25" s="245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278"/>
      <c r="B26" s="682" t="s">
        <v>365</v>
      </c>
      <c r="C26" s="683" t="s">
        <v>374</v>
      </c>
      <c r="D26" s="685" t="s">
        <v>277</v>
      </c>
      <c r="E26" s="687" t="s">
        <v>295</v>
      </c>
      <c r="F26" s="689"/>
      <c r="G26" s="736" t="str">
        <f>I26</f>
        <v>20,653</v>
      </c>
      <c r="H26" s="737" t="s">
        <v>83</v>
      </c>
      <c r="I26" s="637">
        <v>20653.0</v>
      </c>
      <c r="J26" s="741">
        <v>0.0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550" t="s">
        <v>505</v>
      </c>
      <c r="B27" s="786" t="s">
        <v>506</v>
      </c>
      <c r="C27" s="787" t="s">
        <v>444</v>
      </c>
      <c r="D27" s="787" t="s">
        <v>439</v>
      </c>
      <c r="E27" s="823" t="s">
        <v>81</v>
      </c>
      <c r="F27" s="823" t="s">
        <v>82</v>
      </c>
      <c r="G27" s="824">
        <v>128796.0</v>
      </c>
      <c r="H27" s="825" t="s">
        <v>83</v>
      </c>
      <c r="I27" s="824">
        <v>84455.0</v>
      </c>
      <c r="J27" s="826">
        <v>84455.0</v>
      </c>
      <c r="K27" s="245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278"/>
      <c r="B28" s="854" t="s">
        <v>573</v>
      </c>
      <c r="C28" s="560" t="s">
        <v>578</v>
      </c>
      <c r="D28" s="560" t="s">
        <v>223</v>
      </c>
      <c r="E28" s="561" t="s">
        <v>121</v>
      </c>
      <c r="F28" s="561">
        <v>42036.0</v>
      </c>
      <c r="G28" s="855">
        <v>46896.0</v>
      </c>
      <c r="H28" s="855" t="s">
        <v>83</v>
      </c>
      <c r="I28" s="568">
        <v>46896.0</v>
      </c>
      <c r="J28" s="630">
        <v>0.0</v>
      </c>
      <c r="K28" s="245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352" t="s">
        <v>241</v>
      </c>
      <c r="B29" s="914" t="s">
        <v>242</v>
      </c>
      <c r="C29" s="952" t="s">
        <v>243</v>
      </c>
      <c r="D29" s="952" t="s">
        <v>147</v>
      </c>
      <c r="E29" s="953">
        <v>40634.0</v>
      </c>
      <c r="F29" s="355">
        <v>42430.0</v>
      </c>
      <c r="G29" s="954">
        <v>248777.2625</v>
      </c>
      <c r="H29" s="954" t="s">
        <v>83</v>
      </c>
      <c r="I29" s="954">
        <v>42366.0</v>
      </c>
      <c r="J29" s="403" t="str">
        <f>I29/4</f>
        <v>10,592</v>
      </c>
      <c r="K29" s="245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247"/>
      <c r="B30" s="956" t="s">
        <v>618</v>
      </c>
      <c r="C30" s="958" t="s">
        <v>619</v>
      </c>
      <c r="D30" s="958" t="s">
        <v>620</v>
      </c>
      <c r="E30" s="959" t="s">
        <v>621</v>
      </c>
      <c r="F30" s="407">
        <v>42401.0</v>
      </c>
      <c r="G30" s="960">
        <v>26452.0</v>
      </c>
      <c r="H30" s="960" t="s">
        <v>83</v>
      </c>
      <c r="I30" s="244">
        <v>6452.0</v>
      </c>
      <c r="J30" s="244">
        <v>0.0</v>
      </c>
      <c r="K30" s="245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247"/>
      <c r="B31" s="985" t="s">
        <v>622</v>
      </c>
      <c r="C31" s="986" t="s">
        <v>630</v>
      </c>
      <c r="D31" s="986" t="s">
        <v>631</v>
      </c>
      <c r="E31" s="987">
        <v>42005.0</v>
      </c>
      <c r="F31" s="491">
        <v>42186.0</v>
      </c>
      <c r="G31" s="988">
        <v>4000.0</v>
      </c>
      <c r="H31" s="960" t="s">
        <v>83</v>
      </c>
      <c r="I31" s="989">
        <v>4000.0</v>
      </c>
      <c r="J31" s="494">
        <v>0.0</v>
      </c>
      <c r="K31" s="245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247"/>
      <c r="B32" s="985" t="s">
        <v>632</v>
      </c>
      <c r="C32" s="986" t="s">
        <v>630</v>
      </c>
      <c r="D32" s="986" t="s">
        <v>375</v>
      </c>
      <c r="E32" s="987">
        <v>42156.0</v>
      </c>
      <c r="F32" s="491">
        <v>42217.0</v>
      </c>
      <c r="G32" s="989">
        <v>7440.0</v>
      </c>
      <c r="H32" s="988" t="s">
        <v>83</v>
      </c>
      <c r="I32" s="989">
        <v>7440.0</v>
      </c>
      <c r="J32" s="494">
        <v>0.0</v>
      </c>
      <c r="K32" s="245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278"/>
      <c r="B33" s="991" t="s">
        <v>428</v>
      </c>
      <c r="C33" s="1045" t="s">
        <v>633</v>
      </c>
      <c r="D33" s="1045" t="s">
        <v>430</v>
      </c>
      <c r="E33" s="1046">
        <v>41426.0</v>
      </c>
      <c r="F33" s="1046">
        <v>42522.0</v>
      </c>
      <c r="G33" s="1047">
        <v>225001.4851977774</v>
      </c>
      <c r="H33" s="1047" t="s">
        <v>83</v>
      </c>
      <c r="I33" s="1047">
        <v>19947.0</v>
      </c>
      <c r="J33" s="1069" t="str">
        <f>I33/2</f>
        <v>9,974</v>
      </c>
      <c r="K33" s="245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4.25" customHeight="1">
      <c r="A34" s="1078" t="s">
        <v>244</v>
      </c>
      <c r="B34" s="632" t="s">
        <v>280</v>
      </c>
      <c r="C34" s="354" t="s">
        <v>268</v>
      </c>
      <c r="D34" s="354" t="s">
        <v>269</v>
      </c>
      <c r="E34" s="1080" t="s">
        <v>295</v>
      </c>
      <c r="F34" s="1081"/>
      <c r="G34" s="376" t="str">
        <f t="shared" ref="G34:G36" si="2">I34</f>
        <v>11,005</v>
      </c>
      <c r="H34" s="376" t="s">
        <v>83</v>
      </c>
      <c r="I34" s="376">
        <v>11005.0</v>
      </c>
      <c r="J34" s="1089">
        <v>0.0</v>
      </c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4.25" customHeight="1">
      <c r="A35" s="247"/>
      <c r="B35" s="632" t="s">
        <v>664</v>
      </c>
      <c r="C35" s="354" t="s">
        <v>268</v>
      </c>
      <c r="D35" s="354" t="s">
        <v>665</v>
      </c>
      <c r="E35" s="1080" t="s">
        <v>295</v>
      </c>
      <c r="F35" s="1081"/>
      <c r="G35" s="376" t="str">
        <f t="shared" si="2"/>
        <v>10,000</v>
      </c>
      <c r="H35" s="376" t="s">
        <v>83</v>
      </c>
      <c r="I35" s="376">
        <v>10000.0</v>
      </c>
      <c r="J35" s="1089">
        <v>0.0</v>
      </c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4.25" customHeight="1">
      <c r="A36" s="247"/>
      <c r="B36" s="632" t="s">
        <v>666</v>
      </c>
      <c r="C36" s="354" t="s">
        <v>268</v>
      </c>
      <c r="D36" s="1095" t="s">
        <v>667</v>
      </c>
      <c r="E36" s="1080" t="s">
        <v>295</v>
      </c>
      <c r="F36" s="1081"/>
      <c r="G36" s="376" t="str">
        <f t="shared" si="2"/>
        <v>35,310</v>
      </c>
      <c r="H36" s="376" t="s">
        <v>83</v>
      </c>
      <c r="I36" s="376">
        <v>35310.0</v>
      </c>
      <c r="J36" s="1089">
        <v>0.0</v>
      </c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247"/>
      <c r="B37" s="635" t="s">
        <v>242</v>
      </c>
      <c r="C37" s="406" t="s">
        <v>243</v>
      </c>
      <c r="D37" s="406" t="s">
        <v>147</v>
      </c>
      <c r="E37" s="407">
        <v>40634.0</v>
      </c>
      <c r="F37" s="407">
        <v>42430.0</v>
      </c>
      <c r="G37" s="243" t="s">
        <v>669</v>
      </c>
      <c r="H37" s="243" t="s">
        <v>83</v>
      </c>
      <c r="I37" s="243">
        <v>33256.0</v>
      </c>
      <c r="J37" s="403" t="str">
        <f>I37/4</f>
        <v>8,314</v>
      </c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247"/>
      <c r="B38" s="635" t="s">
        <v>272</v>
      </c>
      <c r="C38" s="406" t="s">
        <v>273</v>
      </c>
      <c r="D38" s="406" t="s">
        <v>274</v>
      </c>
      <c r="E38" s="407" t="s">
        <v>670</v>
      </c>
      <c r="F38" s="407">
        <v>42430.0</v>
      </c>
      <c r="G38" s="243" t="str">
        <f>I38</f>
        <v>25,387</v>
      </c>
      <c r="H38" s="1106">
        <v>1.0</v>
      </c>
      <c r="I38" s="243">
        <v>25387.0</v>
      </c>
      <c r="J38" s="244">
        <v>0.0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278"/>
      <c r="B39" s="1107" t="s">
        <v>275</v>
      </c>
      <c r="C39" s="495" t="s">
        <v>276</v>
      </c>
      <c r="D39" s="495" t="s">
        <v>277</v>
      </c>
      <c r="E39" s="1080" t="s">
        <v>295</v>
      </c>
      <c r="F39" s="1081"/>
      <c r="G39" s="637">
        <v>27448.0</v>
      </c>
      <c r="H39" s="637" t="s">
        <v>83</v>
      </c>
      <c r="I39" s="637">
        <v>25900.0</v>
      </c>
      <c r="J39" s="518">
        <v>0.0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6.5" customHeight="1">
      <c r="A40" s="1108" t="s">
        <v>440</v>
      </c>
      <c r="B40" s="1109" t="s">
        <v>441</v>
      </c>
      <c r="C40" s="1110" t="s">
        <v>442</v>
      </c>
      <c r="D40" s="1110" t="s">
        <v>439</v>
      </c>
      <c r="E40" s="1111">
        <v>42005.0</v>
      </c>
      <c r="F40" s="1111">
        <v>42339.0</v>
      </c>
      <c r="G40" s="1112" t="str">
        <f>I40</f>
        <v>201,175</v>
      </c>
      <c r="H40" s="1112" t="s">
        <v>83</v>
      </c>
      <c r="I40" s="1113" t="str">
        <f>37346+163829</f>
        <v>201,175</v>
      </c>
      <c r="J40" s="1114" t="str">
        <f>I40</f>
        <v>201,175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0" customHeight="1">
      <c r="A41" s="1115" t="s">
        <v>216</v>
      </c>
      <c r="B41" s="15"/>
      <c r="C41" s="15"/>
      <c r="D41" s="15"/>
      <c r="E41" s="15"/>
      <c r="F41" s="15"/>
      <c r="G41" s="15"/>
      <c r="H41" s="835"/>
      <c r="I41" s="1122" t="str">
        <f t="shared" ref="I41:J41" si="3">SUM(I6:I40)</f>
        <v>1,337,908</v>
      </c>
      <c r="J41" s="1122" t="str">
        <f t="shared" si="3"/>
        <v>634,002</v>
      </c>
      <c r="K41" s="72"/>
      <c r="L41" s="1127" t="s">
        <v>677</v>
      </c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3.5" customHeight="1">
      <c r="A42" s="49"/>
      <c r="B42" s="50"/>
      <c r="C42" s="50"/>
      <c r="D42" s="50"/>
      <c r="E42" s="50"/>
      <c r="F42" s="50"/>
      <c r="G42" s="50"/>
      <c r="H42" s="507"/>
      <c r="I42" s="1129" t="str">
        <f>I41/I1</f>
        <v>104%</v>
      </c>
      <c r="J42" s="1139" t="str">
        <f>J41/I2</f>
        <v>39%</v>
      </c>
      <c r="K42" s="1140"/>
      <c r="M42" s="1140"/>
      <c r="N42" s="1140"/>
      <c r="O42" s="1140"/>
      <c r="P42" s="1140"/>
      <c r="Q42" s="1140"/>
      <c r="R42" s="1140"/>
      <c r="S42" s="1140"/>
      <c r="T42" s="1140"/>
      <c r="U42" s="1140"/>
      <c r="V42" s="1140"/>
      <c r="W42" s="1140"/>
      <c r="X42" s="1140"/>
      <c r="Y42" s="1140"/>
      <c r="Z42" s="1140"/>
    </row>
    <row r="43" ht="16.5" customHeight="1">
      <c r="A43" s="1142" t="s">
        <v>462</v>
      </c>
      <c r="B43" s="10"/>
      <c r="C43" s="10"/>
      <c r="D43" s="10"/>
      <c r="E43" s="10"/>
      <c r="F43" s="10"/>
      <c r="G43" s="10"/>
      <c r="H43" s="10"/>
      <c r="I43" s="137"/>
      <c r="J43" s="1144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1145"/>
      <c r="B44" s="1146"/>
      <c r="C44" s="1157"/>
      <c r="D44" s="1158"/>
      <c r="E44" s="1159"/>
      <c r="F44" s="1159"/>
      <c r="G44" s="1160"/>
      <c r="H44" s="1161"/>
      <c r="I44" s="1161"/>
      <c r="J44" s="116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25.5" customHeight="1">
      <c r="A45" s="149" t="s">
        <v>366</v>
      </c>
      <c r="B45" s="150" t="s">
        <v>25</v>
      </c>
      <c r="C45" s="150" t="s">
        <v>457</v>
      </c>
      <c r="D45" s="150" t="s">
        <v>48</v>
      </c>
      <c r="E45" s="1164" t="s">
        <v>458</v>
      </c>
      <c r="F45" s="150" t="s">
        <v>459</v>
      </c>
      <c r="G45" s="1165" t="s">
        <v>460</v>
      </c>
      <c r="H45" s="167" t="s">
        <v>611</v>
      </c>
      <c r="I45" s="150">
        <v>2015.0</v>
      </c>
      <c r="J45" s="214">
        <v>2016.0</v>
      </c>
      <c r="K45" s="72"/>
      <c r="L45" s="72"/>
      <c r="M45" s="246"/>
      <c r="N45" s="72"/>
      <c r="O45" s="20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25.5" customHeight="1">
      <c r="A46" s="1167" t="s">
        <v>72</v>
      </c>
      <c r="B46" s="834" t="s">
        <v>688</v>
      </c>
      <c r="C46" s="1168" t="s">
        <v>548</v>
      </c>
      <c r="D46" s="732" t="s">
        <v>690</v>
      </c>
      <c r="E46" s="847">
        <v>40969.0</v>
      </c>
      <c r="F46" s="860">
        <v>24.0</v>
      </c>
      <c r="G46" s="1169">
        <v>60000.0</v>
      </c>
      <c r="H46" s="1179" t="s">
        <v>83</v>
      </c>
      <c r="I46" s="1180" t="s">
        <v>68</v>
      </c>
      <c r="J46" s="1181" t="s">
        <v>68</v>
      </c>
      <c r="K46" s="72"/>
      <c r="L46" s="72"/>
      <c r="M46" s="72"/>
      <c r="N46" s="72"/>
      <c r="O46" s="20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25.5" customHeight="1">
      <c r="A47" s="247"/>
      <c r="B47" s="1187" t="s">
        <v>358</v>
      </c>
      <c r="C47" s="1188" t="s">
        <v>637</v>
      </c>
      <c r="D47" s="1188" t="s">
        <v>359</v>
      </c>
      <c r="E47" s="1188" t="s">
        <v>325</v>
      </c>
      <c r="F47" s="1188" t="s">
        <v>697</v>
      </c>
      <c r="G47" s="1189" t="s">
        <v>253</v>
      </c>
      <c r="H47" s="1188" t="s">
        <v>83</v>
      </c>
      <c r="I47" s="1189">
        <v>15000.0</v>
      </c>
      <c r="J47" s="1190">
        <v>15000.0</v>
      </c>
      <c r="K47" s="245"/>
      <c r="L47" s="72"/>
      <c r="M47" s="72"/>
      <c r="N47" s="72"/>
      <c r="O47" s="246"/>
      <c r="P47" s="246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25.5" customHeight="1">
      <c r="A48" s="247"/>
      <c r="B48" s="676" t="s">
        <v>698</v>
      </c>
      <c r="C48" s="1191" t="s">
        <v>548</v>
      </c>
      <c r="D48" s="1192" t="s">
        <v>189</v>
      </c>
      <c r="E48" s="623">
        <v>40909.0</v>
      </c>
      <c r="F48" s="1193">
        <v>24.0</v>
      </c>
      <c r="G48" s="1200">
        <v>80000.0</v>
      </c>
      <c r="H48" s="1201" t="s">
        <v>83</v>
      </c>
      <c r="I48" s="1189" t="s">
        <v>68</v>
      </c>
      <c r="J48" s="1190" t="s">
        <v>68</v>
      </c>
      <c r="K48" s="72"/>
      <c r="L48" s="72"/>
      <c r="M48" s="72"/>
      <c r="N48" s="72"/>
      <c r="O48" s="20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26.25" customHeight="1">
      <c r="A49" s="1202"/>
      <c r="B49" s="1203" t="s">
        <v>702</v>
      </c>
      <c r="C49" s="1208" t="s">
        <v>548</v>
      </c>
      <c r="D49" s="1208" t="s">
        <v>189</v>
      </c>
      <c r="E49" s="1209">
        <v>41821.0</v>
      </c>
      <c r="F49" s="1208">
        <v>12.0</v>
      </c>
      <c r="G49" s="1208">
        <v>100000.0</v>
      </c>
      <c r="H49" s="1208" t="s">
        <v>83</v>
      </c>
      <c r="I49" s="1208">
        <v>0.0</v>
      </c>
      <c r="J49" s="1210">
        <v>100000.0</v>
      </c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1213" t="s">
        <v>203</v>
      </c>
      <c r="B50" s="1214" t="s">
        <v>706</v>
      </c>
      <c r="C50" s="1215" t="s">
        <v>548</v>
      </c>
      <c r="D50" s="628" t="s">
        <v>707</v>
      </c>
      <c r="E50" s="1216">
        <v>41944.0</v>
      </c>
      <c r="F50" s="1217">
        <v>7.0</v>
      </c>
      <c r="G50" s="1218">
        <v>20000.0</v>
      </c>
      <c r="H50" s="1219">
        <v>0.0</v>
      </c>
      <c r="I50" s="1220">
        <v>20000.0</v>
      </c>
      <c r="J50" s="1221">
        <v>0.0</v>
      </c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247"/>
      <c r="B51" s="1214" t="s">
        <v>708</v>
      </c>
      <c r="C51" s="1215" t="s">
        <v>548</v>
      </c>
      <c r="D51" s="1218" t="s">
        <v>253</v>
      </c>
      <c r="E51" s="1218" t="s">
        <v>253</v>
      </c>
      <c r="F51" s="1218" t="s">
        <v>253</v>
      </c>
      <c r="G51" s="1218" t="s">
        <v>253</v>
      </c>
      <c r="H51" s="1219" t="s">
        <v>253</v>
      </c>
      <c r="I51" s="1220" t="s">
        <v>253</v>
      </c>
      <c r="J51" s="1221" t="s">
        <v>253</v>
      </c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1202"/>
      <c r="B52" s="1214" t="s">
        <v>709</v>
      </c>
      <c r="C52" s="1215" t="s">
        <v>710</v>
      </c>
      <c r="D52" s="628" t="s">
        <v>80</v>
      </c>
      <c r="E52" s="1216" t="s">
        <v>253</v>
      </c>
      <c r="F52" s="1217" t="s">
        <v>253</v>
      </c>
      <c r="G52" s="1218" t="s">
        <v>253</v>
      </c>
      <c r="H52" s="1219" t="s">
        <v>253</v>
      </c>
      <c r="I52" s="1220">
        <v>0.0</v>
      </c>
      <c r="J52" s="1221">
        <v>40000.0</v>
      </c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22.5" customHeight="1">
      <c r="A53" s="1227" t="s">
        <v>711</v>
      </c>
      <c r="B53" s="1228" t="s">
        <v>713</v>
      </c>
      <c r="C53" s="1229" t="s">
        <v>508</v>
      </c>
      <c r="D53" s="1230" t="s">
        <v>504</v>
      </c>
      <c r="E53" s="1231">
        <v>42199.0</v>
      </c>
      <c r="F53" s="1232" t="s">
        <v>253</v>
      </c>
      <c r="G53" s="1233">
        <v>36500.0</v>
      </c>
      <c r="H53" s="1234">
        <v>0.0</v>
      </c>
      <c r="I53" s="1235">
        <v>0.0</v>
      </c>
      <c r="J53" s="1236">
        <v>36500.0</v>
      </c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9.5" customHeight="1">
      <c r="A54" s="1238" t="s">
        <v>714</v>
      </c>
      <c r="B54" s="1239" t="s">
        <v>716</v>
      </c>
      <c r="C54" s="1240" t="s">
        <v>637</v>
      </c>
      <c r="D54" s="1241" t="s">
        <v>717</v>
      </c>
      <c r="E54" s="1242">
        <v>41974.0</v>
      </c>
      <c r="F54" s="1243">
        <v>12.0</v>
      </c>
      <c r="G54" s="1244" t="s">
        <v>68</v>
      </c>
      <c r="H54" s="1245">
        <v>0.0</v>
      </c>
      <c r="I54" s="1246">
        <v>0.0</v>
      </c>
      <c r="J54" s="1247" t="s">
        <v>68</v>
      </c>
      <c r="K54" s="1248"/>
      <c r="L54" s="1248"/>
      <c r="M54" s="1248"/>
      <c r="N54" s="1248"/>
      <c r="O54" s="1248"/>
      <c r="P54" s="1248"/>
      <c r="Q54" s="1248"/>
      <c r="R54" s="1248"/>
      <c r="S54" s="1248"/>
      <c r="T54" s="1248"/>
      <c r="U54" s="1248"/>
      <c r="V54" s="1248"/>
      <c r="W54" s="1248"/>
      <c r="X54" s="1248"/>
      <c r="Y54" s="1248"/>
      <c r="Z54" s="1248"/>
    </row>
    <row r="55" ht="30.75" customHeight="1">
      <c r="A55" s="278"/>
      <c r="B55" s="1258" t="s">
        <v>718</v>
      </c>
      <c r="C55" s="1259" t="s">
        <v>548</v>
      </c>
      <c r="D55" s="1260" t="s">
        <v>379</v>
      </c>
      <c r="E55" s="1261" t="s">
        <v>253</v>
      </c>
      <c r="F55" s="1262" t="s">
        <v>253</v>
      </c>
      <c r="G55" s="1263" t="s">
        <v>253</v>
      </c>
      <c r="H55" s="1264">
        <v>0.0</v>
      </c>
      <c r="I55" s="1265">
        <v>20000.0</v>
      </c>
      <c r="J55" s="1266">
        <v>0.0</v>
      </c>
      <c r="K55" s="72"/>
      <c r="L55" s="72" t="s">
        <v>720</v>
      </c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1282" t="s">
        <v>244</v>
      </c>
      <c r="B56" s="1203" t="s">
        <v>723</v>
      </c>
      <c r="C56" s="1191" t="s">
        <v>724</v>
      </c>
      <c r="D56" s="1208" t="s">
        <v>649</v>
      </c>
      <c r="E56" s="1209">
        <v>41671.0</v>
      </c>
      <c r="F56" s="1208">
        <v>1.0</v>
      </c>
      <c r="G56" s="1290">
        <v>12000.0</v>
      </c>
      <c r="H56" s="1291">
        <v>0.1</v>
      </c>
      <c r="I56" s="1290">
        <v>15000.0</v>
      </c>
      <c r="J56" s="129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30.0" customHeight="1">
      <c r="A57" s="247"/>
      <c r="B57" s="1293" t="s">
        <v>667</v>
      </c>
      <c r="C57" s="1215" t="s">
        <v>710</v>
      </c>
      <c r="D57" s="1294" t="s">
        <v>667</v>
      </c>
      <c r="E57" s="1295">
        <v>42064.0</v>
      </c>
      <c r="F57" s="1294">
        <v>5.0</v>
      </c>
      <c r="G57" s="1298">
        <v>35000.0</v>
      </c>
      <c r="H57" s="1299">
        <v>0.0</v>
      </c>
      <c r="I57" s="1298">
        <v>35000.0</v>
      </c>
      <c r="J57" s="1300">
        <v>0.0</v>
      </c>
      <c r="K57" s="72"/>
      <c r="L57" s="72" t="s">
        <v>720</v>
      </c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1202"/>
      <c r="B58" s="1293" t="s">
        <v>726</v>
      </c>
      <c r="C58" s="1215" t="s">
        <v>710</v>
      </c>
      <c r="D58" s="1294" t="s">
        <v>80</v>
      </c>
      <c r="E58" s="1295" t="s">
        <v>253</v>
      </c>
      <c r="F58" s="1294" t="s">
        <v>253</v>
      </c>
      <c r="G58" s="1298">
        <v>96000.0</v>
      </c>
      <c r="H58" s="1299" t="s">
        <v>83</v>
      </c>
      <c r="I58" s="1298">
        <v>0.0</v>
      </c>
      <c r="J58" s="1300">
        <v>96000.0</v>
      </c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26.25" customHeight="1">
      <c r="A59" s="1282" t="s">
        <v>241</v>
      </c>
      <c r="B59" s="1293" t="s">
        <v>727</v>
      </c>
      <c r="C59" s="1215" t="s">
        <v>710</v>
      </c>
      <c r="D59" s="1294" t="s">
        <v>549</v>
      </c>
      <c r="E59" s="1295">
        <v>42186.0</v>
      </c>
      <c r="F59" s="1294">
        <v>3.0</v>
      </c>
      <c r="G59" s="1298">
        <v>18000.0</v>
      </c>
      <c r="H59" s="1299" t="s">
        <v>83</v>
      </c>
      <c r="I59" s="1298">
        <v>0.0</v>
      </c>
      <c r="J59" s="1290">
        <v>18000.0</v>
      </c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1227" t="s">
        <v>505</v>
      </c>
      <c r="B60" s="1203"/>
      <c r="C60" s="1191"/>
      <c r="D60" s="1208"/>
      <c r="E60" s="1209"/>
      <c r="F60" s="1208"/>
      <c r="G60" s="1290"/>
      <c r="H60" s="1291"/>
      <c r="I60" s="1290"/>
      <c r="J60" s="1290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5.75" customHeight="1">
      <c r="A61" s="1302" t="s">
        <v>204</v>
      </c>
      <c r="B61" s="1313"/>
      <c r="C61" s="1314"/>
      <c r="D61" s="1318"/>
      <c r="E61" s="1319"/>
      <c r="F61" s="1318"/>
      <c r="G61" s="1320"/>
      <c r="H61" s="1324"/>
      <c r="I61" s="1320"/>
      <c r="J61" s="1320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1145"/>
      <c r="B62" s="1146"/>
      <c r="C62" s="1160"/>
      <c r="D62" s="1158"/>
      <c r="E62" s="1325"/>
      <c r="F62" s="1159"/>
      <c r="G62" s="1158"/>
      <c r="H62" s="1326"/>
      <c r="I62" s="1326"/>
      <c r="J62" s="1327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1338" t="s">
        <v>579</v>
      </c>
      <c r="B63" s="1339"/>
      <c r="C63" s="1339"/>
      <c r="D63" s="1339"/>
      <c r="E63" s="1339"/>
      <c r="F63" s="1339"/>
      <c r="G63" s="1339"/>
      <c r="H63" s="1349"/>
      <c r="I63" s="1360" t="str">
        <f t="shared" ref="I63:J63" si="4">SUM(I46:I61)</f>
        <v>105,000</v>
      </c>
      <c r="J63" s="1363" t="str">
        <f t="shared" si="4"/>
        <v>305,500</v>
      </c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51.75" customHeight="1">
      <c r="A64" s="1364" t="s">
        <v>584</v>
      </c>
      <c r="B64" s="1365" t="s">
        <v>584</v>
      </c>
      <c r="C64" s="1365"/>
      <c r="D64" s="1365"/>
      <c r="E64" s="1365"/>
      <c r="F64" s="1365"/>
      <c r="G64" s="1365"/>
      <c r="H64" s="1366"/>
      <c r="I64" s="901"/>
      <c r="J64" s="901" t="str">
        <f>SUM(J53)</f>
        <v>36,500</v>
      </c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1377" t="s">
        <v>625</v>
      </c>
      <c r="B65" s="907"/>
      <c r="C65" s="907"/>
      <c r="D65" s="907"/>
      <c r="E65" s="907"/>
      <c r="F65" s="907"/>
      <c r="G65" s="907"/>
      <c r="H65" s="909"/>
      <c r="I65" s="940" t="str">
        <f t="shared" ref="I65:J65" si="5">I41+I64</f>
        <v>1,337,908</v>
      </c>
      <c r="J65" s="940" t="str">
        <f t="shared" si="5"/>
        <v>670,502</v>
      </c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25.5" customHeight="1">
      <c r="A66" s="1380"/>
      <c r="B66" s="1381"/>
      <c r="C66" s="1381"/>
      <c r="D66" s="1381"/>
      <c r="E66" s="1381"/>
      <c r="F66" s="1381"/>
      <c r="G66" s="1381"/>
      <c r="H66" s="1383"/>
      <c r="I66" s="978" t="str">
        <f>I65/I1</f>
        <v>104%</v>
      </c>
      <c r="J66" s="1385" t="str">
        <f>J65/I2</f>
        <v>41%</v>
      </c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6.5" customHeight="1">
      <c r="A67" s="1386" t="s">
        <v>623</v>
      </c>
      <c r="B67" s="1388" t="s">
        <v>739</v>
      </c>
      <c r="C67" s="221"/>
      <c r="D67" s="221"/>
      <c r="E67" s="221"/>
      <c r="F67" s="221"/>
      <c r="G67" s="221"/>
      <c r="H67" s="221"/>
      <c r="I67" s="221"/>
      <c r="J67" s="368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127"/>
      <c r="B68" s="1390"/>
      <c r="C68" s="1127"/>
      <c r="D68" s="1127"/>
      <c r="E68" s="1127"/>
      <c r="F68" s="1127"/>
      <c r="G68" s="1127"/>
      <c r="H68" s="1127"/>
      <c r="I68" s="1127"/>
      <c r="J68" s="1127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1127"/>
      <c r="B69" s="1390"/>
      <c r="C69" s="1127"/>
      <c r="D69" s="1127"/>
      <c r="E69" s="1127"/>
      <c r="F69" s="1127"/>
      <c r="G69" s="1127"/>
      <c r="H69" s="1127"/>
      <c r="I69" s="1127"/>
      <c r="J69" s="1127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1127"/>
      <c r="B70" s="1390"/>
      <c r="C70" s="1127"/>
      <c r="D70" s="1127"/>
      <c r="E70" s="1127"/>
      <c r="F70" s="1127"/>
      <c r="G70" s="1127"/>
      <c r="H70" s="1127"/>
      <c r="I70" s="1127"/>
      <c r="J70" s="1127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1127"/>
      <c r="B71" s="1390"/>
      <c r="C71" s="1127"/>
      <c r="D71" s="1127"/>
      <c r="E71" s="1127"/>
      <c r="F71" s="1127"/>
      <c r="G71" s="1127"/>
      <c r="H71" s="1127"/>
      <c r="I71" s="1127"/>
      <c r="J71" s="1127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1127"/>
      <c r="B72" s="1390"/>
      <c r="C72" s="1127"/>
      <c r="D72" s="1127"/>
      <c r="E72" s="1127"/>
      <c r="F72" s="1127"/>
      <c r="G72" s="1127"/>
      <c r="H72" s="1127"/>
      <c r="I72" s="1127"/>
      <c r="J72" s="1127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1127"/>
      <c r="B73" s="1390"/>
      <c r="C73" s="1127"/>
      <c r="D73" s="1127"/>
      <c r="E73" s="1127"/>
      <c r="F73" s="1127"/>
      <c r="G73" s="1127"/>
      <c r="H73" s="1127"/>
      <c r="I73" s="1127"/>
      <c r="J73" s="1127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1127"/>
      <c r="B74" s="1390"/>
      <c r="C74" s="1127"/>
      <c r="D74" s="1127"/>
      <c r="E74" s="1127"/>
      <c r="F74" s="1127"/>
      <c r="G74" s="1127"/>
      <c r="H74" s="1127"/>
      <c r="I74" s="1127"/>
      <c r="J74" s="1127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1127"/>
      <c r="B75" s="1390"/>
      <c r="C75" s="1127"/>
      <c r="D75" s="1127"/>
      <c r="E75" s="1127"/>
      <c r="F75" s="1127"/>
      <c r="G75" s="1127"/>
      <c r="H75" s="1127"/>
      <c r="I75" s="1127"/>
      <c r="J75" s="1127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1127"/>
      <c r="B76" s="1390"/>
      <c r="C76" s="1127"/>
      <c r="D76" s="1127"/>
      <c r="E76" s="1127"/>
      <c r="F76" s="1127"/>
      <c r="G76" s="1127"/>
      <c r="H76" s="1127"/>
      <c r="I76" s="1127"/>
      <c r="J76" s="1127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1127"/>
      <c r="B77" s="1390"/>
      <c r="C77" s="1127"/>
      <c r="D77" s="1127"/>
      <c r="E77" s="1127"/>
      <c r="F77" s="1127"/>
      <c r="G77" s="1127"/>
      <c r="H77" s="1127"/>
      <c r="I77" s="1127"/>
      <c r="J77" s="1127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1127"/>
      <c r="B78" s="1390"/>
      <c r="C78" s="1127"/>
      <c r="D78" s="1127"/>
      <c r="E78" s="1127"/>
      <c r="F78" s="1127"/>
      <c r="G78" s="1127"/>
      <c r="H78" s="1127"/>
      <c r="I78" s="1127"/>
      <c r="J78" s="1127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1127"/>
      <c r="B79" s="1390"/>
      <c r="C79" s="1127"/>
      <c r="D79" s="1127"/>
      <c r="E79" s="1127"/>
      <c r="F79" s="1127"/>
      <c r="G79" s="1127"/>
      <c r="H79" s="1127"/>
      <c r="I79" s="1127"/>
      <c r="J79" s="1127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1127"/>
      <c r="B80" s="1390"/>
      <c r="C80" s="1127"/>
      <c r="D80" s="1127"/>
      <c r="E80" s="1127"/>
      <c r="F80" s="1127"/>
      <c r="G80" s="1127"/>
      <c r="H80" s="1127"/>
      <c r="I80" s="1127"/>
      <c r="J80" s="1127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1127"/>
      <c r="B81" s="1390"/>
      <c r="C81" s="1127"/>
      <c r="D81" s="1127"/>
      <c r="E81" s="1127"/>
      <c r="F81" s="1127"/>
      <c r="G81" s="1127"/>
      <c r="H81" s="1127"/>
      <c r="I81" s="1127"/>
      <c r="J81" s="1127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1127"/>
      <c r="B82" s="1390"/>
      <c r="C82" s="1127"/>
      <c r="D82" s="1127"/>
      <c r="E82" s="1127"/>
      <c r="F82" s="1127"/>
      <c r="G82" s="1127"/>
      <c r="H82" s="1127"/>
      <c r="I82" s="1127"/>
      <c r="J82" s="1127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1127"/>
      <c r="B83" s="1390"/>
      <c r="C83" s="1127"/>
      <c r="D83" s="1127"/>
      <c r="E83" s="1127"/>
      <c r="F83" s="1127"/>
      <c r="G83" s="1127"/>
      <c r="H83" s="1127"/>
      <c r="I83" s="1127"/>
      <c r="J83" s="1127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1127"/>
      <c r="B84" s="1390"/>
      <c r="C84" s="1127"/>
      <c r="D84" s="1127"/>
      <c r="E84" s="1127"/>
      <c r="F84" s="1127"/>
      <c r="G84" s="1127"/>
      <c r="H84" s="1127"/>
      <c r="I84" s="1127"/>
      <c r="J84" s="1127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1127"/>
      <c r="B85" s="1390"/>
      <c r="C85" s="1127"/>
      <c r="D85" s="1127"/>
      <c r="E85" s="1127"/>
      <c r="F85" s="1127"/>
      <c r="G85" s="1127"/>
      <c r="H85" s="1127"/>
      <c r="I85" s="1127"/>
      <c r="J85" s="1127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127"/>
      <c r="B86" s="1390"/>
      <c r="C86" s="1127"/>
      <c r="D86" s="1127"/>
      <c r="E86" s="1127"/>
      <c r="F86" s="1127"/>
      <c r="G86" s="1127"/>
      <c r="H86" s="1127"/>
      <c r="I86" s="1127"/>
      <c r="J86" s="1127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A87" s="1127"/>
      <c r="B87" s="1390"/>
      <c r="C87" s="1127"/>
      <c r="D87" s="1127"/>
      <c r="E87" s="1127"/>
      <c r="F87" s="1127"/>
      <c r="G87" s="1127"/>
      <c r="H87" s="1127"/>
      <c r="I87" s="1127"/>
      <c r="J87" s="1127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1127"/>
      <c r="B88" s="1390"/>
      <c r="C88" s="1127"/>
      <c r="D88" s="1127"/>
      <c r="E88" s="1127"/>
      <c r="F88" s="1127"/>
      <c r="G88" s="1127"/>
      <c r="H88" s="1127"/>
      <c r="I88" s="1127"/>
      <c r="J88" s="1127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127"/>
      <c r="B89" s="1390"/>
      <c r="C89" s="1127"/>
      <c r="D89" s="1127"/>
      <c r="E89" s="1127"/>
      <c r="F89" s="1127"/>
      <c r="G89" s="1127"/>
      <c r="H89" s="1127"/>
      <c r="I89" s="1127"/>
      <c r="J89" s="1127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1127"/>
      <c r="B90" s="1390"/>
      <c r="C90" s="1127"/>
      <c r="D90" s="1127"/>
      <c r="E90" s="1127"/>
      <c r="F90" s="1127"/>
      <c r="G90" s="1127"/>
      <c r="H90" s="1127"/>
      <c r="I90" s="1127"/>
      <c r="J90" s="1127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127"/>
      <c r="B91" s="1390"/>
      <c r="C91" s="1127"/>
      <c r="D91" s="1127"/>
      <c r="E91" s="1127"/>
      <c r="F91" s="1127"/>
      <c r="G91" s="1127"/>
      <c r="H91" s="1127"/>
      <c r="I91" s="1127"/>
      <c r="J91" s="1127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1127"/>
      <c r="B92" s="1390"/>
      <c r="C92" s="1127"/>
      <c r="D92" s="1127"/>
      <c r="E92" s="1127"/>
      <c r="F92" s="1127"/>
      <c r="G92" s="1127"/>
      <c r="H92" s="1127"/>
      <c r="I92" s="1127"/>
      <c r="J92" s="1127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1127"/>
      <c r="B93" s="1390"/>
      <c r="C93" s="1127"/>
      <c r="D93" s="1127"/>
      <c r="E93" s="1127"/>
      <c r="F93" s="1127"/>
      <c r="G93" s="1127"/>
      <c r="H93" s="1127"/>
      <c r="I93" s="1127"/>
      <c r="J93" s="1127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1127"/>
      <c r="B94" s="1390"/>
      <c r="C94" s="1127"/>
      <c r="D94" s="1127"/>
      <c r="E94" s="1127"/>
      <c r="F94" s="1127"/>
      <c r="G94" s="1127"/>
      <c r="H94" s="1127"/>
      <c r="I94" s="1127"/>
      <c r="J94" s="1127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1127"/>
      <c r="B95" s="1390"/>
      <c r="C95" s="1127"/>
      <c r="D95" s="1127"/>
      <c r="E95" s="1127"/>
      <c r="F95" s="1127"/>
      <c r="G95" s="1127"/>
      <c r="H95" s="1127"/>
      <c r="I95" s="1127"/>
      <c r="J95" s="1127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1127"/>
      <c r="B96" s="1390"/>
      <c r="C96" s="1127"/>
      <c r="D96" s="1127"/>
      <c r="E96" s="1127"/>
      <c r="F96" s="1127"/>
      <c r="G96" s="1127"/>
      <c r="H96" s="1127"/>
      <c r="I96" s="1127"/>
      <c r="J96" s="1127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127"/>
      <c r="B97" s="1390"/>
      <c r="C97" s="1127"/>
      <c r="D97" s="1127"/>
      <c r="E97" s="1127"/>
      <c r="F97" s="1127"/>
      <c r="G97" s="1127"/>
      <c r="H97" s="1127"/>
      <c r="I97" s="1127"/>
      <c r="J97" s="1127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1127"/>
      <c r="B98" s="1390"/>
      <c r="C98" s="1127"/>
      <c r="D98" s="1127"/>
      <c r="E98" s="1127"/>
      <c r="F98" s="1127"/>
      <c r="G98" s="1127"/>
      <c r="H98" s="1127"/>
      <c r="I98" s="1127"/>
      <c r="J98" s="1127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1127"/>
      <c r="B99" s="1390"/>
      <c r="C99" s="1127"/>
      <c r="D99" s="1127"/>
      <c r="E99" s="1127"/>
      <c r="F99" s="1127"/>
      <c r="G99" s="1127"/>
      <c r="H99" s="1127"/>
      <c r="I99" s="1127"/>
      <c r="J99" s="1127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1127"/>
      <c r="B100" s="1390"/>
      <c r="C100" s="1127"/>
      <c r="D100" s="1127"/>
      <c r="E100" s="1127"/>
      <c r="F100" s="1127"/>
      <c r="G100" s="1127"/>
      <c r="H100" s="1127"/>
      <c r="I100" s="1127"/>
      <c r="J100" s="1127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1127"/>
      <c r="B101" s="1390"/>
      <c r="C101" s="1127"/>
      <c r="D101" s="1127"/>
      <c r="E101" s="1127"/>
      <c r="F101" s="1127"/>
      <c r="G101" s="1127"/>
      <c r="H101" s="1127"/>
      <c r="I101" s="1127"/>
      <c r="J101" s="1127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1127"/>
      <c r="B102" s="1390"/>
      <c r="C102" s="1127"/>
      <c r="D102" s="1127"/>
      <c r="E102" s="1127"/>
      <c r="F102" s="1127"/>
      <c r="G102" s="1127"/>
      <c r="H102" s="1127"/>
      <c r="I102" s="1127"/>
      <c r="J102" s="1127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1127"/>
      <c r="B103" s="1390"/>
      <c r="C103" s="1127"/>
      <c r="D103" s="1127"/>
      <c r="E103" s="1127"/>
      <c r="F103" s="1127"/>
      <c r="G103" s="1127"/>
      <c r="H103" s="1127"/>
      <c r="I103" s="1127"/>
      <c r="J103" s="1127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1127"/>
      <c r="B104" s="1390"/>
      <c r="C104" s="1127"/>
      <c r="D104" s="1127"/>
      <c r="E104" s="1127"/>
      <c r="F104" s="1127"/>
      <c r="G104" s="1127"/>
      <c r="H104" s="1127"/>
      <c r="I104" s="1127"/>
      <c r="J104" s="1127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1127"/>
      <c r="B105" s="1390"/>
      <c r="C105" s="1127"/>
      <c r="D105" s="1127"/>
      <c r="E105" s="1127"/>
      <c r="F105" s="1127"/>
      <c r="G105" s="1127"/>
      <c r="H105" s="1127"/>
      <c r="I105" s="1127"/>
      <c r="J105" s="1127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1127"/>
      <c r="B106" s="1390"/>
      <c r="C106" s="1127"/>
      <c r="D106" s="1127"/>
      <c r="E106" s="1127"/>
      <c r="F106" s="1127"/>
      <c r="G106" s="1127"/>
      <c r="H106" s="1127"/>
      <c r="I106" s="1127"/>
      <c r="J106" s="1127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1127"/>
      <c r="B107" s="1390"/>
      <c r="C107" s="1127"/>
      <c r="D107" s="1127"/>
      <c r="E107" s="1127"/>
      <c r="F107" s="1127"/>
      <c r="G107" s="1127"/>
      <c r="H107" s="1127"/>
      <c r="I107" s="1127"/>
      <c r="J107" s="1127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127"/>
      <c r="B108" s="1390"/>
      <c r="C108" s="1127"/>
      <c r="D108" s="1127"/>
      <c r="E108" s="1127"/>
      <c r="F108" s="1127"/>
      <c r="G108" s="1127"/>
      <c r="H108" s="1127"/>
      <c r="I108" s="1127"/>
      <c r="J108" s="1127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1127"/>
      <c r="B109" s="1390"/>
      <c r="C109" s="1127"/>
      <c r="D109" s="1127"/>
      <c r="E109" s="1127"/>
      <c r="F109" s="1127"/>
      <c r="G109" s="1127"/>
      <c r="H109" s="1127"/>
      <c r="I109" s="1127"/>
      <c r="J109" s="1127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1127"/>
      <c r="B110" s="1390"/>
      <c r="C110" s="1127"/>
      <c r="D110" s="1127"/>
      <c r="E110" s="1127"/>
      <c r="F110" s="1127"/>
      <c r="G110" s="1127"/>
      <c r="H110" s="1127"/>
      <c r="I110" s="1127"/>
      <c r="J110" s="1127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1127"/>
      <c r="B111" s="1390"/>
      <c r="C111" s="1127"/>
      <c r="D111" s="1127"/>
      <c r="E111" s="1127"/>
      <c r="F111" s="1127"/>
      <c r="G111" s="1127"/>
      <c r="H111" s="1127"/>
      <c r="I111" s="1127"/>
      <c r="J111" s="1127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1127"/>
      <c r="B112" s="1390"/>
      <c r="C112" s="1127"/>
      <c r="D112" s="1127"/>
      <c r="E112" s="1127"/>
      <c r="F112" s="1127"/>
      <c r="G112" s="1127"/>
      <c r="H112" s="1127"/>
      <c r="I112" s="1127"/>
      <c r="J112" s="1127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1127"/>
      <c r="B113" s="1390"/>
      <c r="C113" s="1127"/>
      <c r="D113" s="1127"/>
      <c r="E113" s="1127"/>
      <c r="F113" s="1127"/>
      <c r="G113" s="1127"/>
      <c r="H113" s="1127"/>
      <c r="I113" s="1127"/>
      <c r="J113" s="1127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1127"/>
      <c r="B114" s="1390"/>
      <c r="C114" s="1127"/>
      <c r="D114" s="1127"/>
      <c r="E114" s="1127"/>
      <c r="F114" s="1127"/>
      <c r="G114" s="1127"/>
      <c r="H114" s="1127"/>
      <c r="I114" s="1127"/>
      <c r="J114" s="1127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1127"/>
      <c r="B115" s="1390"/>
      <c r="C115" s="1127"/>
      <c r="D115" s="1127"/>
      <c r="E115" s="1127"/>
      <c r="F115" s="1127"/>
      <c r="G115" s="1127"/>
      <c r="H115" s="1127"/>
      <c r="I115" s="1127"/>
      <c r="J115" s="1127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1127"/>
      <c r="B116" s="1390"/>
      <c r="C116" s="1127"/>
      <c r="D116" s="1127"/>
      <c r="E116" s="1127"/>
      <c r="F116" s="1127"/>
      <c r="G116" s="1127"/>
      <c r="H116" s="1127"/>
      <c r="I116" s="1127"/>
      <c r="J116" s="1127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1127"/>
      <c r="B117" s="1390"/>
      <c r="C117" s="1127"/>
      <c r="D117" s="1127"/>
      <c r="E117" s="1127"/>
      <c r="F117" s="1127"/>
      <c r="G117" s="1127"/>
      <c r="H117" s="1127"/>
      <c r="I117" s="1127"/>
      <c r="J117" s="1127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1127"/>
      <c r="B118" s="1390"/>
      <c r="C118" s="1127"/>
      <c r="D118" s="1127"/>
      <c r="E118" s="1127"/>
      <c r="F118" s="1127"/>
      <c r="G118" s="1127"/>
      <c r="H118" s="1127"/>
      <c r="I118" s="1127"/>
      <c r="J118" s="1127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1127"/>
      <c r="B119" s="1390"/>
      <c r="C119" s="1127"/>
      <c r="D119" s="1127"/>
      <c r="E119" s="1127"/>
      <c r="F119" s="1127"/>
      <c r="G119" s="1127"/>
      <c r="H119" s="1127"/>
      <c r="I119" s="1127"/>
      <c r="J119" s="1127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1127"/>
      <c r="B120" s="1390"/>
      <c r="C120" s="1127"/>
      <c r="D120" s="1127"/>
      <c r="E120" s="1127"/>
      <c r="F120" s="1127"/>
      <c r="G120" s="1127"/>
      <c r="H120" s="1127"/>
      <c r="I120" s="1127"/>
      <c r="J120" s="1127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1127"/>
      <c r="B121" s="1390"/>
      <c r="C121" s="1127"/>
      <c r="D121" s="1127"/>
      <c r="E121" s="1127"/>
      <c r="F121" s="1127"/>
      <c r="G121" s="1127"/>
      <c r="H121" s="1127"/>
      <c r="I121" s="1127"/>
      <c r="J121" s="1127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1127"/>
      <c r="B122" s="1390"/>
      <c r="C122" s="1127"/>
      <c r="D122" s="1127"/>
      <c r="E122" s="1127"/>
      <c r="F122" s="1127"/>
      <c r="G122" s="1127"/>
      <c r="H122" s="1127"/>
      <c r="I122" s="1127"/>
      <c r="J122" s="1127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1127"/>
      <c r="B123" s="1390"/>
      <c r="C123" s="1127"/>
      <c r="D123" s="1127"/>
      <c r="E123" s="1127"/>
      <c r="F123" s="1127"/>
      <c r="G123" s="1127"/>
      <c r="H123" s="1127"/>
      <c r="I123" s="1127"/>
      <c r="J123" s="1127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1127"/>
      <c r="B124" s="1390"/>
      <c r="C124" s="1127"/>
      <c r="D124" s="1127"/>
      <c r="E124" s="1127"/>
      <c r="F124" s="1127"/>
      <c r="G124" s="1127"/>
      <c r="H124" s="1127"/>
      <c r="I124" s="1127"/>
      <c r="J124" s="1127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1127"/>
      <c r="B125" s="1390"/>
      <c r="C125" s="1127"/>
      <c r="D125" s="1127"/>
      <c r="E125" s="1127"/>
      <c r="F125" s="1127"/>
      <c r="G125" s="1127"/>
      <c r="H125" s="1127"/>
      <c r="I125" s="1127"/>
      <c r="J125" s="1127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1127"/>
      <c r="B126" s="1390"/>
      <c r="C126" s="1127"/>
      <c r="D126" s="1127"/>
      <c r="E126" s="1127"/>
      <c r="F126" s="1127"/>
      <c r="G126" s="1127"/>
      <c r="H126" s="1127"/>
      <c r="I126" s="1127"/>
      <c r="J126" s="1127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1127"/>
      <c r="B127" s="1390"/>
      <c r="C127" s="1127"/>
      <c r="D127" s="1127"/>
      <c r="E127" s="1127"/>
      <c r="F127" s="1127"/>
      <c r="G127" s="1127"/>
      <c r="H127" s="1127"/>
      <c r="I127" s="1127"/>
      <c r="J127" s="1127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1127"/>
      <c r="B128" s="1390"/>
      <c r="C128" s="1127"/>
      <c r="D128" s="1127"/>
      <c r="E128" s="1127"/>
      <c r="F128" s="1127"/>
      <c r="G128" s="1127"/>
      <c r="H128" s="1127"/>
      <c r="I128" s="1127"/>
      <c r="J128" s="1127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1127"/>
      <c r="B129" s="1390"/>
      <c r="C129" s="1127"/>
      <c r="D129" s="1127"/>
      <c r="E129" s="1127"/>
      <c r="F129" s="1127"/>
      <c r="G129" s="1127"/>
      <c r="H129" s="1127"/>
      <c r="I129" s="1127"/>
      <c r="J129" s="1127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1127"/>
      <c r="B130" s="1390"/>
      <c r="C130" s="1127"/>
      <c r="D130" s="1127"/>
      <c r="E130" s="1127"/>
      <c r="F130" s="1127"/>
      <c r="G130" s="1127"/>
      <c r="H130" s="1127"/>
      <c r="I130" s="1127"/>
      <c r="J130" s="1127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1127"/>
      <c r="B131" s="1390"/>
      <c r="C131" s="1127"/>
      <c r="D131" s="1127"/>
      <c r="E131" s="1127"/>
      <c r="F131" s="1127"/>
      <c r="G131" s="1127"/>
      <c r="H131" s="1127"/>
      <c r="I131" s="1127"/>
      <c r="J131" s="1127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1127"/>
      <c r="B132" s="1390"/>
      <c r="C132" s="1127"/>
      <c r="D132" s="1127"/>
      <c r="E132" s="1127"/>
      <c r="F132" s="1127"/>
      <c r="G132" s="1127"/>
      <c r="H132" s="1127"/>
      <c r="I132" s="1127"/>
      <c r="J132" s="1127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1127"/>
      <c r="B133" s="1390"/>
      <c r="C133" s="1127"/>
      <c r="D133" s="1127"/>
      <c r="E133" s="1127"/>
      <c r="F133" s="1127"/>
      <c r="G133" s="1127"/>
      <c r="H133" s="1127"/>
      <c r="I133" s="1127"/>
      <c r="J133" s="1127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1127"/>
      <c r="B134" s="1390"/>
      <c r="C134" s="1127"/>
      <c r="D134" s="1127"/>
      <c r="E134" s="1127"/>
      <c r="F134" s="1127"/>
      <c r="G134" s="1127"/>
      <c r="H134" s="1127"/>
      <c r="I134" s="1127"/>
      <c r="J134" s="1127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1127"/>
      <c r="B135" s="1390"/>
      <c r="C135" s="1127"/>
      <c r="D135" s="1127"/>
      <c r="E135" s="1127"/>
      <c r="F135" s="1127"/>
      <c r="G135" s="1127"/>
      <c r="H135" s="1127"/>
      <c r="I135" s="1127"/>
      <c r="J135" s="1127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1127"/>
      <c r="B136" s="1390"/>
      <c r="C136" s="1127"/>
      <c r="D136" s="1127"/>
      <c r="E136" s="1127"/>
      <c r="F136" s="1127"/>
      <c r="G136" s="1127"/>
      <c r="H136" s="1127"/>
      <c r="I136" s="1127"/>
      <c r="J136" s="1127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1127"/>
      <c r="B137" s="1390"/>
      <c r="C137" s="1127"/>
      <c r="D137" s="1127"/>
      <c r="E137" s="1127"/>
      <c r="F137" s="1127"/>
      <c r="G137" s="1127"/>
      <c r="H137" s="1127"/>
      <c r="I137" s="1127"/>
      <c r="J137" s="1127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1127"/>
      <c r="B138" s="1390"/>
      <c r="C138" s="1127"/>
      <c r="D138" s="1127"/>
      <c r="E138" s="1127"/>
      <c r="F138" s="1127"/>
      <c r="G138" s="1127"/>
      <c r="H138" s="1127"/>
      <c r="I138" s="1127"/>
      <c r="J138" s="1127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1127"/>
      <c r="B139" s="1390"/>
      <c r="C139" s="1127"/>
      <c r="D139" s="1127"/>
      <c r="E139" s="1127"/>
      <c r="F139" s="1127"/>
      <c r="G139" s="1127"/>
      <c r="H139" s="1127"/>
      <c r="I139" s="1127"/>
      <c r="J139" s="1127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1127"/>
      <c r="B140" s="1390"/>
      <c r="C140" s="1127"/>
      <c r="D140" s="1127"/>
      <c r="E140" s="1127"/>
      <c r="F140" s="1127"/>
      <c r="G140" s="1127"/>
      <c r="H140" s="1127"/>
      <c r="I140" s="1127"/>
      <c r="J140" s="1127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1127"/>
      <c r="B141" s="1390"/>
      <c r="C141" s="1127"/>
      <c r="D141" s="1127"/>
      <c r="E141" s="1127"/>
      <c r="F141" s="1127"/>
      <c r="G141" s="1127"/>
      <c r="H141" s="1127"/>
      <c r="I141" s="1127"/>
      <c r="J141" s="1127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1127"/>
      <c r="B142" s="1390"/>
      <c r="C142" s="1127"/>
      <c r="D142" s="1127"/>
      <c r="E142" s="1127"/>
      <c r="F142" s="1127"/>
      <c r="G142" s="1127"/>
      <c r="H142" s="1127"/>
      <c r="I142" s="1127"/>
      <c r="J142" s="1127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1127"/>
      <c r="B143" s="1390"/>
      <c r="C143" s="1127"/>
      <c r="D143" s="1127"/>
      <c r="E143" s="1127"/>
      <c r="F143" s="1127"/>
      <c r="G143" s="1127"/>
      <c r="H143" s="1127"/>
      <c r="I143" s="1127"/>
      <c r="J143" s="1127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1127"/>
      <c r="B144" s="1390"/>
      <c r="C144" s="1127"/>
      <c r="D144" s="1127"/>
      <c r="E144" s="1127"/>
      <c r="F144" s="1127"/>
      <c r="G144" s="1127"/>
      <c r="H144" s="1127"/>
      <c r="I144" s="1127"/>
      <c r="J144" s="1127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1127"/>
      <c r="B145" s="1390"/>
      <c r="C145" s="1127"/>
      <c r="D145" s="1127"/>
      <c r="E145" s="1127"/>
      <c r="F145" s="1127"/>
      <c r="G145" s="1127"/>
      <c r="H145" s="1127"/>
      <c r="I145" s="1127"/>
      <c r="J145" s="1127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1127"/>
      <c r="B146" s="1390"/>
      <c r="C146" s="1127"/>
      <c r="D146" s="1127"/>
      <c r="E146" s="1127"/>
      <c r="F146" s="1127"/>
      <c r="G146" s="1127"/>
      <c r="H146" s="1127"/>
      <c r="I146" s="1127"/>
      <c r="J146" s="1127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1127"/>
      <c r="B147" s="1390"/>
      <c r="C147" s="1127"/>
      <c r="D147" s="1127"/>
      <c r="E147" s="1127"/>
      <c r="F147" s="1127"/>
      <c r="G147" s="1127"/>
      <c r="H147" s="1127"/>
      <c r="I147" s="1127"/>
      <c r="J147" s="1127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1127"/>
      <c r="B148" s="1390"/>
      <c r="C148" s="1127"/>
      <c r="D148" s="1127"/>
      <c r="E148" s="1127"/>
      <c r="F148" s="1127"/>
      <c r="G148" s="1127"/>
      <c r="H148" s="1127"/>
      <c r="I148" s="1127"/>
      <c r="J148" s="1127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1127"/>
      <c r="B149" s="1390"/>
      <c r="C149" s="1127"/>
      <c r="D149" s="1127"/>
      <c r="E149" s="1127"/>
      <c r="F149" s="1127"/>
      <c r="G149" s="1127"/>
      <c r="H149" s="1127"/>
      <c r="I149" s="1127"/>
      <c r="J149" s="1127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1127"/>
      <c r="B150" s="1390"/>
      <c r="C150" s="1127"/>
      <c r="D150" s="1127"/>
      <c r="E150" s="1127"/>
      <c r="F150" s="1127"/>
      <c r="G150" s="1127"/>
      <c r="H150" s="1127"/>
      <c r="I150" s="1127"/>
      <c r="J150" s="1127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1127"/>
      <c r="B151" s="1390"/>
      <c r="C151" s="1127"/>
      <c r="D151" s="1127"/>
      <c r="E151" s="1127"/>
      <c r="F151" s="1127"/>
      <c r="G151" s="1127"/>
      <c r="H151" s="1127"/>
      <c r="I151" s="1127"/>
      <c r="J151" s="1127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1127"/>
      <c r="B152" s="1390"/>
      <c r="C152" s="1127"/>
      <c r="D152" s="1127"/>
      <c r="E152" s="1127"/>
      <c r="F152" s="1127"/>
      <c r="G152" s="1127"/>
      <c r="H152" s="1127"/>
      <c r="I152" s="1127"/>
      <c r="J152" s="1127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1127"/>
      <c r="B153" s="1390"/>
      <c r="C153" s="1127"/>
      <c r="D153" s="1127"/>
      <c r="E153" s="1127"/>
      <c r="F153" s="1127"/>
      <c r="G153" s="1127"/>
      <c r="H153" s="1127"/>
      <c r="I153" s="1127"/>
      <c r="J153" s="1127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1127"/>
      <c r="B154" s="1390"/>
      <c r="C154" s="1127"/>
      <c r="D154" s="1127"/>
      <c r="E154" s="1127"/>
      <c r="F154" s="1127"/>
      <c r="G154" s="1127"/>
      <c r="H154" s="1127"/>
      <c r="I154" s="1127"/>
      <c r="J154" s="1127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1127"/>
      <c r="B155" s="1390"/>
      <c r="C155" s="1127"/>
      <c r="D155" s="1127"/>
      <c r="E155" s="1127"/>
      <c r="F155" s="1127"/>
      <c r="G155" s="1127"/>
      <c r="H155" s="1127"/>
      <c r="I155" s="1127"/>
      <c r="J155" s="1127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1127"/>
      <c r="B156" s="1390"/>
      <c r="C156" s="1127"/>
      <c r="D156" s="1127"/>
      <c r="E156" s="1127"/>
      <c r="F156" s="1127"/>
      <c r="G156" s="1127"/>
      <c r="H156" s="1127"/>
      <c r="I156" s="1127"/>
      <c r="J156" s="1127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1127"/>
      <c r="B157" s="1390"/>
      <c r="C157" s="1127"/>
      <c r="D157" s="1127"/>
      <c r="E157" s="1127"/>
      <c r="F157" s="1127"/>
      <c r="G157" s="1127"/>
      <c r="H157" s="1127"/>
      <c r="I157" s="1127"/>
      <c r="J157" s="1127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1127"/>
      <c r="B158" s="1390"/>
      <c r="C158" s="1127"/>
      <c r="D158" s="1127"/>
      <c r="E158" s="1127"/>
      <c r="F158" s="1127"/>
      <c r="G158" s="1127"/>
      <c r="H158" s="1127"/>
      <c r="I158" s="1127"/>
      <c r="J158" s="1127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1127"/>
      <c r="B159" s="1390"/>
      <c r="C159" s="1127"/>
      <c r="D159" s="1127"/>
      <c r="E159" s="1127"/>
      <c r="F159" s="1127"/>
      <c r="G159" s="1127"/>
      <c r="H159" s="1127"/>
      <c r="I159" s="1127"/>
      <c r="J159" s="1127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1127"/>
      <c r="B160" s="1390"/>
      <c r="C160" s="1127"/>
      <c r="D160" s="1127"/>
      <c r="E160" s="1127"/>
      <c r="F160" s="1127"/>
      <c r="G160" s="1127"/>
      <c r="H160" s="1127"/>
      <c r="I160" s="1127"/>
      <c r="J160" s="1127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1127"/>
      <c r="B161" s="1390"/>
      <c r="C161" s="1127"/>
      <c r="D161" s="1127"/>
      <c r="E161" s="1127"/>
      <c r="F161" s="1127"/>
      <c r="G161" s="1127"/>
      <c r="H161" s="1127"/>
      <c r="I161" s="1127"/>
      <c r="J161" s="1127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1127"/>
      <c r="B162" s="1390"/>
      <c r="C162" s="1127"/>
      <c r="D162" s="1127"/>
      <c r="E162" s="1127"/>
      <c r="F162" s="1127"/>
      <c r="G162" s="1127"/>
      <c r="H162" s="1127"/>
      <c r="I162" s="1127"/>
      <c r="J162" s="1127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1127"/>
      <c r="B163" s="1390"/>
      <c r="C163" s="1127"/>
      <c r="D163" s="1127"/>
      <c r="E163" s="1127"/>
      <c r="F163" s="1127"/>
      <c r="G163" s="1127"/>
      <c r="H163" s="1127"/>
      <c r="I163" s="1127"/>
      <c r="J163" s="1127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1127"/>
      <c r="B164" s="1390"/>
      <c r="C164" s="1127"/>
      <c r="D164" s="1127"/>
      <c r="E164" s="1127"/>
      <c r="F164" s="1127"/>
      <c r="G164" s="1127"/>
      <c r="H164" s="1127"/>
      <c r="I164" s="1127"/>
      <c r="J164" s="1127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1127"/>
      <c r="B165" s="1390"/>
      <c r="C165" s="1127"/>
      <c r="D165" s="1127"/>
      <c r="E165" s="1127"/>
      <c r="F165" s="1127"/>
      <c r="G165" s="1127"/>
      <c r="H165" s="1127"/>
      <c r="I165" s="1127"/>
      <c r="J165" s="1127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1127"/>
      <c r="B166" s="1390"/>
      <c r="C166" s="1127"/>
      <c r="D166" s="1127"/>
      <c r="E166" s="1127"/>
      <c r="F166" s="1127"/>
      <c r="G166" s="1127"/>
      <c r="H166" s="1127"/>
      <c r="I166" s="1127"/>
      <c r="J166" s="1127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>
      <c r="A167" s="1127"/>
      <c r="B167" s="1390"/>
      <c r="C167" s="1127"/>
      <c r="D167" s="1127"/>
      <c r="E167" s="1127"/>
      <c r="F167" s="1127"/>
      <c r="G167" s="1127"/>
      <c r="H167" s="1127"/>
      <c r="I167" s="1127"/>
      <c r="J167" s="1127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1127"/>
      <c r="B168" s="1390"/>
      <c r="C168" s="1127"/>
      <c r="D168" s="1127"/>
      <c r="E168" s="1127"/>
      <c r="F168" s="1127"/>
      <c r="G168" s="1127"/>
      <c r="H168" s="1127"/>
      <c r="I168" s="1127"/>
      <c r="J168" s="1127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>
      <c r="A169" s="1127"/>
      <c r="B169" s="1390"/>
      <c r="C169" s="1127"/>
      <c r="D169" s="1127"/>
      <c r="E169" s="1127"/>
      <c r="F169" s="1127"/>
      <c r="G169" s="1127"/>
      <c r="H169" s="1127"/>
      <c r="I169" s="1127"/>
      <c r="J169" s="1127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1127"/>
      <c r="B170" s="1390"/>
      <c r="C170" s="1127"/>
      <c r="D170" s="1127"/>
      <c r="E170" s="1127"/>
      <c r="F170" s="1127"/>
      <c r="G170" s="1127"/>
      <c r="H170" s="1127"/>
      <c r="I170" s="1127"/>
      <c r="J170" s="1127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>
      <c r="A171" s="1127"/>
      <c r="B171" s="1390"/>
      <c r="C171" s="1127"/>
      <c r="D171" s="1127"/>
      <c r="E171" s="1127"/>
      <c r="F171" s="1127"/>
      <c r="G171" s="1127"/>
      <c r="H171" s="1127"/>
      <c r="I171" s="1127"/>
      <c r="J171" s="1127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1127"/>
      <c r="B172" s="1390"/>
      <c r="C172" s="1127"/>
      <c r="D172" s="1127"/>
      <c r="E172" s="1127"/>
      <c r="F172" s="1127"/>
      <c r="G172" s="1127"/>
      <c r="H172" s="1127"/>
      <c r="I172" s="1127"/>
      <c r="J172" s="1127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>
      <c r="A173" s="1127"/>
      <c r="B173" s="1390"/>
      <c r="C173" s="1127"/>
      <c r="D173" s="1127"/>
      <c r="E173" s="1127"/>
      <c r="F173" s="1127"/>
      <c r="G173" s="1127"/>
      <c r="H173" s="1127"/>
      <c r="I173" s="1127"/>
      <c r="J173" s="1127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1127"/>
      <c r="B174" s="1390"/>
      <c r="C174" s="1127"/>
      <c r="D174" s="1127"/>
      <c r="E174" s="1127"/>
      <c r="F174" s="1127"/>
      <c r="G174" s="1127"/>
      <c r="H174" s="1127"/>
      <c r="I174" s="1127"/>
      <c r="J174" s="1127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>
      <c r="A175" s="1127"/>
      <c r="B175" s="1390"/>
      <c r="C175" s="1127"/>
      <c r="D175" s="1127"/>
      <c r="E175" s="1127"/>
      <c r="F175" s="1127"/>
      <c r="G175" s="1127"/>
      <c r="H175" s="1127"/>
      <c r="I175" s="1127"/>
      <c r="J175" s="1127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1127"/>
      <c r="B176" s="1390"/>
      <c r="C176" s="1127"/>
      <c r="D176" s="1127"/>
      <c r="E176" s="1127"/>
      <c r="F176" s="1127"/>
      <c r="G176" s="1127"/>
      <c r="H176" s="1127"/>
      <c r="I176" s="1127"/>
      <c r="J176" s="1127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>
      <c r="A177" s="1127"/>
      <c r="B177" s="1390"/>
      <c r="C177" s="1127"/>
      <c r="D177" s="1127"/>
      <c r="E177" s="1127"/>
      <c r="F177" s="1127"/>
      <c r="G177" s="1127"/>
      <c r="H177" s="1127"/>
      <c r="I177" s="1127"/>
      <c r="J177" s="1127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1127"/>
      <c r="B178" s="1390"/>
      <c r="C178" s="1127"/>
      <c r="D178" s="1127"/>
      <c r="E178" s="1127"/>
      <c r="F178" s="1127"/>
      <c r="G178" s="1127"/>
      <c r="H178" s="1127"/>
      <c r="I178" s="1127"/>
      <c r="J178" s="1127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>
      <c r="A179" s="1127"/>
      <c r="B179" s="1390"/>
      <c r="C179" s="1127"/>
      <c r="D179" s="1127"/>
      <c r="E179" s="1127"/>
      <c r="F179" s="1127"/>
      <c r="G179" s="1127"/>
      <c r="H179" s="1127"/>
      <c r="I179" s="1127"/>
      <c r="J179" s="1127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1127"/>
      <c r="B180" s="1390"/>
      <c r="C180" s="1127"/>
      <c r="D180" s="1127"/>
      <c r="E180" s="1127"/>
      <c r="F180" s="1127"/>
      <c r="G180" s="1127"/>
      <c r="H180" s="1127"/>
      <c r="I180" s="1127"/>
      <c r="J180" s="1127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>
      <c r="A181" s="1127"/>
      <c r="B181" s="1390"/>
      <c r="C181" s="1127"/>
      <c r="D181" s="1127"/>
      <c r="E181" s="1127"/>
      <c r="F181" s="1127"/>
      <c r="G181" s="1127"/>
      <c r="H181" s="1127"/>
      <c r="I181" s="1127"/>
      <c r="J181" s="1127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1127"/>
      <c r="B182" s="1390"/>
      <c r="C182" s="1127"/>
      <c r="D182" s="1127"/>
      <c r="E182" s="1127"/>
      <c r="F182" s="1127"/>
      <c r="G182" s="1127"/>
      <c r="H182" s="1127"/>
      <c r="I182" s="1127"/>
      <c r="J182" s="1127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>
      <c r="A183" s="1127"/>
      <c r="B183" s="1390"/>
      <c r="C183" s="1127"/>
      <c r="D183" s="1127"/>
      <c r="E183" s="1127"/>
      <c r="F183" s="1127"/>
      <c r="G183" s="1127"/>
      <c r="H183" s="1127"/>
      <c r="I183" s="1127"/>
      <c r="J183" s="1127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1127"/>
      <c r="B184" s="1390"/>
      <c r="C184" s="1127"/>
      <c r="D184" s="1127"/>
      <c r="E184" s="1127"/>
      <c r="F184" s="1127"/>
      <c r="G184" s="1127"/>
      <c r="H184" s="1127"/>
      <c r="I184" s="1127"/>
      <c r="J184" s="1127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>
      <c r="A185" s="1127"/>
      <c r="B185" s="1390"/>
      <c r="C185" s="1127"/>
      <c r="D185" s="1127"/>
      <c r="E185" s="1127"/>
      <c r="F185" s="1127"/>
      <c r="G185" s="1127"/>
      <c r="H185" s="1127"/>
      <c r="I185" s="1127"/>
      <c r="J185" s="1127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1127"/>
      <c r="B186" s="1390"/>
      <c r="C186" s="1127"/>
      <c r="D186" s="1127"/>
      <c r="E186" s="1127"/>
      <c r="F186" s="1127"/>
      <c r="G186" s="1127"/>
      <c r="H186" s="1127"/>
      <c r="I186" s="1127"/>
      <c r="J186" s="1127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>
      <c r="A187" s="1127"/>
      <c r="B187" s="1390"/>
      <c r="C187" s="1127"/>
      <c r="D187" s="1127"/>
      <c r="E187" s="1127"/>
      <c r="F187" s="1127"/>
      <c r="G187" s="1127"/>
      <c r="H187" s="1127"/>
      <c r="I187" s="1127"/>
      <c r="J187" s="1127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1127"/>
      <c r="B188" s="1390"/>
      <c r="C188" s="1127"/>
      <c r="D188" s="1127"/>
      <c r="E188" s="1127"/>
      <c r="F188" s="1127"/>
      <c r="G188" s="1127"/>
      <c r="H188" s="1127"/>
      <c r="I188" s="1127"/>
      <c r="J188" s="1127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>
      <c r="A189" s="1127"/>
      <c r="B189" s="1390"/>
      <c r="C189" s="1127"/>
      <c r="D189" s="1127"/>
      <c r="E189" s="1127"/>
      <c r="F189" s="1127"/>
      <c r="G189" s="1127"/>
      <c r="H189" s="1127"/>
      <c r="I189" s="1127"/>
      <c r="J189" s="1127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1127"/>
      <c r="B190" s="1390"/>
      <c r="C190" s="1127"/>
      <c r="D190" s="1127"/>
      <c r="E190" s="1127"/>
      <c r="F190" s="1127"/>
      <c r="G190" s="1127"/>
      <c r="H190" s="1127"/>
      <c r="I190" s="1127"/>
      <c r="J190" s="1127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>
      <c r="A191" s="1127"/>
      <c r="B191" s="1390"/>
      <c r="C191" s="1127"/>
      <c r="D191" s="1127"/>
      <c r="E191" s="1127"/>
      <c r="F191" s="1127"/>
      <c r="G191" s="1127"/>
      <c r="H191" s="1127"/>
      <c r="I191" s="1127"/>
      <c r="J191" s="1127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1127"/>
      <c r="B192" s="1390"/>
      <c r="C192" s="1127"/>
      <c r="D192" s="1127"/>
      <c r="E192" s="1127"/>
      <c r="F192" s="1127"/>
      <c r="G192" s="1127"/>
      <c r="H192" s="1127"/>
      <c r="I192" s="1127"/>
      <c r="J192" s="1127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>
      <c r="A193" s="1127"/>
      <c r="B193" s="1390"/>
      <c r="C193" s="1127"/>
      <c r="D193" s="1127"/>
      <c r="E193" s="1127"/>
      <c r="F193" s="1127"/>
      <c r="G193" s="1127"/>
      <c r="H193" s="1127"/>
      <c r="I193" s="1127"/>
      <c r="J193" s="1127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1127"/>
      <c r="B194" s="1390"/>
      <c r="C194" s="1127"/>
      <c r="D194" s="1127"/>
      <c r="E194" s="1127"/>
      <c r="F194" s="1127"/>
      <c r="G194" s="1127"/>
      <c r="H194" s="1127"/>
      <c r="I194" s="1127"/>
      <c r="J194" s="1127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>
      <c r="A195" s="1127"/>
      <c r="B195" s="1390"/>
      <c r="C195" s="1127"/>
      <c r="D195" s="1127"/>
      <c r="E195" s="1127"/>
      <c r="F195" s="1127"/>
      <c r="G195" s="1127"/>
      <c r="H195" s="1127"/>
      <c r="I195" s="1127"/>
      <c r="J195" s="1127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1127"/>
      <c r="B196" s="1390"/>
      <c r="C196" s="1127"/>
      <c r="D196" s="1127"/>
      <c r="E196" s="1127"/>
      <c r="F196" s="1127"/>
      <c r="G196" s="1127"/>
      <c r="H196" s="1127"/>
      <c r="I196" s="1127"/>
      <c r="J196" s="1127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>
      <c r="A197" s="1127"/>
      <c r="B197" s="1390"/>
      <c r="C197" s="1127"/>
      <c r="D197" s="1127"/>
      <c r="E197" s="1127"/>
      <c r="F197" s="1127"/>
      <c r="G197" s="1127"/>
      <c r="H197" s="1127"/>
      <c r="I197" s="1127"/>
      <c r="J197" s="1127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1127"/>
      <c r="B198" s="1390"/>
      <c r="C198" s="1127"/>
      <c r="D198" s="1127"/>
      <c r="E198" s="1127"/>
      <c r="F198" s="1127"/>
      <c r="G198" s="1127"/>
      <c r="H198" s="1127"/>
      <c r="I198" s="1127"/>
      <c r="J198" s="1127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>
      <c r="A199" s="1127"/>
      <c r="B199" s="1390"/>
      <c r="C199" s="1127"/>
      <c r="D199" s="1127"/>
      <c r="E199" s="1127"/>
      <c r="F199" s="1127"/>
      <c r="G199" s="1127"/>
      <c r="H199" s="1127"/>
      <c r="I199" s="1127"/>
      <c r="J199" s="1127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1127"/>
      <c r="B200" s="1390"/>
      <c r="C200" s="1127"/>
      <c r="D200" s="1127"/>
      <c r="E200" s="1127"/>
      <c r="F200" s="1127"/>
      <c r="G200" s="1127"/>
      <c r="H200" s="1127"/>
      <c r="I200" s="1127"/>
      <c r="J200" s="1127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>
      <c r="A201" s="1127"/>
      <c r="B201" s="1390"/>
      <c r="C201" s="1127"/>
      <c r="D201" s="1127"/>
      <c r="E201" s="1127"/>
      <c r="F201" s="1127"/>
      <c r="G201" s="1127"/>
      <c r="H201" s="1127"/>
      <c r="I201" s="1127"/>
      <c r="J201" s="1127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1127"/>
      <c r="B202" s="1390"/>
      <c r="C202" s="1127"/>
      <c r="D202" s="1127"/>
      <c r="E202" s="1127"/>
      <c r="F202" s="1127"/>
      <c r="G202" s="1127"/>
      <c r="H202" s="1127"/>
      <c r="I202" s="1127"/>
      <c r="J202" s="1127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>
      <c r="A203" s="1127"/>
      <c r="B203" s="1390"/>
      <c r="C203" s="1127"/>
      <c r="D203" s="1127"/>
      <c r="E203" s="1127"/>
      <c r="F203" s="1127"/>
      <c r="G203" s="1127"/>
      <c r="H203" s="1127"/>
      <c r="I203" s="1127"/>
      <c r="J203" s="1127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1127"/>
      <c r="B204" s="1390"/>
      <c r="C204" s="1127"/>
      <c r="D204" s="1127"/>
      <c r="E204" s="1127"/>
      <c r="F204" s="1127"/>
      <c r="G204" s="1127"/>
      <c r="H204" s="1127"/>
      <c r="I204" s="1127"/>
      <c r="J204" s="1127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>
      <c r="A205" s="1127"/>
      <c r="B205" s="1390"/>
      <c r="C205" s="1127"/>
      <c r="D205" s="1127"/>
      <c r="E205" s="1127"/>
      <c r="F205" s="1127"/>
      <c r="G205" s="1127"/>
      <c r="H205" s="1127"/>
      <c r="I205" s="1127"/>
      <c r="J205" s="1127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1127"/>
      <c r="B206" s="1390"/>
      <c r="C206" s="1127"/>
      <c r="D206" s="1127"/>
      <c r="E206" s="1127"/>
      <c r="F206" s="1127"/>
      <c r="G206" s="1127"/>
      <c r="H206" s="1127"/>
      <c r="I206" s="1127"/>
      <c r="J206" s="1127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>
      <c r="A207" s="1127"/>
      <c r="B207" s="1390"/>
      <c r="C207" s="1127"/>
      <c r="D207" s="1127"/>
      <c r="E207" s="1127"/>
      <c r="F207" s="1127"/>
      <c r="G207" s="1127"/>
      <c r="H207" s="1127"/>
      <c r="I207" s="1127"/>
      <c r="J207" s="1127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1127"/>
      <c r="B208" s="1390"/>
      <c r="C208" s="1127"/>
      <c r="D208" s="1127"/>
      <c r="E208" s="1127"/>
      <c r="F208" s="1127"/>
      <c r="G208" s="1127"/>
      <c r="H208" s="1127"/>
      <c r="I208" s="1127"/>
      <c r="J208" s="1127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>
      <c r="A209" s="1127"/>
      <c r="B209" s="1390"/>
      <c r="C209" s="1127"/>
      <c r="D209" s="1127"/>
      <c r="E209" s="1127"/>
      <c r="F209" s="1127"/>
      <c r="G209" s="1127"/>
      <c r="H209" s="1127"/>
      <c r="I209" s="1127"/>
      <c r="J209" s="1127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1127"/>
      <c r="B210" s="1390"/>
      <c r="C210" s="1127"/>
      <c r="D210" s="1127"/>
      <c r="E210" s="1127"/>
      <c r="F210" s="1127"/>
      <c r="G210" s="1127"/>
      <c r="H210" s="1127"/>
      <c r="I210" s="1127"/>
      <c r="J210" s="1127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>
      <c r="A211" s="1127"/>
      <c r="B211" s="1390"/>
      <c r="C211" s="1127"/>
      <c r="D211" s="1127"/>
      <c r="E211" s="1127"/>
      <c r="F211" s="1127"/>
      <c r="G211" s="1127"/>
      <c r="H211" s="1127"/>
      <c r="I211" s="1127"/>
      <c r="J211" s="1127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1127"/>
      <c r="B212" s="1390"/>
      <c r="C212" s="1127"/>
      <c r="D212" s="1127"/>
      <c r="E212" s="1127"/>
      <c r="F212" s="1127"/>
      <c r="G212" s="1127"/>
      <c r="H212" s="1127"/>
      <c r="I212" s="1127"/>
      <c r="J212" s="1127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>
      <c r="A213" s="1127"/>
      <c r="B213" s="1390"/>
      <c r="C213" s="1127"/>
      <c r="D213" s="1127"/>
      <c r="E213" s="1127"/>
      <c r="F213" s="1127"/>
      <c r="G213" s="1127"/>
      <c r="H213" s="1127"/>
      <c r="I213" s="1127"/>
      <c r="J213" s="1127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1127"/>
      <c r="B214" s="1390"/>
      <c r="C214" s="1127"/>
      <c r="D214" s="1127"/>
      <c r="E214" s="1127"/>
      <c r="F214" s="1127"/>
      <c r="G214" s="1127"/>
      <c r="H214" s="1127"/>
      <c r="I214" s="1127"/>
      <c r="J214" s="1127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>
      <c r="A215" s="1127"/>
      <c r="B215" s="1390"/>
      <c r="C215" s="1127"/>
      <c r="D215" s="1127"/>
      <c r="E215" s="1127"/>
      <c r="F215" s="1127"/>
      <c r="G215" s="1127"/>
      <c r="H215" s="1127"/>
      <c r="I215" s="1127"/>
      <c r="J215" s="1127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1127"/>
      <c r="B216" s="1390"/>
      <c r="C216" s="1127"/>
      <c r="D216" s="1127"/>
      <c r="E216" s="1127"/>
      <c r="F216" s="1127"/>
      <c r="G216" s="1127"/>
      <c r="H216" s="1127"/>
      <c r="I216" s="1127"/>
      <c r="J216" s="1127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>
      <c r="A217" s="1127"/>
      <c r="B217" s="1390"/>
      <c r="C217" s="1127"/>
      <c r="D217" s="1127"/>
      <c r="E217" s="1127"/>
      <c r="F217" s="1127"/>
      <c r="G217" s="1127"/>
      <c r="H217" s="1127"/>
      <c r="I217" s="1127"/>
      <c r="J217" s="1127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1127"/>
      <c r="B218" s="1390"/>
      <c r="C218" s="1127"/>
      <c r="D218" s="1127"/>
      <c r="E218" s="1127"/>
      <c r="F218" s="1127"/>
      <c r="G218" s="1127"/>
      <c r="H218" s="1127"/>
      <c r="I218" s="1127"/>
      <c r="J218" s="1127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>
      <c r="A219" s="1127"/>
      <c r="B219" s="1390"/>
      <c r="C219" s="1127"/>
      <c r="D219" s="1127"/>
      <c r="E219" s="1127"/>
      <c r="F219" s="1127"/>
      <c r="G219" s="1127"/>
      <c r="H219" s="1127"/>
      <c r="I219" s="1127"/>
      <c r="J219" s="1127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1127"/>
      <c r="B220" s="1390"/>
      <c r="C220" s="1127"/>
      <c r="D220" s="1127"/>
      <c r="E220" s="1127"/>
      <c r="F220" s="1127"/>
      <c r="G220" s="1127"/>
      <c r="H220" s="1127"/>
      <c r="I220" s="1127"/>
      <c r="J220" s="1127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>
      <c r="A221" s="1127"/>
      <c r="B221" s="1390"/>
      <c r="C221" s="1127"/>
      <c r="D221" s="1127"/>
      <c r="E221" s="1127"/>
      <c r="F221" s="1127"/>
      <c r="G221" s="1127"/>
      <c r="H221" s="1127"/>
      <c r="I221" s="1127"/>
      <c r="J221" s="1127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1127"/>
      <c r="B222" s="1390"/>
      <c r="C222" s="1127"/>
      <c r="D222" s="1127"/>
      <c r="E222" s="1127"/>
      <c r="F222" s="1127"/>
      <c r="G222" s="1127"/>
      <c r="H222" s="1127"/>
      <c r="I222" s="1127"/>
      <c r="J222" s="1127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>
      <c r="A223" s="1127"/>
      <c r="B223" s="1390"/>
      <c r="C223" s="1127"/>
      <c r="D223" s="1127"/>
      <c r="E223" s="1127"/>
      <c r="F223" s="1127"/>
      <c r="G223" s="1127"/>
      <c r="H223" s="1127"/>
      <c r="I223" s="1127"/>
      <c r="J223" s="1127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1127"/>
      <c r="B224" s="1390"/>
      <c r="C224" s="1127"/>
      <c r="D224" s="1127"/>
      <c r="E224" s="1127"/>
      <c r="F224" s="1127"/>
      <c r="G224" s="1127"/>
      <c r="H224" s="1127"/>
      <c r="I224" s="1127"/>
      <c r="J224" s="1127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>
      <c r="A225" s="1127"/>
      <c r="B225" s="1390"/>
      <c r="C225" s="1127"/>
      <c r="D225" s="1127"/>
      <c r="E225" s="1127"/>
      <c r="F225" s="1127"/>
      <c r="G225" s="1127"/>
      <c r="H225" s="1127"/>
      <c r="I225" s="1127"/>
      <c r="J225" s="1127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1127"/>
      <c r="B226" s="1390"/>
      <c r="C226" s="1127"/>
      <c r="D226" s="1127"/>
      <c r="E226" s="1127"/>
      <c r="F226" s="1127"/>
      <c r="G226" s="1127"/>
      <c r="H226" s="1127"/>
      <c r="I226" s="1127"/>
      <c r="J226" s="1127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>
      <c r="A227" s="1127"/>
      <c r="B227" s="1390"/>
      <c r="C227" s="1127"/>
      <c r="D227" s="1127"/>
      <c r="E227" s="1127"/>
      <c r="F227" s="1127"/>
      <c r="G227" s="1127"/>
      <c r="H227" s="1127"/>
      <c r="I227" s="1127"/>
      <c r="J227" s="1127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1127"/>
      <c r="B228" s="1390"/>
      <c r="C228" s="1127"/>
      <c r="D228" s="1127"/>
      <c r="E228" s="1127"/>
      <c r="F228" s="1127"/>
      <c r="G228" s="1127"/>
      <c r="H228" s="1127"/>
      <c r="I228" s="1127"/>
      <c r="J228" s="1127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>
      <c r="A229" s="1127"/>
      <c r="B229" s="1390"/>
      <c r="C229" s="1127"/>
      <c r="D229" s="1127"/>
      <c r="E229" s="1127"/>
      <c r="F229" s="1127"/>
      <c r="G229" s="1127"/>
      <c r="H229" s="1127"/>
      <c r="I229" s="1127"/>
      <c r="J229" s="1127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1127"/>
      <c r="B230" s="1390"/>
      <c r="C230" s="1127"/>
      <c r="D230" s="1127"/>
      <c r="E230" s="1127"/>
      <c r="F230" s="1127"/>
      <c r="G230" s="1127"/>
      <c r="H230" s="1127"/>
      <c r="I230" s="1127"/>
      <c r="J230" s="1127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1127"/>
      <c r="B231" s="1390"/>
      <c r="C231" s="1127"/>
      <c r="D231" s="1127"/>
      <c r="E231" s="1127"/>
      <c r="F231" s="1127"/>
      <c r="G231" s="1127"/>
      <c r="H231" s="1127"/>
      <c r="I231" s="1127"/>
      <c r="J231" s="1127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1127"/>
      <c r="B232" s="1390"/>
      <c r="C232" s="1127"/>
      <c r="D232" s="1127"/>
      <c r="E232" s="1127"/>
      <c r="F232" s="1127"/>
      <c r="G232" s="1127"/>
      <c r="H232" s="1127"/>
      <c r="I232" s="1127"/>
      <c r="J232" s="1127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1127"/>
      <c r="B233" s="1390"/>
      <c r="C233" s="1127"/>
      <c r="D233" s="1127"/>
      <c r="E233" s="1127"/>
      <c r="F233" s="1127"/>
      <c r="G233" s="1127"/>
      <c r="H233" s="1127"/>
      <c r="I233" s="1127"/>
      <c r="J233" s="1127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1127"/>
      <c r="B234" s="1390"/>
      <c r="C234" s="1127"/>
      <c r="D234" s="1127"/>
      <c r="E234" s="1127"/>
      <c r="F234" s="1127"/>
      <c r="G234" s="1127"/>
      <c r="H234" s="1127"/>
      <c r="I234" s="1127"/>
      <c r="J234" s="1127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1127"/>
      <c r="B235" s="1390"/>
      <c r="C235" s="1127"/>
      <c r="D235" s="1127"/>
      <c r="E235" s="1127"/>
      <c r="F235" s="1127"/>
      <c r="G235" s="1127"/>
      <c r="H235" s="1127"/>
      <c r="I235" s="1127"/>
      <c r="J235" s="1127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1127"/>
      <c r="B236" s="1390"/>
      <c r="C236" s="1127"/>
      <c r="D236" s="1127"/>
      <c r="E236" s="1127"/>
      <c r="F236" s="1127"/>
      <c r="G236" s="1127"/>
      <c r="H236" s="1127"/>
      <c r="I236" s="1127"/>
      <c r="J236" s="1127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1127"/>
      <c r="B237" s="1390"/>
      <c r="C237" s="1127"/>
      <c r="D237" s="1127"/>
      <c r="E237" s="1127"/>
      <c r="F237" s="1127"/>
      <c r="G237" s="1127"/>
      <c r="H237" s="1127"/>
      <c r="I237" s="1127"/>
      <c r="J237" s="1127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1127"/>
      <c r="B238" s="1390"/>
      <c r="C238" s="1127"/>
      <c r="D238" s="1127"/>
      <c r="E238" s="1127"/>
      <c r="F238" s="1127"/>
      <c r="G238" s="1127"/>
      <c r="H238" s="1127"/>
      <c r="I238" s="1127"/>
      <c r="J238" s="1127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1127"/>
      <c r="B239" s="1390"/>
      <c r="C239" s="1127"/>
      <c r="D239" s="1127"/>
      <c r="E239" s="1127"/>
      <c r="F239" s="1127"/>
      <c r="G239" s="1127"/>
      <c r="H239" s="1127"/>
      <c r="I239" s="1127"/>
      <c r="J239" s="1127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1127"/>
      <c r="B240" s="1390"/>
      <c r="C240" s="1127"/>
      <c r="D240" s="1127"/>
      <c r="E240" s="1127"/>
      <c r="F240" s="1127"/>
      <c r="G240" s="1127"/>
      <c r="H240" s="1127"/>
      <c r="I240" s="1127"/>
      <c r="J240" s="1127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1127"/>
      <c r="B241" s="1390"/>
      <c r="C241" s="1127"/>
      <c r="D241" s="1127"/>
      <c r="E241" s="1127"/>
      <c r="F241" s="1127"/>
      <c r="G241" s="1127"/>
      <c r="H241" s="1127"/>
      <c r="I241" s="1127"/>
      <c r="J241" s="1127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1127"/>
      <c r="B242" s="1390"/>
      <c r="C242" s="1127"/>
      <c r="D242" s="1127"/>
      <c r="E242" s="1127"/>
      <c r="F242" s="1127"/>
      <c r="G242" s="1127"/>
      <c r="H242" s="1127"/>
      <c r="I242" s="1127"/>
      <c r="J242" s="1127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1127"/>
      <c r="B243" s="1390"/>
      <c r="C243" s="1127"/>
      <c r="D243" s="1127"/>
      <c r="E243" s="1127"/>
      <c r="F243" s="1127"/>
      <c r="G243" s="1127"/>
      <c r="H243" s="1127"/>
      <c r="I243" s="1127"/>
      <c r="J243" s="1127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1127"/>
      <c r="B244" s="1390"/>
      <c r="C244" s="1127"/>
      <c r="D244" s="1127"/>
      <c r="E244" s="1127"/>
      <c r="F244" s="1127"/>
      <c r="G244" s="1127"/>
      <c r="H244" s="1127"/>
      <c r="I244" s="1127"/>
      <c r="J244" s="1127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1127"/>
      <c r="B245" s="1390"/>
      <c r="C245" s="1127"/>
      <c r="D245" s="1127"/>
      <c r="E245" s="1127"/>
      <c r="F245" s="1127"/>
      <c r="G245" s="1127"/>
      <c r="H245" s="1127"/>
      <c r="I245" s="1127"/>
      <c r="J245" s="1127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1127"/>
      <c r="B246" s="1390"/>
      <c r="C246" s="1127"/>
      <c r="D246" s="1127"/>
      <c r="E246" s="1127"/>
      <c r="F246" s="1127"/>
      <c r="G246" s="1127"/>
      <c r="H246" s="1127"/>
      <c r="I246" s="1127"/>
      <c r="J246" s="1127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1127"/>
      <c r="B247" s="1390"/>
      <c r="C247" s="1127"/>
      <c r="D247" s="1127"/>
      <c r="E247" s="1127"/>
      <c r="F247" s="1127"/>
      <c r="G247" s="1127"/>
      <c r="H247" s="1127"/>
      <c r="I247" s="1127"/>
      <c r="J247" s="1127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1127"/>
      <c r="B248" s="1390"/>
      <c r="C248" s="1127"/>
      <c r="D248" s="1127"/>
      <c r="E248" s="1127"/>
      <c r="F248" s="1127"/>
      <c r="G248" s="1127"/>
      <c r="H248" s="1127"/>
      <c r="I248" s="1127"/>
      <c r="J248" s="1127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1127"/>
      <c r="B249" s="1390"/>
      <c r="C249" s="1127"/>
      <c r="D249" s="1127"/>
      <c r="E249" s="1127"/>
      <c r="F249" s="1127"/>
      <c r="G249" s="1127"/>
      <c r="H249" s="1127"/>
      <c r="I249" s="1127"/>
      <c r="J249" s="1127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1127"/>
      <c r="B250" s="1390"/>
      <c r="C250" s="1127"/>
      <c r="D250" s="1127"/>
      <c r="E250" s="1127"/>
      <c r="F250" s="1127"/>
      <c r="G250" s="1127"/>
      <c r="H250" s="1127"/>
      <c r="I250" s="1127"/>
      <c r="J250" s="1127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1127"/>
      <c r="B251" s="1390"/>
      <c r="C251" s="1127"/>
      <c r="D251" s="1127"/>
      <c r="E251" s="1127"/>
      <c r="F251" s="1127"/>
      <c r="G251" s="1127"/>
      <c r="H251" s="1127"/>
      <c r="I251" s="1127"/>
      <c r="J251" s="1127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1127"/>
      <c r="B252" s="1390"/>
      <c r="C252" s="1127"/>
      <c r="D252" s="1127"/>
      <c r="E252" s="1127"/>
      <c r="F252" s="1127"/>
      <c r="G252" s="1127"/>
      <c r="H252" s="1127"/>
      <c r="I252" s="1127"/>
      <c r="J252" s="1127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1127"/>
      <c r="B253" s="1390"/>
      <c r="C253" s="1127"/>
      <c r="D253" s="1127"/>
      <c r="E253" s="1127"/>
      <c r="F253" s="1127"/>
      <c r="G253" s="1127"/>
      <c r="H253" s="1127"/>
      <c r="I253" s="1127"/>
      <c r="J253" s="1127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1127"/>
      <c r="B254" s="1390"/>
      <c r="C254" s="1127"/>
      <c r="D254" s="1127"/>
      <c r="E254" s="1127"/>
      <c r="F254" s="1127"/>
      <c r="G254" s="1127"/>
      <c r="H254" s="1127"/>
      <c r="I254" s="1127"/>
      <c r="J254" s="1127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1127"/>
      <c r="B255" s="1390"/>
      <c r="C255" s="1127"/>
      <c r="D255" s="1127"/>
      <c r="E255" s="1127"/>
      <c r="F255" s="1127"/>
      <c r="G255" s="1127"/>
      <c r="H255" s="1127"/>
      <c r="I255" s="1127"/>
      <c r="J255" s="1127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1127"/>
      <c r="B256" s="1390"/>
      <c r="C256" s="1127"/>
      <c r="D256" s="1127"/>
      <c r="E256" s="1127"/>
      <c r="F256" s="1127"/>
      <c r="G256" s="1127"/>
      <c r="H256" s="1127"/>
      <c r="I256" s="1127"/>
      <c r="J256" s="1127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1127"/>
      <c r="B257" s="1390"/>
      <c r="C257" s="1127"/>
      <c r="D257" s="1127"/>
      <c r="E257" s="1127"/>
      <c r="F257" s="1127"/>
      <c r="G257" s="1127"/>
      <c r="H257" s="1127"/>
      <c r="I257" s="1127"/>
      <c r="J257" s="1127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1127"/>
      <c r="B258" s="1390"/>
      <c r="C258" s="1127"/>
      <c r="D258" s="1127"/>
      <c r="E258" s="1127"/>
      <c r="F258" s="1127"/>
      <c r="G258" s="1127"/>
      <c r="H258" s="1127"/>
      <c r="I258" s="1127"/>
      <c r="J258" s="1127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1127"/>
      <c r="B259" s="1390"/>
      <c r="C259" s="1127"/>
      <c r="D259" s="1127"/>
      <c r="E259" s="1127"/>
      <c r="F259" s="1127"/>
      <c r="G259" s="1127"/>
      <c r="H259" s="1127"/>
      <c r="I259" s="1127"/>
      <c r="J259" s="1127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1127"/>
      <c r="B260" s="1390"/>
      <c r="C260" s="1127"/>
      <c r="D260" s="1127"/>
      <c r="E260" s="1127"/>
      <c r="F260" s="1127"/>
      <c r="G260" s="1127"/>
      <c r="H260" s="1127"/>
      <c r="I260" s="1127"/>
      <c r="J260" s="1127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1127"/>
      <c r="B261" s="1390"/>
      <c r="C261" s="1127"/>
      <c r="D261" s="1127"/>
      <c r="E261" s="1127"/>
      <c r="F261" s="1127"/>
      <c r="G261" s="1127"/>
      <c r="H261" s="1127"/>
      <c r="I261" s="1127"/>
      <c r="J261" s="1127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1127"/>
      <c r="B262" s="1390"/>
      <c r="C262" s="1127"/>
      <c r="D262" s="1127"/>
      <c r="E262" s="1127"/>
      <c r="F262" s="1127"/>
      <c r="G262" s="1127"/>
      <c r="H262" s="1127"/>
      <c r="I262" s="1127"/>
      <c r="J262" s="1127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1127"/>
      <c r="B263" s="1390"/>
      <c r="C263" s="1127"/>
      <c r="D263" s="1127"/>
      <c r="E263" s="1127"/>
      <c r="F263" s="1127"/>
      <c r="G263" s="1127"/>
      <c r="H263" s="1127"/>
      <c r="I263" s="1127"/>
      <c r="J263" s="1127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1127"/>
      <c r="B264" s="1390"/>
      <c r="C264" s="1127"/>
      <c r="D264" s="1127"/>
      <c r="E264" s="1127"/>
      <c r="F264" s="1127"/>
      <c r="G264" s="1127"/>
      <c r="H264" s="1127"/>
      <c r="I264" s="1127"/>
      <c r="J264" s="1127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1127"/>
      <c r="B265" s="1390"/>
      <c r="C265" s="1127"/>
      <c r="D265" s="1127"/>
      <c r="E265" s="1127"/>
      <c r="F265" s="1127"/>
      <c r="G265" s="1127"/>
      <c r="H265" s="1127"/>
      <c r="I265" s="1127"/>
      <c r="J265" s="1127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1127"/>
      <c r="B266" s="1390"/>
      <c r="C266" s="1127"/>
      <c r="D266" s="1127"/>
      <c r="E266" s="1127"/>
      <c r="F266" s="1127"/>
      <c r="G266" s="1127"/>
      <c r="H266" s="1127"/>
      <c r="I266" s="1127"/>
      <c r="J266" s="1127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1127"/>
      <c r="B267" s="1390"/>
      <c r="C267" s="1127"/>
      <c r="D267" s="1127"/>
      <c r="E267" s="1127"/>
      <c r="F267" s="1127"/>
      <c r="G267" s="1127"/>
      <c r="H267" s="1127"/>
      <c r="I267" s="1127"/>
      <c r="J267" s="1127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1127"/>
      <c r="B268" s="1390"/>
      <c r="C268" s="1127"/>
      <c r="D268" s="1127"/>
      <c r="E268" s="1127"/>
      <c r="F268" s="1127"/>
      <c r="G268" s="1127"/>
      <c r="H268" s="1127"/>
      <c r="I268" s="1127"/>
      <c r="J268" s="1127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1127"/>
      <c r="B269" s="1390"/>
      <c r="C269" s="1127"/>
      <c r="D269" s="1127"/>
      <c r="E269" s="1127"/>
      <c r="F269" s="1127"/>
      <c r="G269" s="1127"/>
      <c r="H269" s="1127"/>
      <c r="I269" s="1127"/>
      <c r="J269" s="1127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1127"/>
      <c r="B270" s="1390"/>
      <c r="C270" s="1127"/>
      <c r="D270" s="1127"/>
      <c r="E270" s="1127"/>
      <c r="F270" s="1127"/>
      <c r="G270" s="1127"/>
      <c r="H270" s="1127"/>
      <c r="I270" s="1127"/>
      <c r="J270" s="1127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1127"/>
      <c r="B271" s="1390"/>
      <c r="C271" s="1127"/>
      <c r="D271" s="1127"/>
      <c r="E271" s="1127"/>
      <c r="F271" s="1127"/>
      <c r="G271" s="1127"/>
      <c r="H271" s="1127"/>
      <c r="I271" s="1127"/>
      <c r="J271" s="1127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1127"/>
      <c r="B272" s="1390"/>
      <c r="C272" s="1127"/>
      <c r="D272" s="1127"/>
      <c r="E272" s="1127"/>
      <c r="F272" s="1127"/>
      <c r="G272" s="1127"/>
      <c r="H272" s="1127"/>
      <c r="I272" s="1127"/>
      <c r="J272" s="1127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1127"/>
      <c r="B273" s="1390"/>
      <c r="C273" s="1127"/>
      <c r="D273" s="1127"/>
      <c r="E273" s="1127"/>
      <c r="F273" s="1127"/>
      <c r="G273" s="1127"/>
      <c r="H273" s="1127"/>
      <c r="I273" s="1127"/>
      <c r="J273" s="1127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1127"/>
      <c r="B274" s="1390"/>
      <c r="C274" s="1127"/>
      <c r="D274" s="1127"/>
      <c r="E274" s="1127"/>
      <c r="F274" s="1127"/>
      <c r="G274" s="1127"/>
      <c r="H274" s="1127"/>
      <c r="I274" s="1127"/>
      <c r="J274" s="1127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1127"/>
      <c r="B275" s="1390"/>
      <c r="C275" s="1127"/>
      <c r="D275" s="1127"/>
      <c r="E275" s="1127"/>
      <c r="F275" s="1127"/>
      <c r="G275" s="1127"/>
      <c r="H275" s="1127"/>
      <c r="I275" s="1127"/>
      <c r="J275" s="1127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1127"/>
      <c r="B276" s="1390"/>
      <c r="C276" s="1127"/>
      <c r="D276" s="1127"/>
      <c r="E276" s="1127"/>
      <c r="F276" s="1127"/>
      <c r="G276" s="1127"/>
      <c r="H276" s="1127"/>
      <c r="I276" s="1127"/>
      <c r="J276" s="1127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1127"/>
      <c r="B277" s="1390"/>
      <c r="C277" s="1127"/>
      <c r="D277" s="1127"/>
      <c r="E277" s="1127"/>
      <c r="F277" s="1127"/>
      <c r="G277" s="1127"/>
      <c r="H277" s="1127"/>
      <c r="I277" s="1127"/>
      <c r="J277" s="1127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1127"/>
      <c r="B278" s="1390"/>
      <c r="C278" s="1127"/>
      <c r="D278" s="1127"/>
      <c r="E278" s="1127"/>
      <c r="F278" s="1127"/>
      <c r="G278" s="1127"/>
      <c r="H278" s="1127"/>
      <c r="I278" s="1127"/>
      <c r="J278" s="1127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1127"/>
      <c r="B279" s="1390"/>
      <c r="C279" s="1127"/>
      <c r="D279" s="1127"/>
      <c r="E279" s="1127"/>
      <c r="F279" s="1127"/>
      <c r="G279" s="1127"/>
      <c r="H279" s="1127"/>
      <c r="I279" s="1127"/>
      <c r="J279" s="1127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1127"/>
      <c r="B280" s="1390"/>
      <c r="C280" s="1127"/>
      <c r="D280" s="1127"/>
      <c r="E280" s="1127"/>
      <c r="F280" s="1127"/>
      <c r="G280" s="1127"/>
      <c r="H280" s="1127"/>
      <c r="I280" s="1127"/>
      <c r="J280" s="1127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1127"/>
      <c r="B281" s="1390"/>
      <c r="C281" s="1127"/>
      <c r="D281" s="1127"/>
      <c r="E281" s="1127"/>
      <c r="F281" s="1127"/>
      <c r="G281" s="1127"/>
      <c r="H281" s="1127"/>
      <c r="I281" s="1127"/>
      <c r="J281" s="1127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1127"/>
      <c r="B282" s="1390"/>
      <c r="C282" s="1127"/>
      <c r="D282" s="1127"/>
      <c r="E282" s="1127"/>
      <c r="F282" s="1127"/>
      <c r="G282" s="1127"/>
      <c r="H282" s="1127"/>
      <c r="I282" s="1127"/>
      <c r="J282" s="1127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1127"/>
      <c r="B283" s="1390"/>
      <c r="C283" s="1127"/>
      <c r="D283" s="1127"/>
      <c r="E283" s="1127"/>
      <c r="F283" s="1127"/>
      <c r="G283" s="1127"/>
      <c r="H283" s="1127"/>
      <c r="I283" s="1127"/>
      <c r="J283" s="1127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1127"/>
      <c r="B284" s="1390"/>
      <c r="C284" s="1127"/>
      <c r="D284" s="1127"/>
      <c r="E284" s="1127"/>
      <c r="F284" s="1127"/>
      <c r="G284" s="1127"/>
      <c r="H284" s="1127"/>
      <c r="I284" s="1127"/>
      <c r="J284" s="1127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1127"/>
      <c r="B285" s="1390"/>
      <c r="C285" s="1127"/>
      <c r="D285" s="1127"/>
      <c r="E285" s="1127"/>
      <c r="F285" s="1127"/>
      <c r="G285" s="1127"/>
      <c r="H285" s="1127"/>
      <c r="I285" s="1127"/>
      <c r="J285" s="1127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1127"/>
      <c r="B286" s="1390"/>
      <c r="C286" s="1127"/>
      <c r="D286" s="1127"/>
      <c r="E286" s="1127"/>
      <c r="F286" s="1127"/>
      <c r="G286" s="1127"/>
      <c r="H286" s="1127"/>
      <c r="I286" s="1127"/>
      <c r="J286" s="1127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1127"/>
      <c r="B287" s="1390"/>
      <c r="C287" s="1127"/>
      <c r="D287" s="1127"/>
      <c r="E287" s="1127"/>
      <c r="F287" s="1127"/>
      <c r="G287" s="1127"/>
      <c r="H287" s="1127"/>
      <c r="I287" s="1127"/>
      <c r="J287" s="1127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1127"/>
      <c r="B288" s="1390"/>
      <c r="C288" s="1127"/>
      <c r="D288" s="1127"/>
      <c r="E288" s="1127"/>
      <c r="F288" s="1127"/>
      <c r="G288" s="1127"/>
      <c r="H288" s="1127"/>
      <c r="I288" s="1127"/>
      <c r="J288" s="1127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1127"/>
      <c r="B289" s="1390"/>
      <c r="C289" s="1127"/>
      <c r="D289" s="1127"/>
      <c r="E289" s="1127"/>
      <c r="F289" s="1127"/>
      <c r="G289" s="1127"/>
      <c r="H289" s="1127"/>
      <c r="I289" s="1127"/>
      <c r="J289" s="1127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1127"/>
      <c r="B290" s="1390"/>
      <c r="C290" s="1127"/>
      <c r="D290" s="1127"/>
      <c r="E290" s="1127"/>
      <c r="F290" s="1127"/>
      <c r="G290" s="1127"/>
      <c r="H290" s="1127"/>
      <c r="I290" s="1127"/>
      <c r="J290" s="1127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1127"/>
      <c r="B291" s="1390"/>
      <c r="C291" s="1127"/>
      <c r="D291" s="1127"/>
      <c r="E291" s="1127"/>
      <c r="F291" s="1127"/>
      <c r="G291" s="1127"/>
      <c r="H291" s="1127"/>
      <c r="I291" s="1127"/>
      <c r="J291" s="1127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1127"/>
      <c r="B292" s="1390"/>
      <c r="C292" s="1127"/>
      <c r="D292" s="1127"/>
      <c r="E292" s="1127"/>
      <c r="F292" s="1127"/>
      <c r="G292" s="1127"/>
      <c r="H292" s="1127"/>
      <c r="I292" s="1127"/>
      <c r="J292" s="1127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1127"/>
      <c r="B293" s="1390"/>
      <c r="C293" s="1127"/>
      <c r="D293" s="1127"/>
      <c r="E293" s="1127"/>
      <c r="F293" s="1127"/>
      <c r="G293" s="1127"/>
      <c r="H293" s="1127"/>
      <c r="I293" s="1127"/>
      <c r="J293" s="1127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1127"/>
      <c r="B294" s="1390"/>
      <c r="C294" s="1127"/>
      <c r="D294" s="1127"/>
      <c r="E294" s="1127"/>
      <c r="F294" s="1127"/>
      <c r="G294" s="1127"/>
      <c r="H294" s="1127"/>
      <c r="I294" s="1127"/>
      <c r="J294" s="1127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1127"/>
      <c r="B295" s="1390"/>
      <c r="C295" s="1127"/>
      <c r="D295" s="1127"/>
      <c r="E295" s="1127"/>
      <c r="F295" s="1127"/>
      <c r="G295" s="1127"/>
      <c r="H295" s="1127"/>
      <c r="I295" s="1127"/>
      <c r="J295" s="1127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1127"/>
      <c r="B296" s="1390"/>
      <c r="C296" s="1127"/>
      <c r="D296" s="1127"/>
      <c r="E296" s="1127"/>
      <c r="F296" s="1127"/>
      <c r="G296" s="1127"/>
      <c r="H296" s="1127"/>
      <c r="I296" s="1127"/>
      <c r="J296" s="1127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1127"/>
      <c r="B297" s="1390"/>
      <c r="C297" s="1127"/>
      <c r="D297" s="1127"/>
      <c r="E297" s="1127"/>
      <c r="F297" s="1127"/>
      <c r="G297" s="1127"/>
      <c r="H297" s="1127"/>
      <c r="I297" s="1127"/>
      <c r="J297" s="1127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1127"/>
      <c r="B298" s="1390"/>
      <c r="C298" s="1127"/>
      <c r="D298" s="1127"/>
      <c r="E298" s="1127"/>
      <c r="F298" s="1127"/>
      <c r="G298" s="1127"/>
      <c r="H298" s="1127"/>
      <c r="I298" s="1127"/>
      <c r="J298" s="1127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1127"/>
      <c r="B299" s="1390"/>
      <c r="C299" s="1127"/>
      <c r="D299" s="1127"/>
      <c r="E299" s="1127"/>
      <c r="F299" s="1127"/>
      <c r="G299" s="1127"/>
      <c r="H299" s="1127"/>
      <c r="I299" s="1127"/>
      <c r="J299" s="1127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1127"/>
      <c r="B300" s="1390"/>
      <c r="C300" s="1127"/>
      <c r="D300" s="1127"/>
      <c r="E300" s="1127"/>
      <c r="F300" s="1127"/>
      <c r="G300" s="1127"/>
      <c r="H300" s="1127"/>
      <c r="I300" s="1127"/>
      <c r="J300" s="1127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1127"/>
      <c r="B301" s="1390"/>
      <c r="C301" s="1127"/>
      <c r="D301" s="1127"/>
      <c r="E301" s="1127"/>
      <c r="F301" s="1127"/>
      <c r="G301" s="1127"/>
      <c r="H301" s="1127"/>
      <c r="I301" s="1127"/>
      <c r="J301" s="1127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1127"/>
      <c r="B302" s="1390"/>
      <c r="C302" s="1127"/>
      <c r="D302" s="1127"/>
      <c r="E302" s="1127"/>
      <c r="F302" s="1127"/>
      <c r="G302" s="1127"/>
      <c r="H302" s="1127"/>
      <c r="I302" s="1127"/>
      <c r="J302" s="1127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1127"/>
      <c r="B303" s="1390"/>
      <c r="C303" s="1127"/>
      <c r="D303" s="1127"/>
      <c r="E303" s="1127"/>
      <c r="F303" s="1127"/>
      <c r="G303" s="1127"/>
      <c r="H303" s="1127"/>
      <c r="I303" s="1127"/>
      <c r="J303" s="1127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1127"/>
      <c r="B304" s="1390"/>
      <c r="C304" s="1127"/>
      <c r="D304" s="1127"/>
      <c r="E304" s="1127"/>
      <c r="F304" s="1127"/>
      <c r="G304" s="1127"/>
      <c r="H304" s="1127"/>
      <c r="I304" s="1127"/>
      <c r="J304" s="1127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1127"/>
      <c r="B305" s="1390"/>
      <c r="C305" s="1127"/>
      <c r="D305" s="1127"/>
      <c r="E305" s="1127"/>
      <c r="F305" s="1127"/>
      <c r="G305" s="1127"/>
      <c r="H305" s="1127"/>
      <c r="I305" s="1127"/>
      <c r="J305" s="1127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1127"/>
      <c r="B306" s="1390"/>
      <c r="C306" s="1127"/>
      <c r="D306" s="1127"/>
      <c r="E306" s="1127"/>
      <c r="F306" s="1127"/>
      <c r="G306" s="1127"/>
      <c r="H306" s="1127"/>
      <c r="I306" s="1127"/>
      <c r="J306" s="1127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1127"/>
      <c r="B307" s="1390"/>
      <c r="C307" s="1127"/>
      <c r="D307" s="1127"/>
      <c r="E307" s="1127"/>
      <c r="F307" s="1127"/>
      <c r="G307" s="1127"/>
      <c r="H307" s="1127"/>
      <c r="I307" s="1127"/>
      <c r="J307" s="1127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1127"/>
      <c r="B308" s="1390"/>
      <c r="C308" s="1127"/>
      <c r="D308" s="1127"/>
      <c r="E308" s="1127"/>
      <c r="F308" s="1127"/>
      <c r="G308" s="1127"/>
      <c r="H308" s="1127"/>
      <c r="I308" s="1127"/>
      <c r="J308" s="1127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1127"/>
      <c r="B309" s="1390"/>
      <c r="C309" s="1127"/>
      <c r="D309" s="1127"/>
      <c r="E309" s="1127"/>
      <c r="F309" s="1127"/>
      <c r="G309" s="1127"/>
      <c r="H309" s="1127"/>
      <c r="I309" s="1127"/>
      <c r="J309" s="1127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1127"/>
      <c r="B310" s="1390"/>
      <c r="C310" s="1127"/>
      <c r="D310" s="1127"/>
      <c r="E310" s="1127"/>
      <c r="F310" s="1127"/>
      <c r="G310" s="1127"/>
      <c r="H310" s="1127"/>
      <c r="I310" s="1127"/>
      <c r="J310" s="1127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1127"/>
      <c r="B311" s="1390"/>
      <c r="C311" s="1127"/>
      <c r="D311" s="1127"/>
      <c r="E311" s="1127"/>
      <c r="F311" s="1127"/>
      <c r="G311" s="1127"/>
      <c r="H311" s="1127"/>
      <c r="I311" s="1127"/>
      <c r="J311" s="1127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1127"/>
      <c r="B312" s="1390"/>
      <c r="C312" s="1127"/>
      <c r="D312" s="1127"/>
      <c r="E312" s="1127"/>
      <c r="F312" s="1127"/>
      <c r="G312" s="1127"/>
      <c r="H312" s="1127"/>
      <c r="I312" s="1127"/>
      <c r="J312" s="1127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1127"/>
      <c r="B313" s="1390"/>
      <c r="C313" s="1127"/>
      <c r="D313" s="1127"/>
      <c r="E313" s="1127"/>
      <c r="F313" s="1127"/>
      <c r="G313" s="1127"/>
      <c r="H313" s="1127"/>
      <c r="I313" s="1127"/>
      <c r="J313" s="1127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1127"/>
      <c r="B314" s="1390"/>
      <c r="C314" s="1127"/>
      <c r="D314" s="1127"/>
      <c r="E314" s="1127"/>
      <c r="F314" s="1127"/>
      <c r="G314" s="1127"/>
      <c r="H314" s="1127"/>
      <c r="I314" s="1127"/>
      <c r="J314" s="1127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1127"/>
      <c r="B315" s="1390"/>
      <c r="C315" s="1127"/>
      <c r="D315" s="1127"/>
      <c r="E315" s="1127"/>
      <c r="F315" s="1127"/>
      <c r="G315" s="1127"/>
      <c r="H315" s="1127"/>
      <c r="I315" s="1127"/>
      <c r="J315" s="1127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1127"/>
      <c r="B316" s="1390"/>
      <c r="C316" s="1127"/>
      <c r="D316" s="1127"/>
      <c r="E316" s="1127"/>
      <c r="F316" s="1127"/>
      <c r="G316" s="1127"/>
      <c r="H316" s="1127"/>
      <c r="I316" s="1127"/>
      <c r="J316" s="1127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1127"/>
      <c r="B317" s="1390"/>
      <c r="C317" s="1127"/>
      <c r="D317" s="1127"/>
      <c r="E317" s="1127"/>
      <c r="F317" s="1127"/>
      <c r="G317" s="1127"/>
      <c r="H317" s="1127"/>
      <c r="I317" s="1127"/>
      <c r="J317" s="1127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1127"/>
      <c r="B318" s="1390"/>
      <c r="C318" s="1127"/>
      <c r="D318" s="1127"/>
      <c r="E318" s="1127"/>
      <c r="F318" s="1127"/>
      <c r="G318" s="1127"/>
      <c r="H318" s="1127"/>
      <c r="I318" s="1127"/>
      <c r="J318" s="1127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1127"/>
      <c r="B319" s="1390"/>
      <c r="C319" s="1127"/>
      <c r="D319" s="1127"/>
      <c r="E319" s="1127"/>
      <c r="F319" s="1127"/>
      <c r="G319" s="1127"/>
      <c r="H319" s="1127"/>
      <c r="I319" s="1127"/>
      <c r="J319" s="1127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1127"/>
      <c r="B320" s="1390"/>
      <c r="C320" s="1127"/>
      <c r="D320" s="1127"/>
      <c r="E320" s="1127"/>
      <c r="F320" s="1127"/>
      <c r="G320" s="1127"/>
      <c r="H320" s="1127"/>
      <c r="I320" s="1127"/>
      <c r="J320" s="1127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1127"/>
      <c r="B321" s="1390"/>
      <c r="C321" s="1127"/>
      <c r="D321" s="1127"/>
      <c r="E321" s="1127"/>
      <c r="F321" s="1127"/>
      <c r="G321" s="1127"/>
      <c r="H321" s="1127"/>
      <c r="I321" s="1127"/>
      <c r="J321" s="1127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1127"/>
      <c r="B322" s="1390"/>
      <c r="C322" s="1127"/>
      <c r="D322" s="1127"/>
      <c r="E322" s="1127"/>
      <c r="F322" s="1127"/>
      <c r="G322" s="1127"/>
      <c r="H322" s="1127"/>
      <c r="I322" s="1127"/>
      <c r="J322" s="1127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1127"/>
      <c r="B323" s="1390"/>
      <c r="C323" s="1127"/>
      <c r="D323" s="1127"/>
      <c r="E323" s="1127"/>
      <c r="F323" s="1127"/>
      <c r="G323" s="1127"/>
      <c r="H323" s="1127"/>
      <c r="I323" s="1127"/>
      <c r="J323" s="1127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1127"/>
      <c r="B324" s="1390"/>
      <c r="C324" s="1127"/>
      <c r="D324" s="1127"/>
      <c r="E324" s="1127"/>
      <c r="F324" s="1127"/>
      <c r="G324" s="1127"/>
      <c r="H324" s="1127"/>
      <c r="I324" s="1127"/>
      <c r="J324" s="1127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1127"/>
      <c r="B325" s="1390"/>
      <c r="C325" s="1127"/>
      <c r="D325" s="1127"/>
      <c r="E325" s="1127"/>
      <c r="F325" s="1127"/>
      <c r="G325" s="1127"/>
      <c r="H325" s="1127"/>
      <c r="I325" s="1127"/>
      <c r="J325" s="1127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1127"/>
      <c r="B326" s="1390"/>
      <c r="C326" s="1127"/>
      <c r="D326" s="1127"/>
      <c r="E326" s="1127"/>
      <c r="F326" s="1127"/>
      <c r="G326" s="1127"/>
      <c r="H326" s="1127"/>
      <c r="I326" s="1127"/>
      <c r="J326" s="1127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1127"/>
      <c r="B327" s="1390"/>
      <c r="C327" s="1127"/>
      <c r="D327" s="1127"/>
      <c r="E327" s="1127"/>
      <c r="F327" s="1127"/>
      <c r="G327" s="1127"/>
      <c r="H327" s="1127"/>
      <c r="I327" s="1127"/>
      <c r="J327" s="1127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1127"/>
      <c r="B328" s="1390"/>
      <c r="C328" s="1127"/>
      <c r="D328" s="1127"/>
      <c r="E328" s="1127"/>
      <c r="F328" s="1127"/>
      <c r="G328" s="1127"/>
      <c r="H328" s="1127"/>
      <c r="I328" s="1127"/>
      <c r="J328" s="1127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1127"/>
      <c r="B329" s="1390"/>
      <c r="C329" s="1127"/>
      <c r="D329" s="1127"/>
      <c r="E329" s="1127"/>
      <c r="F329" s="1127"/>
      <c r="G329" s="1127"/>
      <c r="H329" s="1127"/>
      <c r="I329" s="1127"/>
      <c r="J329" s="1127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1127"/>
      <c r="B330" s="1390"/>
      <c r="C330" s="1127"/>
      <c r="D330" s="1127"/>
      <c r="E330" s="1127"/>
      <c r="F330" s="1127"/>
      <c r="G330" s="1127"/>
      <c r="H330" s="1127"/>
      <c r="I330" s="1127"/>
      <c r="J330" s="1127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1127"/>
      <c r="B331" s="1390"/>
      <c r="C331" s="1127"/>
      <c r="D331" s="1127"/>
      <c r="E331" s="1127"/>
      <c r="F331" s="1127"/>
      <c r="G331" s="1127"/>
      <c r="H331" s="1127"/>
      <c r="I331" s="1127"/>
      <c r="J331" s="1127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1127"/>
      <c r="B332" s="1390"/>
      <c r="C332" s="1127"/>
      <c r="D332" s="1127"/>
      <c r="E332" s="1127"/>
      <c r="F332" s="1127"/>
      <c r="G332" s="1127"/>
      <c r="H332" s="1127"/>
      <c r="I332" s="1127"/>
      <c r="J332" s="1127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1127"/>
      <c r="B333" s="1390"/>
      <c r="C333" s="1127"/>
      <c r="D333" s="1127"/>
      <c r="E333" s="1127"/>
      <c r="F333" s="1127"/>
      <c r="G333" s="1127"/>
      <c r="H333" s="1127"/>
      <c r="I333" s="1127"/>
      <c r="J333" s="1127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1127"/>
      <c r="B334" s="1390"/>
      <c r="C334" s="1127"/>
      <c r="D334" s="1127"/>
      <c r="E334" s="1127"/>
      <c r="F334" s="1127"/>
      <c r="G334" s="1127"/>
      <c r="H334" s="1127"/>
      <c r="I334" s="1127"/>
      <c r="J334" s="1127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1127"/>
      <c r="B335" s="1390"/>
      <c r="C335" s="1127"/>
      <c r="D335" s="1127"/>
      <c r="E335" s="1127"/>
      <c r="F335" s="1127"/>
      <c r="G335" s="1127"/>
      <c r="H335" s="1127"/>
      <c r="I335" s="1127"/>
      <c r="J335" s="1127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1127"/>
      <c r="B336" s="1390"/>
      <c r="C336" s="1127"/>
      <c r="D336" s="1127"/>
      <c r="E336" s="1127"/>
      <c r="F336" s="1127"/>
      <c r="G336" s="1127"/>
      <c r="H336" s="1127"/>
      <c r="I336" s="1127"/>
      <c r="J336" s="1127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1127"/>
      <c r="B337" s="1390"/>
      <c r="C337" s="1127"/>
      <c r="D337" s="1127"/>
      <c r="E337" s="1127"/>
      <c r="F337" s="1127"/>
      <c r="G337" s="1127"/>
      <c r="H337" s="1127"/>
      <c r="I337" s="1127"/>
      <c r="J337" s="1127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1127"/>
      <c r="B338" s="1390"/>
      <c r="C338" s="1127"/>
      <c r="D338" s="1127"/>
      <c r="E338" s="1127"/>
      <c r="F338" s="1127"/>
      <c r="G338" s="1127"/>
      <c r="H338" s="1127"/>
      <c r="I338" s="1127"/>
      <c r="J338" s="1127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1127"/>
      <c r="B339" s="1390"/>
      <c r="C339" s="1127"/>
      <c r="D339" s="1127"/>
      <c r="E339" s="1127"/>
      <c r="F339" s="1127"/>
      <c r="G339" s="1127"/>
      <c r="H339" s="1127"/>
      <c r="I339" s="1127"/>
      <c r="J339" s="1127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1127"/>
      <c r="B340" s="1390"/>
      <c r="C340" s="1127"/>
      <c r="D340" s="1127"/>
      <c r="E340" s="1127"/>
      <c r="F340" s="1127"/>
      <c r="G340" s="1127"/>
      <c r="H340" s="1127"/>
      <c r="I340" s="1127"/>
      <c r="J340" s="1127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1127"/>
      <c r="B341" s="1390"/>
      <c r="C341" s="1127"/>
      <c r="D341" s="1127"/>
      <c r="E341" s="1127"/>
      <c r="F341" s="1127"/>
      <c r="G341" s="1127"/>
      <c r="H341" s="1127"/>
      <c r="I341" s="1127"/>
      <c r="J341" s="1127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1127"/>
      <c r="B342" s="1390"/>
      <c r="C342" s="1127"/>
      <c r="D342" s="1127"/>
      <c r="E342" s="1127"/>
      <c r="F342" s="1127"/>
      <c r="G342" s="1127"/>
      <c r="H342" s="1127"/>
      <c r="I342" s="1127"/>
      <c r="J342" s="1127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1127"/>
      <c r="B343" s="1390"/>
      <c r="C343" s="1127"/>
      <c r="D343" s="1127"/>
      <c r="E343" s="1127"/>
      <c r="F343" s="1127"/>
      <c r="G343" s="1127"/>
      <c r="H343" s="1127"/>
      <c r="I343" s="1127"/>
      <c r="J343" s="1127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1127"/>
      <c r="B344" s="1390"/>
      <c r="C344" s="1127"/>
      <c r="D344" s="1127"/>
      <c r="E344" s="1127"/>
      <c r="F344" s="1127"/>
      <c r="G344" s="1127"/>
      <c r="H344" s="1127"/>
      <c r="I344" s="1127"/>
      <c r="J344" s="1127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1127"/>
      <c r="B345" s="1390"/>
      <c r="C345" s="1127"/>
      <c r="D345" s="1127"/>
      <c r="E345" s="1127"/>
      <c r="F345" s="1127"/>
      <c r="G345" s="1127"/>
      <c r="H345" s="1127"/>
      <c r="I345" s="1127"/>
      <c r="J345" s="1127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1127"/>
      <c r="B346" s="1390"/>
      <c r="C346" s="1127"/>
      <c r="D346" s="1127"/>
      <c r="E346" s="1127"/>
      <c r="F346" s="1127"/>
      <c r="G346" s="1127"/>
      <c r="H346" s="1127"/>
      <c r="I346" s="1127"/>
      <c r="J346" s="1127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1127"/>
      <c r="B347" s="1390"/>
      <c r="C347" s="1127"/>
      <c r="D347" s="1127"/>
      <c r="E347" s="1127"/>
      <c r="F347" s="1127"/>
      <c r="G347" s="1127"/>
      <c r="H347" s="1127"/>
      <c r="I347" s="1127"/>
      <c r="J347" s="1127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1127"/>
      <c r="B348" s="1390"/>
      <c r="C348" s="1127"/>
      <c r="D348" s="1127"/>
      <c r="E348" s="1127"/>
      <c r="F348" s="1127"/>
      <c r="G348" s="1127"/>
      <c r="H348" s="1127"/>
      <c r="I348" s="1127"/>
      <c r="J348" s="1127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1127"/>
      <c r="B349" s="1390"/>
      <c r="C349" s="1127"/>
      <c r="D349" s="1127"/>
      <c r="E349" s="1127"/>
      <c r="F349" s="1127"/>
      <c r="G349" s="1127"/>
      <c r="H349" s="1127"/>
      <c r="I349" s="1127"/>
      <c r="J349" s="1127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1127"/>
      <c r="B350" s="1390"/>
      <c r="C350" s="1127"/>
      <c r="D350" s="1127"/>
      <c r="E350" s="1127"/>
      <c r="F350" s="1127"/>
      <c r="G350" s="1127"/>
      <c r="H350" s="1127"/>
      <c r="I350" s="1127"/>
      <c r="J350" s="1127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1127"/>
      <c r="B351" s="1390"/>
      <c r="C351" s="1127"/>
      <c r="D351" s="1127"/>
      <c r="E351" s="1127"/>
      <c r="F351" s="1127"/>
      <c r="G351" s="1127"/>
      <c r="H351" s="1127"/>
      <c r="I351" s="1127"/>
      <c r="J351" s="1127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1127"/>
      <c r="B352" s="1390"/>
      <c r="C352" s="1127"/>
      <c r="D352" s="1127"/>
      <c r="E352" s="1127"/>
      <c r="F352" s="1127"/>
      <c r="G352" s="1127"/>
      <c r="H352" s="1127"/>
      <c r="I352" s="1127"/>
      <c r="J352" s="1127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1127"/>
      <c r="B353" s="1390"/>
      <c r="C353" s="1127"/>
      <c r="D353" s="1127"/>
      <c r="E353" s="1127"/>
      <c r="F353" s="1127"/>
      <c r="G353" s="1127"/>
      <c r="H353" s="1127"/>
      <c r="I353" s="1127"/>
      <c r="J353" s="1127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1127"/>
      <c r="B354" s="1390"/>
      <c r="C354" s="1127"/>
      <c r="D354" s="1127"/>
      <c r="E354" s="1127"/>
      <c r="F354" s="1127"/>
      <c r="G354" s="1127"/>
      <c r="H354" s="1127"/>
      <c r="I354" s="1127"/>
      <c r="J354" s="1127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1127"/>
      <c r="B355" s="1390"/>
      <c r="C355" s="1127"/>
      <c r="D355" s="1127"/>
      <c r="E355" s="1127"/>
      <c r="F355" s="1127"/>
      <c r="G355" s="1127"/>
      <c r="H355" s="1127"/>
      <c r="I355" s="1127"/>
      <c r="J355" s="1127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1127"/>
      <c r="B356" s="1390"/>
      <c r="C356" s="1127"/>
      <c r="D356" s="1127"/>
      <c r="E356" s="1127"/>
      <c r="F356" s="1127"/>
      <c r="G356" s="1127"/>
      <c r="H356" s="1127"/>
      <c r="I356" s="1127"/>
      <c r="J356" s="1127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1127"/>
      <c r="B357" s="1390"/>
      <c r="C357" s="1127"/>
      <c r="D357" s="1127"/>
      <c r="E357" s="1127"/>
      <c r="F357" s="1127"/>
      <c r="G357" s="1127"/>
      <c r="H357" s="1127"/>
      <c r="I357" s="1127"/>
      <c r="J357" s="1127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1127"/>
      <c r="B358" s="1390"/>
      <c r="C358" s="1127"/>
      <c r="D358" s="1127"/>
      <c r="E358" s="1127"/>
      <c r="F358" s="1127"/>
      <c r="G358" s="1127"/>
      <c r="H358" s="1127"/>
      <c r="I358" s="1127"/>
      <c r="J358" s="1127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1127"/>
      <c r="B359" s="1390"/>
      <c r="C359" s="1127"/>
      <c r="D359" s="1127"/>
      <c r="E359" s="1127"/>
      <c r="F359" s="1127"/>
      <c r="G359" s="1127"/>
      <c r="H359" s="1127"/>
      <c r="I359" s="1127"/>
      <c r="J359" s="1127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1127"/>
      <c r="B360" s="1390"/>
      <c r="C360" s="1127"/>
      <c r="D360" s="1127"/>
      <c r="E360" s="1127"/>
      <c r="F360" s="1127"/>
      <c r="G360" s="1127"/>
      <c r="H360" s="1127"/>
      <c r="I360" s="1127"/>
      <c r="J360" s="1127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1127"/>
      <c r="B361" s="1390"/>
      <c r="C361" s="1127"/>
      <c r="D361" s="1127"/>
      <c r="E361" s="1127"/>
      <c r="F361" s="1127"/>
      <c r="G361" s="1127"/>
      <c r="H361" s="1127"/>
      <c r="I361" s="1127"/>
      <c r="J361" s="1127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1127"/>
      <c r="B362" s="1390"/>
      <c r="C362" s="1127"/>
      <c r="D362" s="1127"/>
      <c r="E362" s="1127"/>
      <c r="F362" s="1127"/>
      <c r="G362" s="1127"/>
      <c r="H362" s="1127"/>
      <c r="I362" s="1127"/>
      <c r="J362" s="1127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1127"/>
      <c r="B363" s="1390"/>
      <c r="C363" s="1127"/>
      <c r="D363" s="1127"/>
      <c r="E363" s="1127"/>
      <c r="F363" s="1127"/>
      <c r="G363" s="1127"/>
      <c r="H363" s="1127"/>
      <c r="I363" s="1127"/>
      <c r="J363" s="1127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1127"/>
      <c r="B364" s="1390"/>
      <c r="C364" s="1127"/>
      <c r="D364" s="1127"/>
      <c r="E364" s="1127"/>
      <c r="F364" s="1127"/>
      <c r="G364" s="1127"/>
      <c r="H364" s="1127"/>
      <c r="I364" s="1127"/>
      <c r="J364" s="1127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1127"/>
      <c r="B365" s="1390"/>
      <c r="C365" s="1127"/>
      <c r="D365" s="1127"/>
      <c r="E365" s="1127"/>
      <c r="F365" s="1127"/>
      <c r="G365" s="1127"/>
      <c r="H365" s="1127"/>
      <c r="I365" s="1127"/>
      <c r="J365" s="1127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1127"/>
      <c r="B366" s="1390"/>
      <c r="C366" s="1127"/>
      <c r="D366" s="1127"/>
      <c r="E366" s="1127"/>
      <c r="F366" s="1127"/>
      <c r="G366" s="1127"/>
      <c r="H366" s="1127"/>
      <c r="I366" s="1127"/>
      <c r="J366" s="1127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1127"/>
      <c r="B367" s="1390"/>
      <c r="C367" s="1127"/>
      <c r="D367" s="1127"/>
      <c r="E367" s="1127"/>
      <c r="F367" s="1127"/>
      <c r="G367" s="1127"/>
      <c r="H367" s="1127"/>
      <c r="I367" s="1127"/>
      <c r="J367" s="1127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1127"/>
      <c r="B368" s="1390"/>
      <c r="C368" s="1127"/>
      <c r="D368" s="1127"/>
      <c r="E368" s="1127"/>
      <c r="F368" s="1127"/>
      <c r="G368" s="1127"/>
      <c r="H368" s="1127"/>
      <c r="I368" s="1127"/>
      <c r="J368" s="1127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1127"/>
      <c r="B369" s="1390"/>
      <c r="C369" s="1127"/>
      <c r="D369" s="1127"/>
      <c r="E369" s="1127"/>
      <c r="F369" s="1127"/>
      <c r="G369" s="1127"/>
      <c r="H369" s="1127"/>
      <c r="I369" s="1127"/>
      <c r="J369" s="1127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1127"/>
      <c r="B370" s="1390"/>
      <c r="C370" s="1127"/>
      <c r="D370" s="1127"/>
      <c r="E370" s="1127"/>
      <c r="F370" s="1127"/>
      <c r="G370" s="1127"/>
      <c r="H370" s="1127"/>
      <c r="I370" s="1127"/>
      <c r="J370" s="1127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1127"/>
      <c r="B371" s="1390"/>
      <c r="C371" s="1127"/>
      <c r="D371" s="1127"/>
      <c r="E371" s="1127"/>
      <c r="F371" s="1127"/>
      <c r="G371" s="1127"/>
      <c r="H371" s="1127"/>
      <c r="I371" s="1127"/>
      <c r="J371" s="1127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1127"/>
      <c r="B372" s="1390"/>
      <c r="C372" s="1127"/>
      <c r="D372" s="1127"/>
      <c r="E372" s="1127"/>
      <c r="F372" s="1127"/>
      <c r="G372" s="1127"/>
      <c r="H372" s="1127"/>
      <c r="I372" s="1127"/>
      <c r="J372" s="1127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1127"/>
      <c r="B373" s="1390"/>
      <c r="C373" s="1127"/>
      <c r="D373" s="1127"/>
      <c r="E373" s="1127"/>
      <c r="F373" s="1127"/>
      <c r="G373" s="1127"/>
      <c r="H373" s="1127"/>
      <c r="I373" s="1127"/>
      <c r="J373" s="1127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1127"/>
      <c r="B374" s="1390"/>
      <c r="C374" s="1127"/>
      <c r="D374" s="1127"/>
      <c r="E374" s="1127"/>
      <c r="F374" s="1127"/>
      <c r="G374" s="1127"/>
      <c r="H374" s="1127"/>
      <c r="I374" s="1127"/>
      <c r="J374" s="1127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1127"/>
      <c r="B375" s="1390"/>
      <c r="C375" s="1127"/>
      <c r="D375" s="1127"/>
      <c r="E375" s="1127"/>
      <c r="F375" s="1127"/>
      <c r="G375" s="1127"/>
      <c r="H375" s="1127"/>
      <c r="I375" s="1127"/>
      <c r="J375" s="1127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1127"/>
      <c r="B376" s="1390"/>
      <c r="C376" s="1127"/>
      <c r="D376" s="1127"/>
      <c r="E376" s="1127"/>
      <c r="F376" s="1127"/>
      <c r="G376" s="1127"/>
      <c r="H376" s="1127"/>
      <c r="I376" s="1127"/>
      <c r="J376" s="1127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1127"/>
      <c r="B377" s="1390"/>
      <c r="C377" s="1127"/>
      <c r="D377" s="1127"/>
      <c r="E377" s="1127"/>
      <c r="F377" s="1127"/>
      <c r="G377" s="1127"/>
      <c r="H377" s="1127"/>
      <c r="I377" s="1127"/>
      <c r="J377" s="1127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1127"/>
      <c r="B378" s="1390"/>
      <c r="C378" s="1127"/>
      <c r="D378" s="1127"/>
      <c r="E378" s="1127"/>
      <c r="F378" s="1127"/>
      <c r="G378" s="1127"/>
      <c r="H378" s="1127"/>
      <c r="I378" s="1127"/>
      <c r="J378" s="1127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1127"/>
      <c r="B379" s="1390"/>
      <c r="C379" s="1127"/>
      <c r="D379" s="1127"/>
      <c r="E379" s="1127"/>
      <c r="F379" s="1127"/>
      <c r="G379" s="1127"/>
      <c r="H379" s="1127"/>
      <c r="I379" s="1127"/>
      <c r="J379" s="1127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1127"/>
      <c r="B380" s="1390"/>
      <c r="C380" s="1127"/>
      <c r="D380" s="1127"/>
      <c r="E380" s="1127"/>
      <c r="F380" s="1127"/>
      <c r="G380" s="1127"/>
      <c r="H380" s="1127"/>
      <c r="I380" s="1127"/>
      <c r="J380" s="1127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1127"/>
      <c r="B381" s="1390"/>
      <c r="C381" s="1127"/>
      <c r="D381" s="1127"/>
      <c r="E381" s="1127"/>
      <c r="F381" s="1127"/>
      <c r="G381" s="1127"/>
      <c r="H381" s="1127"/>
      <c r="I381" s="1127"/>
      <c r="J381" s="1127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1127"/>
      <c r="B382" s="1390"/>
      <c r="C382" s="1127"/>
      <c r="D382" s="1127"/>
      <c r="E382" s="1127"/>
      <c r="F382" s="1127"/>
      <c r="G382" s="1127"/>
      <c r="H382" s="1127"/>
      <c r="I382" s="1127"/>
      <c r="J382" s="1127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1127"/>
      <c r="B383" s="1390"/>
      <c r="C383" s="1127"/>
      <c r="D383" s="1127"/>
      <c r="E383" s="1127"/>
      <c r="F383" s="1127"/>
      <c r="G383" s="1127"/>
      <c r="H383" s="1127"/>
      <c r="I383" s="1127"/>
      <c r="J383" s="1127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1127"/>
      <c r="B384" s="1390"/>
      <c r="C384" s="1127"/>
      <c r="D384" s="1127"/>
      <c r="E384" s="1127"/>
      <c r="F384" s="1127"/>
      <c r="G384" s="1127"/>
      <c r="H384" s="1127"/>
      <c r="I384" s="1127"/>
      <c r="J384" s="1127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1127"/>
      <c r="B385" s="1390"/>
      <c r="C385" s="1127"/>
      <c r="D385" s="1127"/>
      <c r="E385" s="1127"/>
      <c r="F385" s="1127"/>
      <c r="G385" s="1127"/>
      <c r="H385" s="1127"/>
      <c r="I385" s="1127"/>
      <c r="J385" s="1127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1127"/>
      <c r="B386" s="1390"/>
      <c r="C386" s="1127"/>
      <c r="D386" s="1127"/>
      <c r="E386" s="1127"/>
      <c r="F386" s="1127"/>
      <c r="G386" s="1127"/>
      <c r="H386" s="1127"/>
      <c r="I386" s="1127"/>
      <c r="J386" s="1127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1127"/>
      <c r="B387" s="1390"/>
      <c r="C387" s="1127"/>
      <c r="D387" s="1127"/>
      <c r="E387" s="1127"/>
      <c r="F387" s="1127"/>
      <c r="G387" s="1127"/>
      <c r="H387" s="1127"/>
      <c r="I387" s="1127"/>
      <c r="J387" s="1127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1127"/>
      <c r="B388" s="1390"/>
      <c r="C388" s="1127"/>
      <c r="D388" s="1127"/>
      <c r="E388" s="1127"/>
      <c r="F388" s="1127"/>
      <c r="G388" s="1127"/>
      <c r="H388" s="1127"/>
      <c r="I388" s="1127"/>
      <c r="J388" s="1127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1127"/>
      <c r="B389" s="1390"/>
      <c r="C389" s="1127"/>
      <c r="D389" s="1127"/>
      <c r="E389" s="1127"/>
      <c r="F389" s="1127"/>
      <c r="G389" s="1127"/>
      <c r="H389" s="1127"/>
      <c r="I389" s="1127"/>
      <c r="J389" s="1127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1127"/>
      <c r="B390" s="1390"/>
      <c r="C390" s="1127"/>
      <c r="D390" s="1127"/>
      <c r="E390" s="1127"/>
      <c r="F390" s="1127"/>
      <c r="G390" s="1127"/>
      <c r="H390" s="1127"/>
      <c r="I390" s="1127"/>
      <c r="J390" s="1127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1127"/>
      <c r="B391" s="1390"/>
      <c r="C391" s="1127"/>
      <c r="D391" s="1127"/>
      <c r="E391" s="1127"/>
      <c r="F391" s="1127"/>
      <c r="G391" s="1127"/>
      <c r="H391" s="1127"/>
      <c r="I391" s="1127"/>
      <c r="J391" s="1127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1127"/>
      <c r="B392" s="1390"/>
      <c r="C392" s="1127"/>
      <c r="D392" s="1127"/>
      <c r="E392" s="1127"/>
      <c r="F392" s="1127"/>
      <c r="G392" s="1127"/>
      <c r="H392" s="1127"/>
      <c r="I392" s="1127"/>
      <c r="J392" s="1127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1127"/>
      <c r="B393" s="1390"/>
      <c r="C393" s="1127"/>
      <c r="D393" s="1127"/>
      <c r="E393" s="1127"/>
      <c r="F393" s="1127"/>
      <c r="G393" s="1127"/>
      <c r="H393" s="1127"/>
      <c r="I393" s="1127"/>
      <c r="J393" s="1127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1127"/>
      <c r="B394" s="1390"/>
      <c r="C394" s="1127"/>
      <c r="D394" s="1127"/>
      <c r="E394" s="1127"/>
      <c r="F394" s="1127"/>
      <c r="G394" s="1127"/>
      <c r="H394" s="1127"/>
      <c r="I394" s="1127"/>
      <c r="J394" s="1127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1127"/>
      <c r="B395" s="1390"/>
      <c r="C395" s="1127"/>
      <c r="D395" s="1127"/>
      <c r="E395" s="1127"/>
      <c r="F395" s="1127"/>
      <c r="G395" s="1127"/>
      <c r="H395" s="1127"/>
      <c r="I395" s="1127"/>
      <c r="J395" s="1127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1127"/>
      <c r="B396" s="1390"/>
      <c r="C396" s="1127"/>
      <c r="D396" s="1127"/>
      <c r="E396" s="1127"/>
      <c r="F396" s="1127"/>
      <c r="G396" s="1127"/>
      <c r="H396" s="1127"/>
      <c r="I396" s="1127"/>
      <c r="J396" s="1127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1127"/>
      <c r="B397" s="1390"/>
      <c r="C397" s="1127"/>
      <c r="D397" s="1127"/>
      <c r="E397" s="1127"/>
      <c r="F397" s="1127"/>
      <c r="G397" s="1127"/>
      <c r="H397" s="1127"/>
      <c r="I397" s="1127"/>
      <c r="J397" s="1127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1127"/>
      <c r="B398" s="1390"/>
      <c r="C398" s="1127"/>
      <c r="D398" s="1127"/>
      <c r="E398" s="1127"/>
      <c r="F398" s="1127"/>
      <c r="G398" s="1127"/>
      <c r="H398" s="1127"/>
      <c r="I398" s="1127"/>
      <c r="J398" s="1127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1127"/>
      <c r="B399" s="1390"/>
      <c r="C399" s="1127"/>
      <c r="D399" s="1127"/>
      <c r="E399" s="1127"/>
      <c r="F399" s="1127"/>
      <c r="G399" s="1127"/>
      <c r="H399" s="1127"/>
      <c r="I399" s="1127"/>
      <c r="J399" s="1127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1127"/>
      <c r="B400" s="1390"/>
      <c r="C400" s="1127"/>
      <c r="D400" s="1127"/>
      <c r="E400" s="1127"/>
      <c r="F400" s="1127"/>
      <c r="G400" s="1127"/>
      <c r="H400" s="1127"/>
      <c r="I400" s="1127"/>
      <c r="J400" s="1127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1127"/>
      <c r="B401" s="1390"/>
      <c r="C401" s="1127"/>
      <c r="D401" s="1127"/>
      <c r="E401" s="1127"/>
      <c r="F401" s="1127"/>
      <c r="G401" s="1127"/>
      <c r="H401" s="1127"/>
      <c r="I401" s="1127"/>
      <c r="J401" s="1127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1127"/>
      <c r="B402" s="1390"/>
      <c r="C402" s="1127"/>
      <c r="D402" s="1127"/>
      <c r="E402" s="1127"/>
      <c r="F402" s="1127"/>
      <c r="G402" s="1127"/>
      <c r="H402" s="1127"/>
      <c r="I402" s="1127"/>
      <c r="J402" s="1127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1127"/>
      <c r="B403" s="1390"/>
      <c r="C403" s="1127"/>
      <c r="D403" s="1127"/>
      <c r="E403" s="1127"/>
      <c r="F403" s="1127"/>
      <c r="G403" s="1127"/>
      <c r="H403" s="1127"/>
      <c r="I403" s="1127"/>
      <c r="J403" s="1127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1127"/>
      <c r="B404" s="1390"/>
      <c r="C404" s="1127"/>
      <c r="D404" s="1127"/>
      <c r="E404" s="1127"/>
      <c r="F404" s="1127"/>
      <c r="G404" s="1127"/>
      <c r="H404" s="1127"/>
      <c r="I404" s="1127"/>
      <c r="J404" s="1127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1127"/>
      <c r="B405" s="1390"/>
      <c r="C405" s="1127"/>
      <c r="D405" s="1127"/>
      <c r="E405" s="1127"/>
      <c r="F405" s="1127"/>
      <c r="G405" s="1127"/>
      <c r="H405" s="1127"/>
      <c r="I405" s="1127"/>
      <c r="J405" s="1127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1127"/>
      <c r="B406" s="1390"/>
      <c r="C406" s="1127"/>
      <c r="D406" s="1127"/>
      <c r="E406" s="1127"/>
      <c r="F406" s="1127"/>
      <c r="G406" s="1127"/>
      <c r="H406" s="1127"/>
      <c r="I406" s="1127"/>
      <c r="J406" s="1127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1127"/>
      <c r="B407" s="1390"/>
      <c r="C407" s="1127"/>
      <c r="D407" s="1127"/>
      <c r="E407" s="1127"/>
      <c r="F407" s="1127"/>
      <c r="G407" s="1127"/>
      <c r="H407" s="1127"/>
      <c r="I407" s="1127"/>
      <c r="J407" s="1127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1127"/>
      <c r="B408" s="1390"/>
      <c r="C408" s="1127"/>
      <c r="D408" s="1127"/>
      <c r="E408" s="1127"/>
      <c r="F408" s="1127"/>
      <c r="G408" s="1127"/>
      <c r="H408" s="1127"/>
      <c r="I408" s="1127"/>
      <c r="J408" s="1127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1127"/>
      <c r="B409" s="1390"/>
      <c r="C409" s="1127"/>
      <c r="D409" s="1127"/>
      <c r="E409" s="1127"/>
      <c r="F409" s="1127"/>
      <c r="G409" s="1127"/>
      <c r="H409" s="1127"/>
      <c r="I409" s="1127"/>
      <c r="J409" s="1127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1127"/>
      <c r="B410" s="1390"/>
      <c r="C410" s="1127"/>
      <c r="D410" s="1127"/>
      <c r="E410" s="1127"/>
      <c r="F410" s="1127"/>
      <c r="G410" s="1127"/>
      <c r="H410" s="1127"/>
      <c r="I410" s="1127"/>
      <c r="J410" s="1127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1127"/>
      <c r="B411" s="1390"/>
      <c r="C411" s="1127"/>
      <c r="D411" s="1127"/>
      <c r="E411" s="1127"/>
      <c r="F411" s="1127"/>
      <c r="G411" s="1127"/>
      <c r="H411" s="1127"/>
      <c r="I411" s="1127"/>
      <c r="J411" s="1127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1127"/>
      <c r="B412" s="1390"/>
      <c r="C412" s="1127"/>
      <c r="D412" s="1127"/>
      <c r="E412" s="1127"/>
      <c r="F412" s="1127"/>
      <c r="G412" s="1127"/>
      <c r="H412" s="1127"/>
      <c r="I412" s="1127"/>
      <c r="J412" s="1127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1127"/>
      <c r="B413" s="1390"/>
      <c r="C413" s="1127"/>
      <c r="D413" s="1127"/>
      <c r="E413" s="1127"/>
      <c r="F413" s="1127"/>
      <c r="G413" s="1127"/>
      <c r="H413" s="1127"/>
      <c r="I413" s="1127"/>
      <c r="J413" s="1127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1127"/>
      <c r="B414" s="1390"/>
      <c r="C414" s="1127"/>
      <c r="D414" s="1127"/>
      <c r="E414" s="1127"/>
      <c r="F414" s="1127"/>
      <c r="G414" s="1127"/>
      <c r="H414" s="1127"/>
      <c r="I414" s="1127"/>
      <c r="J414" s="1127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1127"/>
      <c r="B415" s="1390"/>
      <c r="C415" s="1127"/>
      <c r="D415" s="1127"/>
      <c r="E415" s="1127"/>
      <c r="F415" s="1127"/>
      <c r="G415" s="1127"/>
      <c r="H415" s="1127"/>
      <c r="I415" s="1127"/>
      <c r="J415" s="1127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1127"/>
      <c r="B416" s="1390"/>
      <c r="C416" s="1127"/>
      <c r="D416" s="1127"/>
      <c r="E416" s="1127"/>
      <c r="F416" s="1127"/>
      <c r="G416" s="1127"/>
      <c r="H416" s="1127"/>
      <c r="I416" s="1127"/>
      <c r="J416" s="1127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1127"/>
      <c r="B417" s="1390"/>
      <c r="C417" s="1127"/>
      <c r="D417" s="1127"/>
      <c r="E417" s="1127"/>
      <c r="F417" s="1127"/>
      <c r="G417" s="1127"/>
      <c r="H417" s="1127"/>
      <c r="I417" s="1127"/>
      <c r="J417" s="1127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1127"/>
      <c r="B418" s="1390"/>
      <c r="C418" s="1127"/>
      <c r="D418" s="1127"/>
      <c r="E418" s="1127"/>
      <c r="F418" s="1127"/>
      <c r="G418" s="1127"/>
      <c r="H418" s="1127"/>
      <c r="I418" s="1127"/>
      <c r="J418" s="1127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1127"/>
      <c r="B419" s="1390"/>
      <c r="C419" s="1127"/>
      <c r="D419" s="1127"/>
      <c r="E419" s="1127"/>
      <c r="F419" s="1127"/>
      <c r="G419" s="1127"/>
      <c r="H419" s="1127"/>
      <c r="I419" s="1127"/>
      <c r="J419" s="1127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1127"/>
      <c r="B420" s="1390"/>
      <c r="C420" s="1127"/>
      <c r="D420" s="1127"/>
      <c r="E420" s="1127"/>
      <c r="F420" s="1127"/>
      <c r="G420" s="1127"/>
      <c r="H420" s="1127"/>
      <c r="I420" s="1127"/>
      <c r="J420" s="1127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1127"/>
      <c r="B421" s="1390"/>
      <c r="C421" s="1127"/>
      <c r="D421" s="1127"/>
      <c r="E421" s="1127"/>
      <c r="F421" s="1127"/>
      <c r="G421" s="1127"/>
      <c r="H421" s="1127"/>
      <c r="I421" s="1127"/>
      <c r="J421" s="1127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1127"/>
      <c r="B422" s="1390"/>
      <c r="C422" s="1127"/>
      <c r="D422" s="1127"/>
      <c r="E422" s="1127"/>
      <c r="F422" s="1127"/>
      <c r="G422" s="1127"/>
      <c r="H422" s="1127"/>
      <c r="I422" s="1127"/>
      <c r="J422" s="1127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1127"/>
      <c r="B423" s="1390"/>
      <c r="C423" s="1127"/>
      <c r="D423" s="1127"/>
      <c r="E423" s="1127"/>
      <c r="F423" s="1127"/>
      <c r="G423" s="1127"/>
      <c r="H423" s="1127"/>
      <c r="I423" s="1127"/>
      <c r="J423" s="1127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1127"/>
      <c r="B424" s="1390"/>
      <c r="C424" s="1127"/>
      <c r="D424" s="1127"/>
      <c r="E424" s="1127"/>
      <c r="F424" s="1127"/>
      <c r="G424" s="1127"/>
      <c r="H424" s="1127"/>
      <c r="I424" s="1127"/>
      <c r="J424" s="1127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1127"/>
      <c r="B425" s="1390"/>
      <c r="C425" s="1127"/>
      <c r="D425" s="1127"/>
      <c r="E425" s="1127"/>
      <c r="F425" s="1127"/>
      <c r="G425" s="1127"/>
      <c r="H425" s="1127"/>
      <c r="I425" s="1127"/>
      <c r="J425" s="1127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1127"/>
      <c r="B426" s="1390"/>
      <c r="C426" s="1127"/>
      <c r="D426" s="1127"/>
      <c r="E426" s="1127"/>
      <c r="F426" s="1127"/>
      <c r="G426" s="1127"/>
      <c r="H426" s="1127"/>
      <c r="I426" s="1127"/>
      <c r="J426" s="1127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1127"/>
      <c r="B427" s="1390"/>
      <c r="C427" s="1127"/>
      <c r="D427" s="1127"/>
      <c r="E427" s="1127"/>
      <c r="F427" s="1127"/>
      <c r="G427" s="1127"/>
      <c r="H427" s="1127"/>
      <c r="I427" s="1127"/>
      <c r="J427" s="1127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1127"/>
      <c r="B428" s="1390"/>
      <c r="C428" s="1127"/>
      <c r="D428" s="1127"/>
      <c r="E428" s="1127"/>
      <c r="F428" s="1127"/>
      <c r="G428" s="1127"/>
      <c r="H428" s="1127"/>
      <c r="I428" s="1127"/>
      <c r="J428" s="1127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1127"/>
      <c r="B429" s="1390"/>
      <c r="C429" s="1127"/>
      <c r="D429" s="1127"/>
      <c r="E429" s="1127"/>
      <c r="F429" s="1127"/>
      <c r="G429" s="1127"/>
      <c r="H429" s="1127"/>
      <c r="I429" s="1127"/>
      <c r="J429" s="1127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1127"/>
      <c r="B430" s="1390"/>
      <c r="C430" s="1127"/>
      <c r="D430" s="1127"/>
      <c r="E430" s="1127"/>
      <c r="F430" s="1127"/>
      <c r="G430" s="1127"/>
      <c r="H430" s="1127"/>
      <c r="I430" s="1127"/>
      <c r="J430" s="1127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1127"/>
      <c r="B431" s="1390"/>
      <c r="C431" s="1127"/>
      <c r="D431" s="1127"/>
      <c r="E431" s="1127"/>
      <c r="F431" s="1127"/>
      <c r="G431" s="1127"/>
      <c r="H431" s="1127"/>
      <c r="I431" s="1127"/>
      <c r="J431" s="1127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1127"/>
      <c r="B432" s="1390"/>
      <c r="C432" s="1127"/>
      <c r="D432" s="1127"/>
      <c r="E432" s="1127"/>
      <c r="F432" s="1127"/>
      <c r="G432" s="1127"/>
      <c r="H432" s="1127"/>
      <c r="I432" s="1127"/>
      <c r="J432" s="1127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1127"/>
      <c r="B433" s="1390"/>
      <c r="C433" s="1127"/>
      <c r="D433" s="1127"/>
      <c r="E433" s="1127"/>
      <c r="F433" s="1127"/>
      <c r="G433" s="1127"/>
      <c r="H433" s="1127"/>
      <c r="I433" s="1127"/>
      <c r="J433" s="1127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1127"/>
      <c r="B434" s="1390"/>
      <c r="C434" s="1127"/>
      <c r="D434" s="1127"/>
      <c r="E434" s="1127"/>
      <c r="F434" s="1127"/>
      <c r="G434" s="1127"/>
      <c r="H434" s="1127"/>
      <c r="I434" s="1127"/>
      <c r="J434" s="1127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1127"/>
      <c r="B435" s="1390"/>
      <c r="C435" s="1127"/>
      <c r="D435" s="1127"/>
      <c r="E435" s="1127"/>
      <c r="F435" s="1127"/>
      <c r="G435" s="1127"/>
      <c r="H435" s="1127"/>
      <c r="I435" s="1127"/>
      <c r="J435" s="1127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1127"/>
      <c r="B436" s="1390"/>
      <c r="C436" s="1127"/>
      <c r="D436" s="1127"/>
      <c r="E436" s="1127"/>
      <c r="F436" s="1127"/>
      <c r="G436" s="1127"/>
      <c r="H436" s="1127"/>
      <c r="I436" s="1127"/>
      <c r="J436" s="1127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1127"/>
      <c r="B437" s="1390"/>
      <c r="C437" s="1127"/>
      <c r="D437" s="1127"/>
      <c r="E437" s="1127"/>
      <c r="F437" s="1127"/>
      <c r="G437" s="1127"/>
      <c r="H437" s="1127"/>
      <c r="I437" s="1127"/>
      <c r="J437" s="1127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1127"/>
      <c r="B438" s="1390"/>
      <c r="C438" s="1127"/>
      <c r="D438" s="1127"/>
      <c r="E438" s="1127"/>
      <c r="F438" s="1127"/>
      <c r="G438" s="1127"/>
      <c r="H438" s="1127"/>
      <c r="I438" s="1127"/>
      <c r="J438" s="1127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1127"/>
      <c r="B439" s="1390"/>
      <c r="C439" s="1127"/>
      <c r="D439" s="1127"/>
      <c r="E439" s="1127"/>
      <c r="F439" s="1127"/>
      <c r="G439" s="1127"/>
      <c r="H439" s="1127"/>
      <c r="I439" s="1127"/>
      <c r="J439" s="1127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1127"/>
      <c r="B440" s="1390"/>
      <c r="C440" s="1127"/>
      <c r="D440" s="1127"/>
      <c r="E440" s="1127"/>
      <c r="F440" s="1127"/>
      <c r="G440" s="1127"/>
      <c r="H440" s="1127"/>
      <c r="I440" s="1127"/>
      <c r="J440" s="1127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1127"/>
      <c r="B441" s="1390"/>
      <c r="C441" s="1127"/>
      <c r="D441" s="1127"/>
      <c r="E441" s="1127"/>
      <c r="F441" s="1127"/>
      <c r="G441" s="1127"/>
      <c r="H441" s="1127"/>
      <c r="I441" s="1127"/>
      <c r="J441" s="1127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1127"/>
      <c r="B442" s="1390"/>
      <c r="C442" s="1127"/>
      <c r="D442" s="1127"/>
      <c r="E442" s="1127"/>
      <c r="F442" s="1127"/>
      <c r="G442" s="1127"/>
      <c r="H442" s="1127"/>
      <c r="I442" s="1127"/>
      <c r="J442" s="1127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1127"/>
      <c r="B443" s="1390"/>
      <c r="C443" s="1127"/>
      <c r="D443" s="1127"/>
      <c r="E443" s="1127"/>
      <c r="F443" s="1127"/>
      <c r="G443" s="1127"/>
      <c r="H443" s="1127"/>
      <c r="I443" s="1127"/>
      <c r="J443" s="1127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1127"/>
      <c r="B444" s="1390"/>
      <c r="C444" s="1127"/>
      <c r="D444" s="1127"/>
      <c r="E444" s="1127"/>
      <c r="F444" s="1127"/>
      <c r="G444" s="1127"/>
      <c r="H444" s="1127"/>
      <c r="I444" s="1127"/>
      <c r="J444" s="1127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1127"/>
      <c r="B445" s="1390"/>
      <c r="C445" s="1127"/>
      <c r="D445" s="1127"/>
      <c r="E445" s="1127"/>
      <c r="F445" s="1127"/>
      <c r="G445" s="1127"/>
      <c r="H445" s="1127"/>
      <c r="I445" s="1127"/>
      <c r="J445" s="1127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1127"/>
      <c r="B446" s="1390"/>
      <c r="C446" s="1127"/>
      <c r="D446" s="1127"/>
      <c r="E446" s="1127"/>
      <c r="F446" s="1127"/>
      <c r="G446" s="1127"/>
      <c r="H446" s="1127"/>
      <c r="I446" s="1127"/>
      <c r="J446" s="1127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1127"/>
      <c r="B447" s="1390"/>
      <c r="C447" s="1127"/>
      <c r="D447" s="1127"/>
      <c r="E447" s="1127"/>
      <c r="F447" s="1127"/>
      <c r="G447" s="1127"/>
      <c r="H447" s="1127"/>
      <c r="I447" s="1127"/>
      <c r="J447" s="1127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1127"/>
      <c r="B448" s="1390"/>
      <c r="C448" s="1127"/>
      <c r="D448" s="1127"/>
      <c r="E448" s="1127"/>
      <c r="F448" s="1127"/>
      <c r="G448" s="1127"/>
      <c r="H448" s="1127"/>
      <c r="I448" s="1127"/>
      <c r="J448" s="1127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1127"/>
      <c r="B449" s="1390"/>
      <c r="C449" s="1127"/>
      <c r="D449" s="1127"/>
      <c r="E449" s="1127"/>
      <c r="F449" s="1127"/>
      <c r="G449" s="1127"/>
      <c r="H449" s="1127"/>
      <c r="I449" s="1127"/>
      <c r="J449" s="1127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1127"/>
      <c r="B450" s="1390"/>
      <c r="C450" s="1127"/>
      <c r="D450" s="1127"/>
      <c r="E450" s="1127"/>
      <c r="F450" s="1127"/>
      <c r="G450" s="1127"/>
      <c r="H450" s="1127"/>
      <c r="I450" s="1127"/>
      <c r="J450" s="1127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1127"/>
      <c r="B451" s="1390"/>
      <c r="C451" s="1127"/>
      <c r="D451" s="1127"/>
      <c r="E451" s="1127"/>
      <c r="F451" s="1127"/>
      <c r="G451" s="1127"/>
      <c r="H451" s="1127"/>
      <c r="I451" s="1127"/>
      <c r="J451" s="1127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1127"/>
      <c r="B452" s="1390"/>
      <c r="C452" s="1127"/>
      <c r="D452" s="1127"/>
      <c r="E452" s="1127"/>
      <c r="F452" s="1127"/>
      <c r="G452" s="1127"/>
      <c r="H452" s="1127"/>
      <c r="I452" s="1127"/>
      <c r="J452" s="1127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1127"/>
      <c r="B453" s="1390"/>
      <c r="C453" s="1127"/>
      <c r="D453" s="1127"/>
      <c r="E453" s="1127"/>
      <c r="F453" s="1127"/>
      <c r="G453" s="1127"/>
      <c r="H453" s="1127"/>
      <c r="I453" s="1127"/>
      <c r="J453" s="1127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1127"/>
      <c r="B454" s="1390"/>
      <c r="C454" s="1127"/>
      <c r="D454" s="1127"/>
      <c r="E454" s="1127"/>
      <c r="F454" s="1127"/>
      <c r="G454" s="1127"/>
      <c r="H454" s="1127"/>
      <c r="I454" s="1127"/>
      <c r="J454" s="1127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1127"/>
      <c r="B455" s="1390"/>
      <c r="C455" s="1127"/>
      <c r="D455" s="1127"/>
      <c r="E455" s="1127"/>
      <c r="F455" s="1127"/>
      <c r="G455" s="1127"/>
      <c r="H455" s="1127"/>
      <c r="I455" s="1127"/>
      <c r="J455" s="1127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1127"/>
      <c r="B456" s="1390"/>
      <c r="C456" s="1127"/>
      <c r="D456" s="1127"/>
      <c r="E456" s="1127"/>
      <c r="F456" s="1127"/>
      <c r="G456" s="1127"/>
      <c r="H456" s="1127"/>
      <c r="I456" s="1127"/>
      <c r="J456" s="1127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1127"/>
      <c r="B457" s="1390"/>
      <c r="C457" s="1127"/>
      <c r="D457" s="1127"/>
      <c r="E457" s="1127"/>
      <c r="F457" s="1127"/>
      <c r="G457" s="1127"/>
      <c r="H457" s="1127"/>
      <c r="I457" s="1127"/>
      <c r="J457" s="1127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1127"/>
      <c r="B458" s="1390"/>
      <c r="C458" s="1127"/>
      <c r="D458" s="1127"/>
      <c r="E458" s="1127"/>
      <c r="F458" s="1127"/>
      <c r="G458" s="1127"/>
      <c r="H458" s="1127"/>
      <c r="I458" s="1127"/>
      <c r="J458" s="1127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1127"/>
      <c r="B459" s="1390"/>
      <c r="C459" s="1127"/>
      <c r="D459" s="1127"/>
      <c r="E459" s="1127"/>
      <c r="F459" s="1127"/>
      <c r="G459" s="1127"/>
      <c r="H459" s="1127"/>
      <c r="I459" s="1127"/>
      <c r="J459" s="1127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1127"/>
      <c r="B460" s="1390"/>
      <c r="C460" s="1127"/>
      <c r="D460" s="1127"/>
      <c r="E460" s="1127"/>
      <c r="F460" s="1127"/>
      <c r="G460" s="1127"/>
      <c r="H460" s="1127"/>
      <c r="I460" s="1127"/>
      <c r="J460" s="1127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1127"/>
      <c r="B461" s="1390"/>
      <c r="C461" s="1127"/>
      <c r="D461" s="1127"/>
      <c r="E461" s="1127"/>
      <c r="F461" s="1127"/>
      <c r="G461" s="1127"/>
      <c r="H461" s="1127"/>
      <c r="I461" s="1127"/>
      <c r="J461" s="1127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1127"/>
      <c r="B462" s="1390"/>
      <c r="C462" s="1127"/>
      <c r="D462" s="1127"/>
      <c r="E462" s="1127"/>
      <c r="F462" s="1127"/>
      <c r="G462" s="1127"/>
      <c r="H462" s="1127"/>
      <c r="I462" s="1127"/>
      <c r="J462" s="1127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1127"/>
      <c r="B463" s="1390"/>
      <c r="C463" s="1127"/>
      <c r="D463" s="1127"/>
      <c r="E463" s="1127"/>
      <c r="F463" s="1127"/>
      <c r="G463" s="1127"/>
      <c r="H463" s="1127"/>
      <c r="I463" s="1127"/>
      <c r="J463" s="1127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1127"/>
      <c r="B464" s="1390"/>
      <c r="C464" s="1127"/>
      <c r="D464" s="1127"/>
      <c r="E464" s="1127"/>
      <c r="F464" s="1127"/>
      <c r="G464" s="1127"/>
      <c r="H464" s="1127"/>
      <c r="I464" s="1127"/>
      <c r="J464" s="1127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1127"/>
      <c r="B465" s="1390"/>
      <c r="C465" s="1127"/>
      <c r="D465" s="1127"/>
      <c r="E465" s="1127"/>
      <c r="F465" s="1127"/>
      <c r="G465" s="1127"/>
      <c r="H465" s="1127"/>
      <c r="I465" s="1127"/>
      <c r="J465" s="1127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1127"/>
      <c r="B466" s="1390"/>
      <c r="C466" s="1127"/>
      <c r="D466" s="1127"/>
      <c r="E466" s="1127"/>
      <c r="F466" s="1127"/>
      <c r="G466" s="1127"/>
      <c r="H466" s="1127"/>
      <c r="I466" s="1127"/>
      <c r="J466" s="1127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1127"/>
      <c r="B467" s="1390"/>
      <c r="C467" s="1127"/>
      <c r="D467" s="1127"/>
      <c r="E467" s="1127"/>
      <c r="F467" s="1127"/>
      <c r="G467" s="1127"/>
      <c r="H467" s="1127"/>
      <c r="I467" s="1127"/>
      <c r="J467" s="1127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1127"/>
      <c r="B468" s="1390"/>
      <c r="C468" s="1127"/>
      <c r="D468" s="1127"/>
      <c r="E468" s="1127"/>
      <c r="F468" s="1127"/>
      <c r="G468" s="1127"/>
      <c r="H468" s="1127"/>
      <c r="I468" s="1127"/>
      <c r="J468" s="1127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1127"/>
      <c r="B469" s="1390"/>
      <c r="C469" s="1127"/>
      <c r="D469" s="1127"/>
      <c r="E469" s="1127"/>
      <c r="F469" s="1127"/>
      <c r="G469" s="1127"/>
      <c r="H469" s="1127"/>
      <c r="I469" s="1127"/>
      <c r="J469" s="1127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1127"/>
      <c r="B470" s="1390"/>
      <c r="C470" s="1127"/>
      <c r="D470" s="1127"/>
      <c r="E470" s="1127"/>
      <c r="F470" s="1127"/>
      <c r="G470" s="1127"/>
      <c r="H470" s="1127"/>
      <c r="I470" s="1127"/>
      <c r="J470" s="1127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1127"/>
      <c r="B471" s="1390"/>
      <c r="C471" s="1127"/>
      <c r="D471" s="1127"/>
      <c r="E471" s="1127"/>
      <c r="F471" s="1127"/>
      <c r="G471" s="1127"/>
      <c r="H471" s="1127"/>
      <c r="I471" s="1127"/>
      <c r="J471" s="1127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1127"/>
      <c r="B472" s="1390"/>
      <c r="C472" s="1127"/>
      <c r="D472" s="1127"/>
      <c r="E472" s="1127"/>
      <c r="F472" s="1127"/>
      <c r="G472" s="1127"/>
      <c r="H472" s="1127"/>
      <c r="I472" s="1127"/>
      <c r="J472" s="1127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1127"/>
      <c r="B473" s="1390"/>
      <c r="C473" s="1127"/>
      <c r="D473" s="1127"/>
      <c r="E473" s="1127"/>
      <c r="F473" s="1127"/>
      <c r="G473" s="1127"/>
      <c r="H473" s="1127"/>
      <c r="I473" s="1127"/>
      <c r="J473" s="1127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1127"/>
      <c r="B474" s="1390"/>
      <c r="C474" s="1127"/>
      <c r="D474" s="1127"/>
      <c r="E474" s="1127"/>
      <c r="F474" s="1127"/>
      <c r="G474" s="1127"/>
      <c r="H474" s="1127"/>
      <c r="I474" s="1127"/>
      <c r="J474" s="1127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1127"/>
      <c r="B475" s="1390"/>
      <c r="C475" s="1127"/>
      <c r="D475" s="1127"/>
      <c r="E475" s="1127"/>
      <c r="F475" s="1127"/>
      <c r="G475" s="1127"/>
      <c r="H475" s="1127"/>
      <c r="I475" s="1127"/>
      <c r="J475" s="1127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1127"/>
      <c r="B476" s="1390"/>
      <c r="C476" s="1127"/>
      <c r="D476" s="1127"/>
      <c r="E476" s="1127"/>
      <c r="F476" s="1127"/>
      <c r="G476" s="1127"/>
      <c r="H476" s="1127"/>
      <c r="I476" s="1127"/>
      <c r="J476" s="1127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1127"/>
      <c r="B477" s="1390"/>
      <c r="C477" s="1127"/>
      <c r="D477" s="1127"/>
      <c r="E477" s="1127"/>
      <c r="F477" s="1127"/>
      <c r="G477" s="1127"/>
      <c r="H477" s="1127"/>
      <c r="I477" s="1127"/>
      <c r="J477" s="1127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1127"/>
      <c r="B478" s="1390"/>
      <c r="C478" s="1127"/>
      <c r="D478" s="1127"/>
      <c r="E478" s="1127"/>
      <c r="F478" s="1127"/>
      <c r="G478" s="1127"/>
      <c r="H478" s="1127"/>
      <c r="I478" s="1127"/>
      <c r="J478" s="1127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1127"/>
      <c r="B479" s="1390"/>
      <c r="C479" s="1127"/>
      <c r="D479" s="1127"/>
      <c r="E479" s="1127"/>
      <c r="F479" s="1127"/>
      <c r="G479" s="1127"/>
      <c r="H479" s="1127"/>
      <c r="I479" s="1127"/>
      <c r="J479" s="1127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1127"/>
      <c r="B480" s="1390"/>
      <c r="C480" s="1127"/>
      <c r="D480" s="1127"/>
      <c r="E480" s="1127"/>
      <c r="F480" s="1127"/>
      <c r="G480" s="1127"/>
      <c r="H480" s="1127"/>
      <c r="I480" s="1127"/>
      <c r="J480" s="1127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1127"/>
      <c r="B481" s="1390"/>
      <c r="C481" s="1127"/>
      <c r="D481" s="1127"/>
      <c r="E481" s="1127"/>
      <c r="F481" s="1127"/>
      <c r="G481" s="1127"/>
      <c r="H481" s="1127"/>
      <c r="I481" s="1127"/>
      <c r="J481" s="1127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1127"/>
      <c r="B482" s="1390"/>
      <c r="C482" s="1127"/>
      <c r="D482" s="1127"/>
      <c r="E482" s="1127"/>
      <c r="F482" s="1127"/>
      <c r="G482" s="1127"/>
      <c r="H482" s="1127"/>
      <c r="I482" s="1127"/>
      <c r="J482" s="1127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1127"/>
      <c r="B483" s="1390"/>
      <c r="C483" s="1127"/>
      <c r="D483" s="1127"/>
      <c r="E483" s="1127"/>
      <c r="F483" s="1127"/>
      <c r="G483" s="1127"/>
      <c r="H483" s="1127"/>
      <c r="I483" s="1127"/>
      <c r="J483" s="1127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1127"/>
      <c r="B484" s="1390"/>
      <c r="C484" s="1127"/>
      <c r="D484" s="1127"/>
      <c r="E484" s="1127"/>
      <c r="F484" s="1127"/>
      <c r="G484" s="1127"/>
      <c r="H484" s="1127"/>
      <c r="I484" s="1127"/>
      <c r="J484" s="1127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1127"/>
      <c r="B485" s="1390"/>
      <c r="C485" s="1127"/>
      <c r="D485" s="1127"/>
      <c r="E485" s="1127"/>
      <c r="F485" s="1127"/>
      <c r="G485" s="1127"/>
      <c r="H485" s="1127"/>
      <c r="I485" s="1127"/>
      <c r="J485" s="1127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1127"/>
      <c r="B486" s="1390"/>
      <c r="C486" s="1127"/>
      <c r="D486" s="1127"/>
      <c r="E486" s="1127"/>
      <c r="F486" s="1127"/>
      <c r="G486" s="1127"/>
      <c r="H486" s="1127"/>
      <c r="I486" s="1127"/>
      <c r="J486" s="1127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1127"/>
      <c r="B487" s="1390"/>
      <c r="C487" s="1127"/>
      <c r="D487" s="1127"/>
      <c r="E487" s="1127"/>
      <c r="F487" s="1127"/>
      <c r="G487" s="1127"/>
      <c r="H487" s="1127"/>
      <c r="I487" s="1127"/>
      <c r="J487" s="1127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1127"/>
      <c r="B488" s="1390"/>
      <c r="C488" s="1127"/>
      <c r="D488" s="1127"/>
      <c r="E488" s="1127"/>
      <c r="F488" s="1127"/>
      <c r="G488" s="1127"/>
      <c r="H488" s="1127"/>
      <c r="I488" s="1127"/>
      <c r="J488" s="1127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1127"/>
      <c r="B489" s="1390"/>
      <c r="C489" s="1127"/>
      <c r="D489" s="1127"/>
      <c r="E489" s="1127"/>
      <c r="F489" s="1127"/>
      <c r="G489" s="1127"/>
      <c r="H489" s="1127"/>
      <c r="I489" s="1127"/>
      <c r="J489" s="1127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1127"/>
      <c r="B490" s="1390"/>
      <c r="C490" s="1127"/>
      <c r="D490" s="1127"/>
      <c r="E490" s="1127"/>
      <c r="F490" s="1127"/>
      <c r="G490" s="1127"/>
      <c r="H490" s="1127"/>
      <c r="I490" s="1127"/>
      <c r="J490" s="1127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1127"/>
      <c r="B491" s="1390"/>
      <c r="C491" s="1127"/>
      <c r="D491" s="1127"/>
      <c r="E491" s="1127"/>
      <c r="F491" s="1127"/>
      <c r="G491" s="1127"/>
      <c r="H491" s="1127"/>
      <c r="I491" s="1127"/>
      <c r="J491" s="1127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1127"/>
      <c r="B492" s="1390"/>
      <c r="C492" s="1127"/>
      <c r="D492" s="1127"/>
      <c r="E492" s="1127"/>
      <c r="F492" s="1127"/>
      <c r="G492" s="1127"/>
      <c r="H492" s="1127"/>
      <c r="I492" s="1127"/>
      <c r="J492" s="1127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1127"/>
      <c r="B493" s="1390"/>
      <c r="C493" s="1127"/>
      <c r="D493" s="1127"/>
      <c r="E493" s="1127"/>
      <c r="F493" s="1127"/>
      <c r="G493" s="1127"/>
      <c r="H493" s="1127"/>
      <c r="I493" s="1127"/>
      <c r="J493" s="1127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1127"/>
      <c r="B494" s="1390"/>
      <c r="C494" s="1127"/>
      <c r="D494" s="1127"/>
      <c r="E494" s="1127"/>
      <c r="F494" s="1127"/>
      <c r="G494" s="1127"/>
      <c r="H494" s="1127"/>
      <c r="I494" s="1127"/>
      <c r="J494" s="1127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1127"/>
      <c r="B495" s="1390"/>
      <c r="C495" s="1127"/>
      <c r="D495" s="1127"/>
      <c r="E495" s="1127"/>
      <c r="F495" s="1127"/>
      <c r="G495" s="1127"/>
      <c r="H495" s="1127"/>
      <c r="I495" s="1127"/>
      <c r="J495" s="1127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1127"/>
      <c r="B496" s="1390"/>
      <c r="C496" s="1127"/>
      <c r="D496" s="1127"/>
      <c r="E496" s="1127"/>
      <c r="F496" s="1127"/>
      <c r="G496" s="1127"/>
      <c r="H496" s="1127"/>
      <c r="I496" s="1127"/>
      <c r="J496" s="1127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1127"/>
      <c r="B497" s="1390"/>
      <c r="C497" s="1127"/>
      <c r="D497" s="1127"/>
      <c r="E497" s="1127"/>
      <c r="F497" s="1127"/>
      <c r="G497" s="1127"/>
      <c r="H497" s="1127"/>
      <c r="I497" s="1127"/>
      <c r="J497" s="1127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1127"/>
      <c r="B498" s="1390"/>
      <c r="C498" s="1127"/>
      <c r="D498" s="1127"/>
      <c r="E498" s="1127"/>
      <c r="F498" s="1127"/>
      <c r="G498" s="1127"/>
      <c r="H498" s="1127"/>
      <c r="I498" s="1127"/>
      <c r="J498" s="1127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1127"/>
      <c r="B499" s="1390"/>
      <c r="C499" s="1127"/>
      <c r="D499" s="1127"/>
      <c r="E499" s="1127"/>
      <c r="F499" s="1127"/>
      <c r="G499" s="1127"/>
      <c r="H499" s="1127"/>
      <c r="I499" s="1127"/>
      <c r="J499" s="1127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1127"/>
      <c r="B500" s="1390"/>
      <c r="C500" s="1127"/>
      <c r="D500" s="1127"/>
      <c r="E500" s="1127"/>
      <c r="F500" s="1127"/>
      <c r="G500" s="1127"/>
      <c r="H500" s="1127"/>
      <c r="I500" s="1127"/>
      <c r="J500" s="1127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1127"/>
      <c r="B501" s="1390"/>
      <c r="C501" s="1127"/>
      <c r="D501" s="1127"/>
      <c r="E501" s="1127"/>
      <c r="F501" s="1127"/>
      <c r="G501" s="1127"/>
      <c r="H501" s="1127"/>
      <c r="I501" s="1127"/>
      <c r="J501" s="1127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1127"/>
      <c r="B502" s="1390"/>
      <c r="C502" s="1127"/>
      <c r="D502" s="1127"/>
      <c r="E502" s="1127"/>
      <c r="F502" s="1127"/>
      <c r="G502" s="1127"/>
      <c r="H502" s="1127"/>
      <c r="I502" s="1127"/>
      <c r="J502" s="1127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1127"/>
      <c r="B503" s="1390"/>
      <c r="C503" s="1127"/>
      <c r="D503" s="1127"/>
      <c r="E503" s="1127"/>
      <c r="F503" s="1127"/>
      <c r="G503" s="1127"/>
      <c r="H503" s="1127"/>
      <c r="I503" s="1127"/>
      <c r="J503" s="1127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1127"/>
      <c r="B504" s="1390"/>
      <c r="C504" s="1127"/>
      <c r="D504" s="1127"/>
      <c r="E504" s="1127"/>
      <c r="F504" s="1127"/>
      <c r="G504" s="1127"/>
      <c r="H504" s="1127"/>
      <c r="I504" s="1127"/>
      <c r="J504" s="1127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1127"/>
      <c r="B505" s="1390"/>
      <c r="C505" s="1127"/>
      <c r="D505" s="1127"/>
      <c r="E505" s="1127"/>
      <c r="F505" s="1127"/>
      <c r="G505" s="1127"/>
      <c r="H505" s="1127"/>
      <c r="I505" s="1127"/>
      <c r="J505" s="1127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1127"/>
      <c r="B506" s="1390"/>
      <c r="C506" s="1127"/>
      <c r="D506" s="1127"/>
      <c r="E506" s="1127"/>
      <c r="F506" s="1127"/>
      <c r="G506" s="1127"/>
      <c r="H506" s="1127"/>
      <c r="I506" s="1127"/>
      <c r="J506" s="1127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1127"/>
      <c r="B507" s="1390"/>
      <c r="C507" s="1127"/>
      <c r="D507" s="1127"/>
      <c r="E507" s="1127"/>
      <c r="F507" s="1127"/>
      <c r="G507" s="1127"/>
      <c r="H507" s="1127"/>
      <c r="I507" s="1127"/>
      <c r="J507" s="1127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1127"/>
      <c r="B508" s="1390"/>
      <c r="C508" s="1127"/>
      <c r="D508" s="1127"/>
      <c r="E508" s="1127"/>
      <c r="F508" s="1127"/>
      <c r="G508" s="1127"/>
      <c r="H508" s="1127"/>
      <c r="I508" s="1127"/>
      <c r="J508" s="1127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1127"/>
      <c r="B509" s="1390"/>
      <c r="C509" s="1127"/>
      <c r="D509" s="1127"/>
      <c r="E509" s="1127"/>
      <c r="F509" s="1127"/>
      <c r="G509" s="1127"/>
      <c r="H509" s="1127"/>
      <c r="I509" s="1127"/>
      <c r="J509" s="1127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1127"/>
      <c r="B510" s="1390"/>
      <c r="C510" s="1127"/>
      <c r="D510" s="1127"/>
      <c r="E510" s="1127"/>
      <c r="F510" s="1127"/>
      <c r="G510" s="1127"/>
      <c r="H510" s="1127"/>
      <c r="I510" s="1127"/>
      <c r="J510" s="1127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1127"/>
      <c r="B511" s="1390"/>
      <c r="C511" s="1127"/>
      <c r="D511" s="1127"/>
      <c r="E511" s="1127"/>
      <c r="F511" s="1127"/>
      <c r="G511" s="1127"/>
      <c r="H511" s="1127"/>
      <c r="I511" s="1127"/>
      <c r="J511" s="1127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1127"/>
      <c r="B512" s="1390"/>
      <c r="C512" s="1127"/>
      <c r="D512" s="1127"/>
      <c r="E512" s="1127"/>
      <c r="F512" s="1127"/>
      <c r="G512" s="1127"/>
      <c r="H512" s="1127"/>
      <c r="I512" s="1127"/>
      <c r="J512" s="1127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1127"/>
      <c r="B513" s="1390"/>
      <c r="C513" s="1127"/>
      <c r="D513" s="1127"/>
      <c r="E513" s="1127"/>
      <c r="F513" s="1127"/>
      <c r="G513" s="1127"/>
      <c r="H513" s="1127"/>
      <c r="I513" s="1127"/>
      <c r="J513" s="1127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1127"/>
      <c r="B514" s="1390"/>
      <c r="C514" s="1127"/>
      <c r="D514" s="1127"/>
      <c r="E514" s="1127"/>
      <c r="F514" s="1127"/>
      <c r="G514" s="1127"/>
      <c r="H514" s="1127"/>
      <c r="I514" s="1127"/>
      <c r="J514" s="1127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1127"/>
      <c r="B515" s="1390"/>
      <c r="C515" s="1127"/>
      <c r="D515" s="1127"/>
      <c r="E515" s="1127"/>
      <c r="F515" s="1127"/>
      <c r="G515" s="1127"/>
      <c r="H515" s="1127"/>
      <c r="I515" s="1127"/>
      <c r="J515" s="1127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1127"/>
      <c r="B516" s="1390"/>
      <c r="C516" s="1127"/>
      <c r="D516" s="1127"/>
      <c r="E516" s="1127"/>
      <c r="F516" s="1127"/>
      <c r="G516" s="1127"/>
      <c r="H516" s="1127"/>
      <c r="I516" s="1127"/>
      <c r="J516" s="1127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1127"/>
      <c r="B517" s="1390"/>
      <c r="C517" s="1127"/>
      <c r="D517" s="1127"/>
      <c r="E517" s="1127"/>
      <c r="F517" s="1127"/>
      <c r="G517" s="1127"/>
      <c r="H517" s="1127"/>
      <c r="I517" s="1127"/>
      <c r="J517" s="1127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1127"/>
      <c r="B518" s="1390"/>
      <c r="C518" s="1127"/>
      <c r="D518" s="1127"/>
      <c r="E518" s="1127"/>
      <c r="F518" s="1127"/>
      <c r="G518" s="1127"/>
      <c r="H518" s="1127"/>
      <c r="I518" s="1127"/>
      <c r="J518" s="1127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1127"/>
      <c r="B519" s="1390"/>
      <c r="C519" s="1127"/>
      <c r="D519" s="1127"/>
      <c r="E519" s="1127"/>
      <c r="F519" s="1127"/>
      <c r="G519" s="1127"/>
      <c r="H519" s="1127"/>
      <c r="I519" s="1127"/>
      <c r="J519" s="1127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1127"/>
      <c r="B520" s="1390"/>
      <c r="C520" s="1127"/>
      <c r="D520" s="1127"/>
      <c r="E520" s="1127"/>
      <c r="F520" s="1127"/>
      <c r="G520" s="1127"/>
      <c r="H520" s="1127"/>
      <c r="I520" s="1127"/>
      <c r="J520" s="1127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1127"/>
      <c r="B521" s="1390"/>
      <c r="C521" s="1127"/>
      <c r="D521" s="1127"/>
      <c r="E521" s="1127"/>
      <c r="F521" s="1127"/>
      <c r="G521" s="1127"/>
      <c r="H521" s="1127"/>
      <c r="I521" s="1127"/>
      <c r="J521" s="1127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1127"/>
      <c r="B522" s="1390"/>
      <c r="C522" s="1127"/>
      <c r="D522" s="1127"/>
      <c r="E522" s="1127"/>
      <c r="F522" s="1127"/>
      <c r="G522" s="1127"/>
      <c r="H522" s="1127"/>
      <c r="I522" s="1127"/>
      <c r="J522" s="1127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1127"/>
      <c r="B523" s="1390"/>
      <c r="C523" s="1127"/>
      <c r="D523" s="1127"/>
      <c r="E523" s="1127"/>
      <c r="F523" s="1127"/>
      <c r="G523" s="1127"/>
      <c r="H523" s="1127"/>
      <c r="I523" s="1127"/>
      <c r="J523" s="1127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1127"/>
      <c r="B524" s="1390"/>
      <c r="C524" s="1127"/>
      <c r="D524" s="1127"/>
      <c r="E524" s="1127"/>
      <c r="F524" s="1127"/>
      <c r="G524" s="1127"/>
      <c r="H524" s="1127"/>
      <c r="I524" s="1127"/>
      <c r="J524" s="1127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1127"/>
      <c r="B525" s="1390"/>
      <c r="C525" s="1127"/>
      <c r="D525" s="1127"/>
      <c r="E525" s="1127"/>
      <c r="F525" s="1127"/>
      <c r="G525" s="1127"/>
      <c r="H525" s="1127"/>
      <c r="I525" s="1127"/>
      <c r="J525" s="1127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1127"/>
      <c r="B526" s="1390"/>
      <c r="C526" s="1127"/>
      <c r="D526" s="1127"/>
      <c r="E526" s="1127"/>
      <c r="F526" s="1127"/>
      <c r="G526" s="1127"/>
      <c r="H526" s="1127"/>
      <c r="I526" s="1127"/>
      <c r="J526" s="1127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1127"/>
      <c r="B527" s="1390"/>
      <c r="C527" s="1127"/>
      <c r="D527" s="1127"/>
      <c r="E527" s="1127"/>
      <c r="F527" s="1127"/>
      <c r="G527" s="1127"/>
      <c r="H527" s="1127"/>
      <c r="I527" s="1127"/>
      <c r="J527" s="1127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1127"/>
      <c r="B528" s="1390"/>
      <c r="C528" s="1127"/>
      <c r="D528" s="1127"/>
      <c r="E528" s="1127"/>
      <c r="F528" s="1127"/>
      <c r="G528" s="1127"/>
      <c r="H528" s="1127"/>
      <c r="I528" s="1127"/>
      <c r="J528" s="1127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1127"/>
      <c r="B529" s="1390"/>
      <c r="C529" s="1127"/>
      <c r="D529" s="1127"/>
      <c r="E529" s="1127"/>
      <c r="F529" s="1127"/>
      <c r="G529" s="1127"/>
      <c r="H529" s="1127"/>
      <c r="I529" s="1127"/>
      <c r="J529" s="1127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1127"/>
      <c r="B530" s="1390"/>
      <c r="C530" s="1127"/>
      <c r="D530" s="1127"/>
      <c r="E530" s="1127"/>
      <c r="F530" s="1127"/>
      <c r="G530" s="1127"/>
      <c r="H530" s="1127"/>
      <c r="I530" s="1127"/>
      <c r="J530" s="1127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1127"/>
      <c r="B531" s="1390"/>
      <c r="C531" s="1127"/>
      <c r="D531" s="1127"/>
      <c r="E531" s="1127"/>
      <c r="F531" s="1127"/>
      <c r="G531" s="1127"/>
      <c r="H531" s="1127"/>
      <c r="I531" s="1127"/>
      <c r="J531" s="1127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1127"/>
      <c r="B532" s="1390"/>
      <c r="C532" s="1127"/>
      <c r="D532" s="1127"/>
      <c r="E532" s="1127"/>
      <c r="F532" s="1127"/>
      <c r="G532" s="1127"/>
      <c r="H532" s="1127"/>
      <c r="I532" s="1127"/>
      <c r="J532" s="1127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1127"/>
      <c r="B533" s="1390"/>
      <c r="C533" s="1127"/>
      <c r="D533" s="1127"/>
      <c r="E533" s="1127"/>
      <c r="F533" s="1127"/>
      <c r="G533" s="1127"/>
      <c r="H533" s="1127"/>
      <c r="I533" s="1127"/>
      <c r="J533" s="1127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1127"/>
      <c r="B534" s="1390"/>
      <c r="C534" s="1127"/>
      <c r="D534" s="1127"/>
      <c r="E534" s="1127"/>
      <c r="F534" s="1127"/>
      <c r="G534" s="1127"/>
      <c r="H534" s="1127"/>
      <c r="I534" s="1127"/>
      <c r="J534" s="1127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1127"/>
      <c r="B535" s="1390"/>
      <c r="C535" s="1127"/>
      <c r="D535" s="1127"/>
      <c r="E535" s="1127"/>
      <c r="F535" s="1127"/>
      <c r="G535" s="1127"/>
      <c r="H535" s="1127"/>
      <c r="I535" s="1127"/>
      <c r="J535" s="1127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1127"/>
      <c r="B536" s="1390"/>
      <c r="C536" s="1127"/>
      <c r="D536" s="1127"/>
      <c r="E536" s="1127"/>
      <c r="F536" s="1127"/>
      <c r="G536" s="1127"/>
      <c r="H536" s="1127"/>
      <c r="I536" s="1127"/>
      <c r="J536" s="1127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1127"/>
      <c r="B537" s="1390"/>
      <c r="C537" s="1127"/>
      <c r="D537" s="1127"/>
      <c r="E537" s="1127"/>
      <c r="F537" s="1127"/>
      <c r="G537" s="1127"/>
      <c r="H537" s="1127"/>
      <c r="I537" s="1127"/>
      <c r="J537" s="1127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1127"/>
      <c r="B538" s="1390"/>
      <c r="C538" s="1127"/>
      <c r="D538" s="1127"/>
      <c r="E538" s="1127"/>
      <c r="F538" s="1127"/>
      <c r="G538" s="1127"/>
      <c r="H538" s="1127"/>
      <c r="I538" s="1127"/>
      <c r="J538" s="1127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1127"/>
      <c r="B539" s="1390"/>
      <c r="C539" s="1127"/>
      <c r="D539" s="1127"/>
      <c r="E539" s="1127"/>
      <c r="F539" s="1127"/>
      <c r="G539" s="1127"/>
      <c r="H539" s="1127"/>
      <c r="I539" s="1127"/>
      <c r="J539" s="1127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1127"/>
      <c r="B540" s="1390"/>
      <c r="C540" s="1127"/>
      <c r="D540" s="1127"/>
      <c r="E540" s="1127"/>
      <c r="F540" s="1127"/>
      <c r="G540" s="1127"/>
      <c r="H540" s="1127"/>
      <c r="I540" s="1127"/>
      <c r="J540" s="1127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1127"/>
      <c r="B541" s="1390"/>
      <c r="C541" s="1127"/>
      <c r="D541" s="1127"/>
      <c r="E541" s="1127"/>
      <c r="F541" s="1127"/>
      <c r="G541" s="1127"/>
      <c r="H541" s="1127"/>
      <c r="I541" s="1127"/>
      <c r="J541" s="1127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1127"/>
      <c r="B542" s="1390"/>
      <c r="C542" s="1127"/>
      <c r="D542" s="1127"/>
      <c r="E542" s="1127"/>
      <c r="F542" s="1127"/>
      <c r="G542" s="1127"/>
      <c r="H542" s="1127"/>
      <c r="I542" s="1127"/>
      <c r="J542" s="1127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1127"/>
      <c r="B543" s="1390"/>
      <c r="C543" s="1127"/>
      <c r="D543" s="1127"/>
      <c r="E543" s="1127"/>
      <c r="F543" s="1127"/>
      <c r="G543" s="1127"/>
      <c r="H543" s="1127"/>
      <c r="I543" s="1127"/>
      <c r="J543" s="1127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1127"/>
      <c r="B544" s="1390"/>
      <c r="C544" s="1127"/>
      <c r="D544" s="1127"/>
      <c r="E544" s="1127"/>
      <c r="F544" s="1127"/>
      <c r="G544" s="1127"/>
      <c r="H544" s="1127"/>
      <c r="I544" s="1127"/>
      <c r="J544" s="1127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1127"/>
      <c r="B545" s="1390"/>
      <c r="C545" s="1127"/>
      <c r="D545" s="1127"/>
      <c r="E545" s="1127"/>
      <c r="F545" s="1127"/>
      <c r="G545" s="1127"/>
      <c r="H545" s="1127"/>
      <c r="I545" s="1127"/>
      <c r="J545" s="1127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1127"/>
      <c r="B546" s="1390"/>
      <c r="C546" s="1127"/>
      <c r="D546" s="1127"/>
      <c r="E546" s="1127"/>
      <c r="F546" s="1127"/>
      <c r="G546" s="1127"/>
      <c r="H546" s="1127"/>
      <c r="I546" s="1127"/>
      <c r="J546" s="1127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1127"/>
      <c r="B547" s="1390"/>
      <c r="C547" s="1127"/>
      <c r="D547" s="1127"/>
      <c r="E547" s="1127"/>
      <c r="F547" s="1127"/>
      <c r="G547" s="1127"/>
      <c r="H547" s="1127"/>
      <c r="I547" s="1127"/>
      <c r="J547" s="1127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1127"/>
      <c r="B548" s="1390"/>
      <c r="C548" s="1127"/>
      <c r="D548" s="1127"/>
      <c r="E548" s="1127"/>
      <c r="F548" s="1127"/>
      <c r="G548" s="1127"/>
      <c r="H548" s="1127"/>
      <c r="I548" s="1127"/>
      <c r="J548" s="1127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1127"/>
      <c r="B549" s="1390"/>
      <c r="C549" s="1127"/>
      <c r="D549" s="1127"/>
      <c r="E549" s="1127"/>
      <c r="F549" s="1127"/>
      <c r="G549" s="1127"/>
      <c r="H549" s="1127"/>
      <c r="I549" s="1127"/>
      <c r="J549" s="1127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1127"/>
      <c r="B550" s="1390"/>
      <c r="C550" s="1127"/>
      <c r="D550" s="1127"/>
      <c r="E550" s="1127"/>
      <c r="F550" s="1127"/>
      <c r="G550" s="1127"/>
      <c r="H550" s="1127"/>
      <c r="I550" s="1127"/>
      <c r="J550" s="1127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1127"/>
      <c r="B551" s="1390"/>
      <c r="C551" s="1127"/>
      <c r="D551" s="1127"/>
      <c r="E551" s="1127"/>
      <c r="F551" s="1127"/>
      <c r="G551" s="1127"/>
      <c r="H551" s="1127"/>
      <c r="I551" s="1127"/>
      <c r="J551" s="1127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1127"/>
      <c r="B552" s="1390"/>
      <c r="C552" s="1127"/>
      <c r="D552" s="1127"/>
      <c r="E552" s="1127"/>
      <c r="F552" s="1127"/>
      <c r="G552" s="1127"/>
      <c r="H552" s="1127"/>
      <c r="I552" s="1127"/>
      <c r="J552" s="1127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1127"/>
      <c r="B553" s="1390"/>
      <c r="C553" s="1127"/>
      <c r="D553" s="1127"/>
      <c r="E553" s="1127"/>
      <c r="F553" s="1127"/>
      <c r="G553" s="1127"/>
      <c r="H553" s="1127"/>
      <c r="I553" s="1127"/>
      <c r="J553" s="1127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1127"/>
      <c r="B554" s="1390"/>
      <c r="C554" s="1127"/>
      <c r="D554" s="1127"/>
      <c r="E554" s="1127"/>
      <c r="F554" s="1127"/>
      <c r="G554" s="1127"/>
      <c r="H554" s="1127"/>
      <c r="I554" s="1127"/>
      <c r="J554" s="1127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1127"/>
      <c r="B555" s="1390"/>
      <c r="C555" s="1127"/>
      <c r="D555" s="1127"/>
      <c r="E555" s="1127"/>
      <c r="F555" s="1127"/>
      <c r="G555" s="1127"/>
      <c r="H555" s="1127"/>
      <c r="I555" s="1127"/>
      <c r="J555" s="1127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1127"/>
      <c r="B556" s="1390"/>
      <c r="C556" s="1127"/>
      <c r="D556" s="1127"/>
      <c r="E556" s="1127"/>
      <c r="F556" s="1127"/>
      <c r="G556" s="1127"/>
      <c r="H556" s="1127"/>
      <c r="I556" s="1127"/>
      <c r="J556" s="1127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1127"/>
      <c r="B557" s="1390"/>
      <c r="C557" s="1127"/>
      <c r="D557" s="1127"/>
      <c r="E557" s="1127"/>
      <c r="F557" s="1127"/>
      <c r="G557" s="1127"/>
      <c r="H557" s="1127"/>
      <c r="I557" s="1127"/>
      <c r="J557" s="1127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1127"/>
      <c r="B558" s="1390"/>
      <c r="C558" s="1127"/>
      <c r="D558" s="1127"/>
      <c r="E558" s="1127"/>
      <c r="F558" s="1127"/>
      <c r="G558" s="1127"/>
      <c r="H558" s="1127"/>
      <c r="I558" s="1127"/>
      <c r="J558" s="1127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1127"/>
      <c r="B559" s="1390"/>
      <c r="C559" s="1127"/>
      <c r="D559" s="1127"/>
      <c r="E559" s="1127"/>
      <c r="F559" s="1127"/>
      <c r="G559" s="1127"/>
      <c r="H559" s="1127"/>
      <c r="I559" s="1127"/>
      <c r="J559" s="1127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1127"/>
      <c r="B560" s="1390"/>
      <c r="C560" s="1127"/>
      <c r="D560" s="1127"/>
      <c r="E560" s="1127"/>
      <c r="F560" s="1127"/>
      <c r="G560" s="1127"/>
      <c r="H560" s="1127"/>
      <c r="I560" s="1127"/>
      <c r="J560" s="1127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1127"/>
      <c r="B561" s="1390"/>
      <c r="C561" s="1127"/>
      <c r="D561" s="1127"/>
      <c r="E561" s="1127"/>
      <c r="F561" s="1127"/>
      <c r="G561" s="1127"/>
      <c r="H561" s="1127"/>
      <c r="I561" s="1127"/>
      <c r="J561" s="1127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1127"/>
      <c r="B562" s="1390"/>
      <c r="C562" s="1127"/>
      <c r="D562" s="1127"/>
      <c r="E562" s="1127"/>
      <c r="F562" s="1127"/>
      <c r="G562" s="1127"/>
      <c r="H562" s="1127"/>
      <c r="I562" s="1127"/>
      <c r="J562" s="1127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1127"/>
      <c r="B563" s="1390"/>
      <c r="C563" s="1127"/>
      <c r="D563" s="1127"/>
      <c r="E563" s="1127"/>
      <c r="F563" s="1127"/>
      <c r="G563" s="1127"/>
      <c r="H563" s="1127"/>
      <c r="I563" s="1127"/>
      <c r="J563" s="1127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1127"/>
      <c r="B564" s="1390"/>
      <c r="C564" s="1127"/>
      <c r="D564" s="1127"/>
      <c r="E564" s="1127"/>
      <c r="F564" s="1127"/>
      <c r="G564" s="1127"/>
      <c r="H564" s="1127"/>
      <c r="I564" s="1127"/>
      <c r="J564" s="1127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1127"/>
      <c r="B565" s="1390"/>
      <c r="C565" s="1127"/>
      <c r="D565" s="1127"/>
      <c r="E565" s="1127"/>
      <c r="F565" s="1127"/>
      <c r="G565" s="1127"/>
      <c r="H565" s="1127"/>
      <c r="I565" s="1127"/>
      <c r="J565" s="1127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1127"/>
      <c r="B566" s="1390"/>
      <c r="C566" s="1127"/>
      <c r="D566" s="1127"/>
      <c r="E566" s="1127"/>
      <c r="F566" s="1127"/>
      <c r="G566" s="1127"/>
      <c r="H566" s="1127"/>
      <c r="I566" s="1127"/>
      <c r="J566" s="1127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1127"/>
      <c r="B567" s="1390"/>
      <c r="C567" s="1127"/>
      <c r="D567" s="1127"/>
      <c r="E567" s="1127"/>
      <c r="F567" s="1127"/>
      <c r="G567" s="1127"/>
      <c r="H567" s="1127"/>
      <c r="I567" s="1127"/>
      <c r="J567" s="1127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1127"/>
      <c r="B568" s="1390"/>
      <c r="C568" s="1127"/>
      <c r="D568" s="1127"/>
      <c r="E568" s="1127"/>
      <c r="F568" s="1127"/>
      <c r="G568" s="1127"/>
      <c r="H568" s="1127"/>
      <c r="I568" s="1127"/>
      <c r="J568" s="1127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1127"/>
      <c r="B569" s="1390"/>
      <c r="C569" s="1127"/>
      <c r="D569" s="1127"/>
      <c r="E569" s="1127"/>
      <c r="F569" s="1127"/>
      <c r="G569" s="1127"/>
      <c r="H569" s="1127"/>
      <c r="I569" s="1127"/>
      <c r="J569" s="1127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1127"/>
      <c r="B570" s="1390"/>
      <c r="C570" s="1127"/>
      <c r="D570" s="1127"/>
      <c r="E570" s="1127"/>
      <c r="F570" s="1127"/>
      <c r="G570" s="1127"/>
      <c r="H570" s="1127"/>
      <c r="I570" s="1127"/>
      <c r="J570" s="1127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1127"/>
      <c r="B571" s="1390"/>
      <c r="C571" s="1127"/>
      <c r="D571" s="1127"/>
      <c r="E571" s="1127"/>
      <c r="F571" s="1127"/>
      <c r="G571" s="1127"/>
      <c r="H571" s="1127"/>
      <c r="I571" s="1127"/>
      <c r="J571" s="1127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1127"/>
      <c r="B572" s="1390"/>
      <c r="C572" s="1127"/>
      <c r="D572" s="1127"/>
      <c r="E572" s="1127"/>
      <c r="F572" s="1127"/>
      <c r="G572" s="1127"/>
      <c r="H572" s="1127"/>
      <c r="I572" s="1127"/>
      <c r="J572" s="1127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1127"/>
      <c r="B573" s="1390"/>
      <c r="C573" s="1127"/>
      <c r="D573" s="1127"/>
      <c r="E573" s="1127"/>
      <c r="F573" s="1127"/>
      <c r="G573" s="1127"/>
      <c r="H573" s="1127"/>
      <c r="I573" s="1127"/>
      <c r="J573" s="1127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1127"/>
      <c r="B574" s="1390"/>
      <c r="C574" s="1127"/>
      <c r="D574" s="1127"/>
      <c r="E574" s="1127"/>
      <c r="F574" s="1127"/>
      <c r="G574" s="1127"/>
      <c r="H574" s="1127"/>
      <c r="I574" s="1127"/>
      <c r="J574" s="1127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1127"/>
      <c r="B575" s="1390"/>
      <c r="C575" s="1127"/>
      <c r="D575" s="1127"/>
      <c r="E575" s="1127"/>
      <c r="F575" s="1127"/>
      <c r="G575" s="1127"/>
      <c r="H575" s="1127"/>
      <c r="I575" s="1127"/>
      <c r="J575" s="1127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1127"/>
      <c r="B576" s="1390"/>
      <c r="C576" s="1127"/>
      <c r="D576" s="1127"/>
      <c r="E576" s="1127"/>
      <c r="F576" s="1127"/>
      <c r="G576" s="1127"/>
      <c r="H576" s="1127"/>
      <c r="I576" s="1127"/>
      <c r="J576" s="1127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1127"/>
      <c r="B577" s="1390"/>
      <c r="C577" s="1127"/>
      <c r="D577" s="1127"/>
      <c r="E577" s="1127"/>
      <c r="F577" s="1127"/>
      <c r="G577" s="1127"/>
      <c r="H577" s="1127"/>
      <c r="I577" s="1127"/>
      <c r="J577" s="1127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1127"/>
      <c r="B578" s="1390"/>
      <c r="C578" s="1127"/>
      <c r="D578" s="1127"/>
      <c r="E578" s="1127"/>
      <c r="F578" s="1127"/>
      <c r="G578" s="1127"/>
      <c r="H578" s="1127"/>
      <c r="I578" s="1127"/>
      <c r="J578" s="1127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1127"/>
      <c r="B579" s="1390"/>
      <c r="C579" s="1127"/>
      <c r="D579" s="1127"/>
      <c r="E579" s="1127"/>
      <c r="F579" s="1127"/>
      <c r="G579" s="1127"/>
      <c r="H579" s="1127"/>
      <c r="I579" s="1127"/>
      <c r="J579" s="1127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1127"/>
      <c r="B580" s="1390"/>
      <c r="C580" s="1127"/>
      <c r="D580" s="1127"/>
      <c r="E580" s="1127"/>
      <c r="F580" s="1127"/>
      <c r="G580" s="1127"/>
      <c r="H580" s="1127"/>
      <c r="I580" s="1127"/>
      <c r="J580" s="1127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1127"/>
      <c r="B581" s="1390"/>
      <c r="C581" s="1127"/>
      <c r="D581" s="1127"/>
      <c r="E581" s="1127"/>
      <c r="F581" s="1127"/>
      <c r="G581" s="1127"/>
      <c r="H581" s="1127"/>
      <c r="I581" s="1127"/>
      <c r="J581" s="1127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1127"/>
      <c r="B582" s="1390"/>
      <c r="C582" s="1127"/>
      <c r="D582" s="1127"/>
      <c r="E582" s="1127"/>
      <c r="F582" s="1127"/>
      <c r="G582" s="1127"/>
      <c r="H582" s="1127"/>
      <c r="I582" s="1127"/>
      <c r="J582" s="1127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1127"/>
      <c r="B583" s="1390"/>
      <c r="C583" s="1127"/>
      <c r="D583" s="1127"/>
      <c r="E583" s="1127"/>
      <c r="F583" s="1127"/>
      <c r="G583" s="1127"/>
      <c r="H583" s="1127"/>
      <c r="I583" s="1127"/>
      <c r="J583" s="1127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1127"/>
      <c r="B584" s="1390"/>
      <c r="C584" s="1127"/>
      <c r="D584" s="1127"/>
      <c r="E584" s="1127"/>
      <c r="F584" s="1127"/>
      <c r="G584" s="1127"/>
      <c r="H584" s="1127"/>
      <c r="I584" s="1127"/>
      <c r="J584" s="1127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1127"/>
      <c r="B585" s="1390"/>
      <c r="C585" s="1127"/>
      <c r="D585" s="1127"/>
      <c r="E585" s="1127"/>
      <c r="F585" s="1127"/>
      <c r="G585" s="1127"/>
      <c r="H585" s="1127"/>
      <c r="I585" s="1127"/>
      <c r="J585" s="1127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1127"/>
      <c r="B586" s="1390"/>
      <c r="C586" s="1127"/>
      <c r="D586" s="1127"/>
      <c r="E586" s="1127"/>
      <c r="F586" s="1127"/>
      <c r="G586" s="1127"/>
      <c r="H586" s="1127"/>
      <c r="I586" s="1127"/>
      <c r="J586" s="1127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1127"/>
      <c r="B587" s="1390"/>
      <c r="C587" s="1127"/>
      <c r="D587" s="1127"/>
      <c r="E587" s="1127"/>
      <c r="F587" s="1127"/>
      <c r="G587" s="1127"/>
      <c r="H587" s="1127"/>
      <c r="I587" s="1127"/>
      <c r="J587" s="1127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1127"/>
      <c r="B588" s="1390"/>
      <c r="C588" s="1127"/>
      <c r="D588" s="1127"/>
      <c r="E588" s="1127"/>
      <c r="F588" s="1127"/>
      <c r="G588" s="1127"/>
      <c r="H588" s="1127"/>
      <c r="I588" s="1127"/>
      <c r="J588" s="1127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1127"/>
      <c r="B589" s="1390"/>
      <c r="C589" s="1127"/>
      <c r="D589" s="1127"/>
      <c r="E589" s="1127"/>
      <c r="F589" s="1127"/>
      <c r="G589" s="1127"/>
      <c r="H589" s="1127"/>
      <c r="I589" s="1127"/>
      <c r="J589" s="1127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1127"/>
      <c r="B590" s="1390"/>
      <c r="C590" s="1127"/>
      <c r="D590" s="1127"/>
      <c r="E590" s="1127"/>
      <c r="F590" s="1127"/>
      <c r="G590" s="1127"/>
      <c r="H590" s="1127"/>
      <c r="I590" s="1127"/>
      <c r="J590" s="1127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1127"/>
      <c r="B591" s="1390"/>
      <c r="C591" s="1127"/>
      <c r="D591" s="1127"/>
      <c r="E591" s="1127"/>
      <c r="F591" s="1127"/>
      <c r="G591" s="1127"/>
      <c r="H591" s="1127"/>
      <c r="I591" s="1127"/>
      <c r="J591" s="1127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1127"/>
      <c r="B592" s="1390"/>
      <c r="C592" s="1127"/>
      <c r="D592" s="1127"/>
      <c r="E592" s="1127"/>
      <c r="F592" s="1127"/>
      <c r="G592" s="1127"/>
      <c r="H592" s="1127"/>
      <c r="I592" s="1127"/>
      <c r="J592" s="1127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1127"/>
      <c r="B593" s="1390"/>
      <c r="C593" s="1127"/>
      <c r="D593" s="1127"/>
      <c r="E593" s="1127"/>
      <c r="F593" s="1127"/>
      <c r="G593" s="1127"/>
      <c r="H593" s="1127"/>
      <c r="I593" s="1127"/>
      <c r="J593" s="1127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1127"/>
      <c r="B594" s="1390"/>
      <c r="C594" s="1127"/>
      <c r="D594" s="1127"/>
      <c r="E594" s="1127"/>
      <c r="F594" s="1127"/>
      <c r="G594" s="1127"/>
      <c r="H594" s="1127"/>
      <c r="I594" s="1127"/>
      <c r="J594" s="1127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1127"/>
      <c r="B595" s="1390"/>
      <c r="C595" s="1127"/>
      <c r="D595" s="1127"/>
      <c r="E595" s="1127"/>
      <c r="F595" s="1127"/>
      <c r="G595" s="1127"/>
      <c r="H595" s="1127"/>
      <c r="I595" s="1127"/>
      <c r="J595" s="1127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1127"/>
      <c r="B596" s="1390"/>
      <c r="C596" s="1127"/>
      <c r="D596" s="1127"/>
      <c r="E596" s="1127"/>
      <c r="F596" s="1127"/>
      <c r="G596" s="1127"/>
      <c r="H596" s="1127"/>
      <c r="I596" s="1127"/>
      <c r="J596" s="1127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1127"/>
      <c r="B597" s="1390"/>
      <c r="C597" s="1127"/>
      <c r="D597" s="1127"/>
      <c r="E597" s="1127"/>
      <c r="F597" s="1127"/>
      <c r="G597" s="1127"/>
      <c r="H597" s="1127"/>
      <c r="I597" s="1127"/>
      <c r="J597" s="1127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1127"/>
      <c r="B598" s="1390"/>
      <c r="C598" s="1127"/>
      <c r="D598" s="1127"/>
      <c r="E598" s="1127"/>
      <c r="F598" s="1127"/>
      <c r="G598" s="1127"/>
      <c r="H598" s="1127"/>
      <c r="I598" s="1127"/>
      <c r="J598" s="1127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1127"/>
      <c r="B599" s="1390"/>
      <c r="C599" s="1127"/>
      <c r="D599" s="1127"/>
      <c r="E599" s="1127"/>
      <c r="F599" s="1127"/>
      <c r="G599" s="1127"/>
      <c r="H599" s="1127"/>
      <c r="I599" s="1127"/>
      <c r="J599" s="1127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1127"/>
      <c r="B600" s="1390"/>
      <c r="C600" s="1127"/>
      <c r="D600" s="1127"/>
      <c r="E600" s="1127"/>
      <c r="F600" s="1127"/>
      <c r="G600" s="1127"/>
      <c r="H600" s="1127"/>
      <c r="I600" s="1127"/>
      <c r="J600" s="1127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1127"/>
      <c r="B601" s="1390"/>
      <c r="C601" s="1127"/>
      <c r="D601" s="1127"/>
      <c r="E601" s="1127"/>
      <c r="F601" s="1127"/>
      <c r="G601" s="1127"/>
      <c r="H601" s="1127"/>
      <c r="I601" s="1127"/>
      <c r="J601" s="1127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1127"/>
      <c r="B602" s="1390"/>
      <c r="C602" s="1127"/>
      <c r="D602" s="1127"/>
      <c r="E602" s="1127"/>
      <c r="F602" s="1127"/>
      <c r="G602" s="1127"/>
      <c r="H602" s="1127"/>
      <c r="I602" s="1127"/>
      <c r="J602" s="1127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1127"/>
      <c r="B603" s="1390"/>
      <c r="C603" s="1127"/>
      <c r="D603" s="1127"/>
      <c r="E603" s="1127"/>
      <c r="F603" s="1127"/>
      <c r="G603" s="1127"/>
      <c r="H603" s="1127"/>
      <c r="I603" s="1127"/>
      <c r="J603" s="1127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1127"/>
      <c r="B604" s="1390"/>
      <c r="C604" s="1127"/>
      <c r="D604" s="1127"/>
      <c r="E604" s="1127"/>
      <c r="F604" s="1127"/>
      <c r="G604" s="1127"/>
      <c r="H604" s="1127"/>
      <c r="I604" s="1127"/>
      <c r="J604" s="1127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1127"/>
      <c r="B605" s="1390"/>
      <c r="C605" s="1127"/>
      <c r="D605" s="1127"/>
      <c r="E605" s="1127"/>
      <c r="F605" s="1127"/>
      <c r="G605" s="1127"/>
      <c r="H605" s="1127"/>
      <c r="I605" s="1127"/>
      <c r="J605" s="1127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1127"/>
      <c r="B606" s="1390"/>
      <c r="C606" s="1127"/>
      <c r="D606" s="1127"/>
      <c r="E606" s="1127"/>
      <c r="F606" s="1127"/>
      <c r="G606" s="1127"/>
      <c r="H606" s="1127"/>
      <c r="I606" s="1127"/>
      <c r="J606" s="1127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1127"/>
      <c r="B607" s="1390"/>
      <c r="C607" s="1127"/>
      <c r="D607" s="1127"/>
      <c r="E607" s="1127"/>
      <c r="F607" s="1127"/>
      <c r="G607" s="1127"/>
      <c r="H607" s="1127"/>
      <c r="I607" s="1127"/>
      <c r="J607" s="1127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1127"/>
      <c r="B608" s="1390"/>
      <c r="C608" s="1127"/>
      <c r="D608" s="1127"/>
      <c r="E608" s="1127"/>
      <c r="F608" s="1127"/>
      <c r="G608" s="1127"/>
      <c r="H608" s="1127"/>
      <c r="I608" s="1127"/>
      <c r="J608" s="1127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1127"/>
      <c r="B609" s="1390"/>
      <c r="C609" s="1127"/>
      <c r="D609" s="1127"/>
      <c r="E609" s="1127"/>
      <c r="F609" s="1127"/>
      <c r="G609" s="1127"/>
      <c r="H609" s="1127"/>
      <c r="I609" s="1127"/>
      <c r="J609" s="1127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1127"/>
      <c r="B610" s="1390"/>
      <c r="C610" s="1127"/>
      <c r="D610" s="1127"/>
      <c r="E610" s="1127"/>
      <c r="F610" s="1127"/>
      <c r="G610" s="1127"/>
      <c r="H610" s="1127"/>
      <c r="I610" s="1127"/>
      <c r="J610" s="1127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1127"/>
      <c r="B611" s="1390"/>
      <c r="C611" s="1127"/>
      <c r="D611" s="1127"/>
      <c r="E611" s="1127"/>
      <c r="F611" s="1127"/>
      <c r="G611" s="1127"/>
      <c r="H611" s="1127"/>
      <c r="I611" s="1127"/>
      <c r="J611" s="1127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1127"/>
      <c r="B612" s="1390"/>
      <c r="C612" s="1127"/>
      <c r="D612" s="1127"/>
      <c r="E612" s="1127"/>
      <c r="F612" s="1127"/>
      <c r="G612" s="1127"/>
      <c r="H612" s="1127"/>
      <c r="I612" s="1127"/>
      <c r="J612" s="1127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1127"/>
      <c r="B613" s="1390"/>
      <c r="C613" s="1127"/>
      <c r="D613" s="1127"/>
      <c r="E613" s="1127"/>
      <c r="F613" s="1127"/>
      <c r="G613" s="1127"/>
      <c r="H613" s="1127"/>
      <c r="I613" s="1127"/>
      <c r="J613" s="1127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1127"/>
      <c r="B614" s="1390"/>
      <c r="C614" s="1127"/>
      <c r="D614" s="1127"/>
      <c r="E614" s="1127"/>
      <c r="F614" s="1127"/>
      <c r="G614" s="1127"/>
      <c r="H614" s="1127"/>
      <c r="I614" s="1127"/>
      <c r="J614" s="1127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1127"/>
      <c r="B615" s="1390"/>
      <c r="C615" s="1127"/>
      <c r="D615" s="1127"/>
      <c r="E615" s="1127"/>
      <c r="F615" s="1127"/>
      <c r="G615" s="1127"/>
      <c r="H615" s="1127"/>
      <c r="I615" s="1127"/>
      <c r="J615" s="1127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1127"/>
      <c r="B616" s="1390"/>
      <c r="C616" s="1127"/>
      <c r="D616" s="1127"/>
      <c r="E616" s="1127"/>
      <c r="F616" s="1127"/>
      <c r="G616" s="1127"/>
      <c r="H616" s="1127"/>
      <c r="I616" s="1127"/>
      <c r="J616" s="1127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1127"/>
      <c r="B617" s="1390"/>
      <c r="C617" s="1127"/>
      <c r="D617" s="1127"/>
      <c r="E617" s="1127"/>
      <c r="F617" s="1127"/>
      <c r="G617" s="1127"/>
      <c r="H617" s="1127"/>
      <c r="I617" s="1127"/>
      <c r="J617" s="1127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1127"/>
      <c r="B618" s="1390"/>
      <c r="C618" s="1127"/>
      <c r="D618" s="1127"/>
      <c r="E618" s="1127"/>
      <c r="F618" s="1127"/>
      <c r="G618" s="1127"/>
      <c r="H618" s="1127"/>
      <c r="I618" s="1127"/>
      <c r="J618" s="1127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1127"/>
      <c r="B619" s="1390"/>
      <c r="C619" s="1127"/>
      <c r="D619" s="1127"/>
      <c r="E619" s="1127"/>
      <c r="F619" s="1127"/>
      <c r="G619" s="1127"/>
      <c r="H619" s="1127"/>
      <c r="I619" s="1127"/>
      <c r="J619" s="1127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1127"/>
      <c r="B620" s="1390"/>
      <c r="C620" s="1127"/>
      <c r="D620" s="1127"/>
      <c r="E620" s="1127"/>
      <c r="F620" s="1127"/>
      <c r="G620" s="1127"/>
      <c r="H620" s="1127"/>
      <c r="I620" s="1127"/>
      <c r="J620" s="1127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1127"/>
      <c r="B621" s="1390"/>
      <c r="C621" s="1127"/>
      <c r="D621" s="1127"/>
      <c r="E621" s="1127"/>
      <c r="F621" s="1127"/>
      <c r="G621" s="1127"/>
      <c r="H621" s="1127"/>
      <c r="I621" s="1127"/>
      <c r="J621" s="1127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1127"/>
      <c r="B622" s="1390"/>
      <c r="C622" s="1127"/>
      <c r="D622" s="1127"/>
      <c r="E622" s="1127"/>
      <c r="F622" s="1127"/>
      <c r="G622" s="1127"/>
      <c r="H622" s="1127"/>
      <c r="I622" s="1127"/>
      <c r="J622" s="1127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1127"/>
      <c r="B623" s="1390"/>
      <c r="C623" s="1127"/>
      <c r="D623" s="1127"/>
      <c r="E623" s="1127"/>
      <c r="F623" s="1127"/>
      <c r="G623" s="1127"/>
      <c r="H623" s="1127"/>
      <c r="I623" s="1127"/>
      <c r="J623" s="1127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1127"/>
      <c r="B624" s="1390"/>
      <c r="C624" s="1127"/>
      <c r="D624" s="1127"/>
      <c r="E624" s="1127"/>
      <c r="F624" s="1127"/>
      <c r="G624" s="1127"/>
      <c r="H624" s="1127"/>
      <c r="I624" s="1127"/>
      <c r="J624" s="1127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1127"/>
      <c r="B625" s="1390"/>
      <c r="C625" s="1127"/>
      <c r="D625" s="1127"/>
      <c r="E625" s="1127"/>
      <c r="F625" s="1127"/>
      <c r="G625" s="1127"/>
      <c r="H625" s="1127"/>
      <c r="I625" s="1127"/>
      <c r="J625" s="1127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1127"/>
      <c r="B626" s="1390"/>
      <c r="C626" s="1127"/>
      <c r="D626" s="1127"/>
      <c r="E626" s="1127"/>
      <c r="F626" s="1127"/>
      <c r="G626" s="1127"/>
      <c r="H626" s="1127"/>
      <c r="I626" s="1127"/>
      <c r="J626" s="1127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1127"/>
      <c r="B627" s="1390"/>
      <c r="C627" s="1127"/>
      <c r="D627" s="1127"/>
      <c r="E627" s="1127"/>
      <c r="F627" s="1127"/>
      <c r="G627" s="1127"/>
      <c r="H627" s="1127"/>
      <c r="I627" s="1127"/>
      <c r="J627" s="1127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1127"/>
      <c r="B628" s="1390"/>
      <c r="C628" s="1127"/>
      <c r="D628" s="1127"/>
      <c r="E628" s="1127"/>
      <c r="F628" s="1127"/>
      <c r="G628" s="1127"/>
      <c r="H628" s="1127"/>
      <c r="I628" s="1127"/>
      <c r="J628" s="1127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1127"/>
      <c r="B629" s="1390"/>
      <c r="C629" s="1127"/>
      <c r="D629" s="1127"/>
      <c r="E629" s="1127"/>
      <c r="F629" s="1127"/>
      <c r="G629" s="1127"/>
      <c r="H629" s="1127"/>
      <c r="I629" s="1127"/>
      <c r="J629" s="1127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1127"/>
      <c r="B630" s="1390"/>
      <c r="C630" s="1127"/>
      <c r="D630" s="1127"/>
      <c r="E630" s="1127"/>
      <c r="F630" s="1127"/>
      <c r="G630" s="1127"/>
      <c r="H630" s="1127"/>
      <c r="I630" s="1127"/>
      <c r="J630" s="1127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1127"/>
      <c r="B631" s="1390"/>
      <c r="C631" s="1127"/>
      <c r="D631" s="1127"/>
      <c r="E631" s="1127"/>
      <c r="F631" s="1127"/>
      <c r="G631" s="1127"/>
      <c r="H631" s="1127"/>
      <c r="I631" s="1127"/>
      <c r="J631" s="1127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1127"/>
      <c r="B632" s="1390"/>
      <c r="C632" s="1127"/>
      <c r="D632" s="1127"/>
      <c r="E632" s="1127"/>
      <c r="F632" s="1127"/>
      <c r="G632" s="1127"/>
      <c r="H632" s="1127"/>
      <c r="I632" s="1127"/>
      <c r="J632" s="1127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1127"/>
      <c r="B633" s="1390"/>
      <c r="C633" s="1127"/>
      <c r="D633" s="1127"/>
      <c r="E633" s="1127"/>
      <c r="F633" s="1127"/>
      <c r="G633" s="1127"/>
      <c r="H633" s="1127"/>
      <c r="I633" s="1127"/>
      <c r="J633" s="1127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1127"/>
      <c r="B634" s="1390"/>
      <c r="C634" s="1127"/>
      <c r="D634" s="1127"/>
      <c r="E634" s="1127"/>
      <c r="F634" s="1127"/>
      <c r="G634" s="1127"/>
      <c r="H634" s="1127"/>
      <c r="I634" s="1127"/>
      <c r="J634" s="1127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1127"/>
      <c r="B635" s="1390"/>
      <c r="C635" s="1127"/>
      <c r="D635" s="1127"/>
      <c r="E635" s="1127"/>
      <c r="F635" s="1127"/>
      <c r="G635" s="1127"/>
      <c r="H635" s="1127"/>
      <c r="I635" s="1127"/>
      <c r="J635" s="1127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1127"/>
      <c r="B636" s="1390"/>
      <c r="C636" s="1127"/>
      <c r="D636" s="1127"/>
      <c r="E636" s="1127"/>
      <c r="F636" s="1127"/>
      <c r="G636" s="1127"/>
      <c r="H636" s="1127"/>
      <c r="I636" s="1127"/>
      <c r="J636" s="1127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1127"/>
      <c r="B637" s="1390"/>
      <c r="C637" s="1127"/>
      <c r="D637" s="1127"/>
      <c r="E637" s="1127"/>
      <c r="F637" s="1127"/>
      <c r="G637" s="1127"/>
      <c r="H637" s="1127"/>
      <c r="I637" s="1127"/>
      <c r="J637" s="1127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1127"/>
      <c r="B638" s="1390"/>
      <c r="C638" s="1127"/>
      <c r="D638" s="1127"/>
      <c r="E638" s="1127"/>
      <c r="F638" s="1127"/>
      <c r="G638" s="1127"/>
      <c r="H638" s="1127"/>
      <c r="I638" s="1127"/>
      <c r="J638" s="1127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1127"/>
      <c r="B639" s="1390"/>
      <c r="C639" s="1127"/>
      <c r="D639" s="1127"/>
      <c r="E639" s="1127"/>
      <c r="F639" s="1127"/>
      <c r="G639" s="1127"/>
      <c r="H639" s="1127"/>
      <c r="I639" s="1127"/>
      <c r="J639" s="1127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1127"/>
      <c r="B640" s="1390"/>
      <c r="C640" s="1127"/>
      <c r="D640" s="1127"/>
      <c r="E640" s="1127"/>
      <c r="F640" s="1127"/>
      <c r="G640" s="1127"/>
      <c r="H640" s="1127"/>
      <c r="I640" s="1127"/>
      <c r="J640" s="1127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1127"/>
      <c r="B641" s="1390"/>
      <c r="C641" s="1127"/>
      <c r="D641" s="1127"/>
      <c r="E641" s="1127"/>
      <c r="F641" s="1127"/>
      <c r="G641" s="1127"/>
      <c r="H641" s="1127"/>
      <c r="I641" s="1127"/>
      <c r="J641" s="1127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1127"/>
      <c r="B642" s="1390"/>
      <c r="C642" s="1127"/>
      <c r="D642" s="1127"/>
      <c r="E642" s="1127"/>
      <c r="F642" s="1127"/>
      <c r="G642" s="1127"/>
      <c r="H642" s="1127"/>
      <c r="I642" s="1127"/>
      <c r="J642" s="1127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1127"/>
      <c r="B643" s="1390"/>
      <c r="C643" s="1127"/>
      <c r="D643" s="1127"/>
      <c r="E643" s="1127"/>
      <c r="F643" s="1127"/>
      <c r="G643" s="1127"/>
      <c r="H643" s="1127"/>
      <c r="I643" s="1127"/>
      <c r="J643" s="1127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1127"/>
      <c r="B644" s="1390"/>
      <c r="C644" s="1127"/>
      <c r="D644" s="1127"/>
      <c r="E644" s="1127"/>
      <c r="F644" s="1127"/>
      <c r="G644" s="1127"/>
      <c r="H644" s="1127"/>
      <c r="I644" s="1127"/>
      <c r="J644" s="1127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1127"/>
      <c r="B645" s="1390"/>
      <c r="C645" s="1127"/>
      <c r="D645" s="1127"/>
      <c r="E645" s="1127"/>
      <c r="F645" s="1127"/>
      <c r="G645" s="1127"/>
      <c r="H645" s="1127"/>
      <c r="I645" s="1127"/>
      <c r="J645" s="1127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1127"/>
      <c r="B646" s="1390"/>
      <c r="C646" s="1127"/>
      <c r="D646" s="1127"/>
      <c r="E646" s="1127"/>
      <c r="F646" s="1127"/>
      <c r="G646" s="1127"/>
      <c r="H646" s="1127"/>
      <c r="I646" s="1127"/>
      <c r="J646" s="1127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1127"/>
      <c r="B647" s="1390"/>
      <c r="C647" s="1127"/>
      <c r="D647" s="1127"/>
      <c r="E647" s="1127"/>
      <c r="F647" s="1127"/>
      <c r="G647" s="1127"/>
      <c r="H647" s="1127"/>
      <c r="I647" s="1127"/>
      <c r="J647" s="1127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1127"/>
      <c r="B648" s="1390"/>
      <c r="C648" s="1127"/>
      <c r="D648" s="1127"/>
      <c r="E648" s="1127"/>
      <c r="F648" s="1127"/>
      <c r="G648" s="1127"/>
      <c r="H648" s="1127"/>
      <c r="I648" s="1127"/>
      <c r="J648" s="1127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1127"/>
      <c r="B649" s="1390"/>
      <c r="C649" s="1127"/>
      <c r="D649" s="1127"/>
      <c r="E649" s="1127"/>
      <c r="F649" s="1127"/>
      <c r="G649" s="1127"/>
      <c r="H649" s="1127"/>
      <c r="I649" s="1127"/>
      <c r="J649" s="1127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1127"/>
      <c r="B650" s="1390"/>
      <c r="C650" s="1127"/>
      <c r="D650" s="1127"/>
      <c r="E650" s="1127"/>
      <c r="F650" s="1127"/>
      <c r="G650" s="1127"/>
      <c r="H650" s="1127"/>
      <c r="I650" s="1127"/>
      <c r="J650" s="1127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1127"/>
      <c r="B651" s="1390"/>
      <c r="C651" s="1127"/>
      <c r="D651" s="1127"/>
      <c r="E651" s="1127"/>
      <c r="F651" s="1127"/>
      <c r="G651" s="1127"/>
      <c r="H651" s="1127"/>
      <c r="I651" s="1127"/>
      <c r="J651" s="1127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1127"/>
      <c r="B652" s="1390"/>
      <c r="C652" s="1127"/>
      <c r="D652" s="1127"/>
      <c r="E652" s="1127"/>
      <c r="F652" s="1127"/>
      <c r="G652" s="1127"/>
      <c r="H652" s="1127"/>
      <c r="I652" s="1127"/>
      <c r="J652" s="1127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1127"/>
      <c r="B653" s="1390"/>
      <c r="C653" s="1127"/>
      <c r="D653" s="1127"/>
      <c r="E653" s="1127"/>
      <c r="F653" s="1127"/>
      <c r="G653" s="1127"/>
      <c r="H653" s="1127"/>
      <c r="I653" s="1127"/>
      <c r="J653" s="1127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1127"/>
      <c r="B654" s="1390"/>
      <c r="C654" s="1127"/>
      <c r="D654" s="1127"/>
      <c r="E654" s="1127"/>
      <c r="F654" s="1127"/>
      <c r="G654" s="1127"/>
      <c r="H654" s="1127"/>
      <c r="I654" s="1127"/>
      <c r="J654" s="1127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1127"/>
      <c r="B655" s="1390"/>
      <c r="C655" s="1127"/>
      <c r="D655" s="1127"/>
      <c r="E655" s="1127"/>
      <c r="F655" s="1127"/>
      <c r="G655" s="1127"/>
      <c r="H655" s="1127"/>
      <c r="I655" s="1127"/>
      <c r="J655" s="1127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1127"/>
      <c r="B656" s="1390"/>
      <c r="C656" s="1127"/>
      <c r="D656" s="1127"/>
      <c r="E656" s="1127"/>
      <c r="F656" s="1127"/>
      <c r="G656" s="1127"/>
      <c r="H656" s="1127"/>
      <c r="I656" s="1127"/>
      <c r="J656" s="1127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1127"/>
      <c r="B657" s="1390"/>
      <c r="C657" s="1127"/>
      <c r="D657" s="1127"/>
      <c r="E657" s="1127"/>
      <c r="F657" s="1127"/>
      <c r="G657" s="1127"/>
      <c r="H657" s="1127"/>
      <c r="I657" s="1127"/>
      <c r="J657" s="1127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1127"/>
      <c r="B658" s="1390"/>
      <c r="C658" s="1127"/>
      <c r="D658" s="1127"/>
      <c r="E658" s="1127"/>
      <c r="F658" s="1127"/>
      <c r="G658" s="1127"/>
      <c r="H658" s="1127"/>
      <c r="I658" s="1127"/>
      <c r="J658" s="1127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1127"/>
      <c r="B659" s="1390"/>
      <c r="C659" s="1127"/>
      <c r="D659" s="1127"/>
      <c r="E659" s="1127"/>
      <c r="F659" s="1127"/>
      <c r="G659" s="1127"/>
      <c r="H659" s="1127"/>
      <c r="I659" s="1127"/>
      <c r="J659" s="1127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1127"/>
      <c r="B660" s="1390"/>
      <c r="C660" s="1127"/>
      <c r="D660" s="1127"/>
      <c r="E660" s="1127"/>
      <c r="F660" s="1127"/>
      <c r="G660" s="1127"/>
      <c r="H660" s="1127"/>
      <c r="I660" s="1127"/>
      <c r="J660" s="1127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1127"/>
      <c r="B661" s="1390"/>
      <c r="C661" s="1127"/>
      <c r="D661" s="1127"/>
      <c r="E661" s="1127"/>
      <c r="F661" s="1127"/>
      <c r="G661" s="1127"/>
      <c r="H661" s="1127"/>
      <c r="I661" s="1127"/>
      <c r="J661" s="1127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1127"/>
      <c r="B662" s="1390"/>
      <c r="C662" s="1127"/>
      <c r="D662" s="1127"/>
      <c r="E662" s="1127"/>
      <c r="F662" s="1127"/>
      <c r="G662" s="1127"/>
      <c r="H662" s="1127"/>
      <c r="I662" s="1127"/>
      <c r="J662" s="1127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1127"/>
      <c r="B663" s="1390"/>
      <c r="C663" s="1127"/>
      <c r="D663" s="1127"/>
      <c r="E663" s="1127"/>
      <c r="F663" s="1127"/>
      <c r="G663" s="1127"/>
      <c r="H663" s="1127"/>
      <c r="I663" s="1127"/>
      <c r="J663" s="1127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1127"/>
      <c r="B664" s="1390"/>
      <c r="C664" s="1127"/>
      <c r="D664" s="1127"/>
      <c r="E664" s="1127"/>
      <c r="F664" s="1127"/>
      <c r="G664" s="1127"/>
      <c r="H664" s="1127"/>
      <c r="I664" s="1127"/>
      <c r="J664" s="1127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1127"/>
      <c r="B665" s="1390"/>
      <c r="C665" s="1127"/>
      <c r="D665" s="1127"/>
      <c r="E665" s="1127"/>
      <c r="F665" s="1127"/>
      <c r="G665" s="1127"/>
      <c r="H665" s="1127"/>
      <c r="I665" s="1127"/>
      <c r="J665" s="1127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1127"/>
      <c r="B666" s="1390"/>
      <c r="C666" s="1127"/>
      <c r="D666" s="1127"/>
      <c r="E666" s="1127"/>
      <c r="F666" s="1127"/>
      <c r="G666" s="1127"/>
      <c r="H666" s="1127"/>
      <c r="I666" s="1127"/>
      <c r="J666" s="1127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1127"/>
      <c r="B667" s="1390"/>
      <c r="C667" s="1127"/>
      <c r="D667" s="1127"/>
      <c r="E667" s="1127"/>
      <c r="F667" s="1127"/>
      <c r="G667" s="1127"/>
      <c r="H667" s="1127"/>
      <c r="I667" s="1127"/>
      <c r="J667" s="1127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1127"/>
      <c r="B668" s="1390"/>
      <c r="C668" s="1127"/>
      <c r="D668" s="1127"/>
      <c r="E668" s="1127"/>
      <c r="F668" s="1127"/>
      <c r="G668" s="1127"/>
      <c r="H668" s="1127"/>
      <c r="I668" s="1127"/>
      <c r="J668" s="1127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1127"/>
      <c r="B669" s="1390"/>
      <c r="C669" s="1127"/>
      <c r="D669" s="1127"/>
      <c r="E669" s="1127"/>
      <c r="F669" s="1127"/>
      <c r="G669" s="1127"/>
      <c r="H669" s="1127"/>
      <c r="I669" s="1127"/>
      <c r="J669" s="1127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1127"/>
      <c r="B670" s="1390"/>
      <c r="C670" s="1127"/>
      <c r="D670" s="1127"/>
      <c r="E670" s="1127"/>
      <c r="F670" s="1127"/>
      <c r="G670" s="1127"/>
      <c r="H670" s="1127"/>
      <c r="I670" s="1127"/>
      <c r="J670" s="1127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1127"/>
      <c r="B671" s="1390"/>
      <c r="C671" s="1127"/>
      <c r="D671" s="1127"/>
      <c r="E671" s="1127"/>
      <c r="F671" s="1127"/>
      <c r="G671" s="1127"/>
      <c r="H671" s="1127"/>
      <c r="I671" s="1127"/>
      <c r="J671" s="1127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1127"/>
      <c r="B672" s="1390"/>
      <c r="C672" s="1127"/>
      <c r="D672" s="1127"/>
      <c r="E672" s="1127"/>
      <c r="F672" s="1127"/>
      <c r="G672" s="1127"/>
      <c r="H672" s="1127"/>
      <c r="I672" s="1127"/>
      <c r="J672" s="1127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1127"/>
      <c r="B673" s="1390"/>
      <c r="C673" s="1127"/>
      <c r="D673" s="1127"/>
      <c r="E673" s="1127"/>
      <c r="F673" s="1127"/>
      <c r="G673" s="1127"/>
      <c r="H673" s="1127"/>
      <c r="I673" s="1127"/>
      <c r="J673" s="1127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1127"/>
      <c r="B674" s="1390"/>
      <c r="C674" s="1127"/>
      <c r="D674" s="1127"/>
      <c r="E674" s="1127"/>
      <c r="F674" s="1127"/>
      <c r="G674" s="1127"/>
      <c r="H674" s="1127"/>
      <c r="I674" s="1127"/>
      <c r="J674" s="1127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1127"/>
      <c r="B675" s="1390"/>
      <c r="C675" s="1127"/>
      <c r="D675" s="1127"/>
      <c r="E675" s="1127"/>
      <c r="F675" s="1127"/>
      <c r="G675" s="1127"/>
      <c r="H675" s="1127"/>
      <c r="I675" s="1127"/>
      <c r="J675" s="1127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1127"/>
      <c r="B676" s="1390"/>
      <c r="C676" s="1127"/>
      <c r="D676" s="1127"/>
      <c r="E676" s="1127"/>
      <c r="F676" s="1127"/>
      <c r="G676" s="1127"/>
      <c r="H676" s="1127"/>
      <c r="I676" s="1127"/>
      <c r="J676" s="1127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1127"/>
      <c r="B677" s="1390"/>
      <c r="C677" s="1127"/>
      <c r="D677" s="1127"/>
      <c r="E677" s="1127"/>
      <c r="F677" s="1127"/>
      <c r="G677" s="1127"/>
      <c r="H677" s="1127"/>
      <c r="I677" s="1127"/>
      <c r="J677" s="1127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1127"/>
      <c r="B678" s="1390"/>
      <c r="C678" s="1127"/>
      <c r="D678" s="1127"/>
      <c r="E678" s="1127"/>
      <c r="F678" s="1127"/>
      <c r="G678" s="1127"/>
      <c r="H678" s="1127"/>
      <c r="I678" s="1127"/>
      <c r="J678" s="1127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1127"/>
      <c r="B679" s="1390"/>
      <c r="C679" s="1127"/>
      <c r="D679" s="1127"/>
      <c r="E679" s="1127"/>
      <c r="F679" s="1127"/>
      <c r="G679" s="1127"/>
      <c r="H679" s="1127"/>
      <c r="I679" s="1127"/>
      <c r="J679" s="1127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1127"/>
      <c r="B680" s="1390"/>
      <c r="C680" s="1127"/>
      <c r="D680" s="1127"/>
      <c r="E680" s="1127"/>
      <c r="F680" s="1127"/>
      <c r="G680" s="1127"/>
      <c r="H680" s="1127"/>
      <c r="I680" s="1127"/>
      <c r="J680" s="1127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1127"/>
      <c r="B681" s="1390"/>
      <c r="C681" s="1127"/>
      <c r="D681" s="1127"/>
      <c r="E681" s="1127"/>
      <c r="F681" s="1127"/>
      <c r="G681" s="1127"/>
      <c r="H681" s="1127"/>
      <c r="I681" s="1127"/>
      <c r="J681" s="1127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1127"/>
      <c r="B682" s="1390"/>
      <c r="C682" s="1127"/>
      <c r="D682" s="1127"/>
      <c r="E682" s="1127"/>
      <c r="F682" s="1127"/>
      <c r="G682" s="1127"/>
      <c r="H682" s="1127"/>
      <c r="I682" s="1127"/>
      <c r="J682" s="1127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1127"/>
      <c r="B683" s="1390"/>
      <c r="C683" s="1127"/>
      <c r="D683" s="1127"/>
      <c r="E683" s="1127"/>
      <c r="F683" s="1127"/>
      <c r="G683" s="1127"/>
      <c r="H683" s="1127"/>
      <c r="I683" s="1127"/>
      <c r="J683" s="1127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1127"/>
      <c r="B684" s="1390"/>
      <c r="C684" s="1127"/>
      <c r="D684" s="1127"/>
      <c r="E684" s="1127"/>
      <c r="F684" s="1127"/>
      <c r="G684" s="1127"/>
      <c r="H684" s="1127"/>
      <c r="I684" s="1127"/>
      <c r="J684" s="1127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1127"/>
      <c r="B685" s="1390"/>
      <c r="C685" s="1127"/>
      <c r="D685" s="1127"/>
      <c r="E685" s="1127"/>
      <c r="F685" s="1127"/>
      <c r="G685" s="1127"/>
      <c r="H685" s="1127"/>
      <c r="I685" s="1127"/>
      <c r="J685" s="1127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1127"/>
      <c r="B686" s="1390"/>
      <c r="C686" s="1127"/>
      <c r="D686" s="1127"/>
      <c r="E686" s="1127"/>
      <c r="F686" s="1127"/>
      <c r="G686" s="1127"/>
      <c r="H686" s="1127"/>
      <c r="I686" s="1127"/>
      <c r="J686" s="1127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1127"/>
      <c r="B687" s="1390"/>
      <c r="C687" s="1127"/>
      <c r="D687" s="1127"/>
      <c r="E687" s="1127"/>
      <c r="F687" s="1127"/>
      <c r="G687" s="1127"/>
      <c r="H687" s="1127"/>
      <c r="I687" s="1127"/>
      <c r="J687" s="1127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1127"/>
      <c r="B688" s="1390"/>
      <c r="C688" s="1127"/>
      <c r="D688" s="1127"/>
      <c r="E688" s="1127"/>
      <c r="F688" s="1127"/>
      <c r="G688" s="1127"/>
      <c r="H688" s="1127"/>
      <c r="I688" s="1127"/>
      <c r="J688" s="1127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1127"/>
      <c r="B689" s="1390"/>
      <c r="C689" s="1127"/>
      <c r="D689" s="1127"/>
      <c r="E689" s="1127"/>
      <c r="F689" s="1127"/>
      <c r="G689" s="1127"/>
      <c r="H689" s="1127"/>
      <c r="I689" s="1127"/>
      <c r="J689" s="1127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1127"/>
      <c r="B690" s="1390"/>
      <c r="C690" s="1127"/>
      <c r="D690" s="1127"/>
      <c r="E690" s="1127"/>
      <c r="F690" s="1127"/>
      <c r="G690" s="1127"/>
      <c r="H690" s="1127"/>
      <c r="I690" s="1127"/>
      <c r="J690" s="1127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1127"/>
      <c r="B691" s="1390"/>
      <c r="C691" s="1127"/>
      <c r="D691" s="1127"/>
      <c r="E691" s="1127"/>
      <c r="F691" s="1127"/>
      <c r="G691" s="1127"/>
      <c r="H691" s="1127"/>
      <c r="I691" s="1127"/>
      <c r="J691" s="1127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1127"/>
      <c r="B692" s="1390"/>
      <c r="C692" s="1127"/>
      <c r="D692" s="1127"/>
      <c r="E692" s="1127"/>
      <c r="F692" s="1127"/>
      <c r="G692" s="1127"/>
      <c r="H692" s="1127"/>
      <c r="I692" s="1127"/>
      <c r="J692" s="1127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1127"/>
      <c r="B693" s="1390"/>
      <c r="C693" s="1127"/>
      <c r="D693" s="1127"/>
      <c r="E693" s="1127"/>
      <c r="F693" s="1127"/>
      <c r="G693" s="1127"/>
      <c r="H693" s="1127"/>
      <c r="I693" s="1127"/>
      <c r="J693" s="1127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1127"/>
      <c r="B694" s="1390"/>
      <c r="C694" s="1127"/>
      <c r="D694" s="1127"/>
      <c r="E694" s="1127"/>
      <c r="F694" s="1127"/>
      <c r="G694" s="1127"/>
      <c r="H694" s="1127"/>
      <c r="I694" s="1127"/>
      <c r="J694" s="1127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1127"/>
      <c r="B695" s="1390"/>
      <c r="C695" s="1127"/>
      <c r="D695" s="1127"/>
      <c r="E695" s="1127"/>
      <c r="F695" s="1127"/>
      <c r="G695" s="1127"/>
      <c r="H695" s="1127"/>
      <c r="I695" s="1127"/>
      <c r="J695" s="1127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1127"/>
      <c r="B696" s="1390"/>
      <c r="C696" s="1127"/>
      <c r="D696" s="1127"/>
      <c r="E696" s="1127"/>
      <c r="F696" s="1127"/>
      <c r="G696" s="1127"/>
      <c r="H696" s="1127"/>
      <c r="I696" s="1127"/>
      <c r="J696" s="1127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1127"/>
      <c r="B697" s="1390"/>
      <c r="C697" s="1127"/>
      <c r="D697" s="1127"/>
      <c r="E697" s="1127"/>
      <c r="F697" s="1127"/>
      <c r="G697" s="1127"/>
      <c r="H697" s="1127"/>
      <c r="I697" s="1127"/>
      <c r="J697" s="1127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1127"/>
      <c r="B698" s="1390"/>
      <c r="C698" s="1127"/>
      <c r="D698" s="1127"/>
      <c r="E698" s="1127"/>
      <c r="F698" s="1127"/>
      <c r="G698" s="1127"/>
      <c r="H698" s="1127"/>
      <c r="I698" s="1127"/>
      <c r="J698" s="1127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1127"/>
      <c r="B699" s="1390"/>
      <c r="C699" s="1127"/>
      <c r="D699" s="1127"/>
      <c r="E699" s="1127"/>
      <c r="F699" s="1127"/>
      <c r="G699" s="1127"/>
      <c r="H699" s="1127"/>
      <c r="I699" s="1127"/>
      <c r="J699" s="1127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1127"/>
      <c r="B700" s="1390"/>
      <c r="C700" s="1127"/>
      <c r="D700" s="1127"/>
      <c r="E700" s="1127"/>
      <c r="F700" s="1127"/>
      <c r="G700" s="1127"/>
      <c r="H700" s="1127"/>
      <c r="I700" s="1127"/>
      <c r="J700" s="1127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1127"/>
      <c r="B701" s="1390"/>
      <c r="C701" s="1127"/>
      <c r="D701" s="1127"/>
      <c r="E701" s="1127"/>
      <c r="F701" s="1127"/>
      <c r="G701" s="1127"/>
      <c r="H701" s="1127"/>
      <c r="I701" s="1127"/>
      <c r="J701" s="1127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1127"/>
      <c r="B702" s="1390"/>
      <c r="C702" s="1127"/>
      <c r="D702" s="1127"/>
      <c r="E702" s="1127"/>
      <c r="F702" s="1127"/>
      <c r="G702" s="1127"/>
      <c r="H702" s="1127"/>
      <c r="I702" s="1127"/>
      <c r="J702" s="1127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1127"/>
      <c r="B703" s="1390"/>
      <c r="C703" s="1127"/>
      <c r="D703" s="1127"/>
      <c r="E703" s="1127"/>
      <c r="F703" s="1127"/>
      <c r="G703" s="1127"/>
      <c r="H703" s="1127"/>
      <c r="I703" s="1127"/>
      <c r="J703" s="1127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1127"/>
      <c r="B704" s="1390"/>
      <c r="C704" s="1127"/>
      <c r="D704" s="1127"/>
      <c r="E704" s="1127"/>
      <c r="F704" s="1127"/>
      <c r="G704" s="1127"/>
      <c r="H704" s="1127"/>
      <c r="I704" s="1127"/>
      <c r="J704" s="1127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1127"/>
      <c r="B705" s="1390"/>
      <c r="C705" s="1127"/>
      <c r="D705" s="1127"/>
      <c r="E705" s="1127"/>
      <c r="F705" s="1127"/>
      <c r="G705" s="1127"/>
      <c r="H705" s="1127"/>
      <c r="I705" s="1127"/>
      <c r="J705" s="1127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1127"/>
      <c r="B706" s="1390"/>
      <c r="C706" s="1127"/>
      <c r="D706" s="1127"/>
      <c r="E706" s="1127"/>
      <c r="F706" s="1127"/>
      <c r="G706" s="1127"/>
      <c r="H706" s="1127"/>
      <c r="I706" s="1127"/>
      <c r="J706" s="1127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1127"/>
      <c r="B707" s="1390"/>
      <c r="C707" s="1127"/>
      <c r="D707" s="1127"/>
      <c r="E707" s="1127"/>
      <c r="F707" s="1127"/>
      <c r="G707" s="1127"/>
      <c r="H707" s="1127"/>
      <c r="I707" s="1127"/>
      <c r="J707" s="1127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1127"/>
      <c r="B708" s="1390"/>
      <c r="C708" s="1127"/>
      <c r="D708" s="1127"/>
      <c r="E708" s="1127"/>
      <c r="F708" s="1127"/>
      <c r="G708" s="1127"/>
      <c r="H708" s="1127"/>
      <c r="I708" s="1127"/>
      <c r="J708" s="1127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1127"/>
      <c r="B709" s="1390"/>
      <c r="C709" s="1127"/>
      <c r="D709" s="1127"/>
      <c r="E709" s="1127"/>
      <c r="F709" s="1127"/>
      <c r="G709" s="1127"/>
      <c r="H709" s="1127"/>
      <c r="I709" s="1127"/>
      <c r="J709" s="1127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1127"/>
      <c r="B710" s="1390"/>
      <c r="C710" s="1127"/>
      <c r="D710" s="1127"/>
      <c r="E710" s="1127"/>
      <c r="F710" s="1127"/>
      <c r="G710" s="1127"/>
      <c r="H710" s="1127"/>
      <c r="I710" s="1127"/>
      <c r="J710" s="1127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1127"/>
      <c r="B711" s="1390"/>
      <c r="C711" s="1127"/>
      <c r="D711" s="1127"/>
      <c r="E711" s="1127"/>
      <c r="F711" s="1127"/>
      <c r="G711" s="1127"/>
      <c r="H711" s="1127"/>
      <c r="I711" s="1127"/>
      <c r="J711" s="1127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1127"/>
      <c r="B712" s="1390"/>
      <c r="C712" s="1127"/>
      <c r="D712" s="1127"/>
      <c r="E712" s="1127"/>
      <c r="F712" s="1127"/>
      <c r="G712" s="1127"/>
      <c r="H712" s="1127"/>
      <c r="I712" s="1127"/>
      <c r="J712" s="1127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1127"/>
      <c r="B713" s="1390"/>
      <c r="C713" s="1127"/>
      <c r="D713" s="1127"/>
      <c r="E713" s="1127"/>
      <c r="F713" s="1127"/>
      <c r="G713" s="1127"/>
      <c r="H713" s="1127"/>
      <c r="I713" s="1127"/>
      <c r="J713" s="1127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1127"/>
      <c r="B714" s="1390"/>
      <c r="C714" s="1127"/>
      <c r="D714" s="1127"/>
      <c r="E714" s="1127"/>
      <c r="F714" s="1127"/>
      <c r="G714" s="1127"/>
      <c r="H714" s="1127"/>
      <c r="I714" s="1127"/>
      <c r="J714" s="1127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1127"/>
      <c r="B715" s="1390"/>
      <c r="C715" s="1127"/>
      <c r="D715" s="1127"/>
      <c r="E715" s="1127"/>
      <c r="F715" s="1127"/>
      <c r="G715" s="1127"/>
      <c r="H715" s="1127"/>
      <c r="I715" s="1127"/>
      <c r="J715" s="1127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1127"/>
      <c r="B716" s="1390"/>
      <c r="C716" s="1127"/>
      <c r="D716" s="1127"/>
      <c r="E716" s="1127"/>
      <c r="F716" s="1127"/>
      <c r="G716" s="1127"/>
      <c r="H716" s="1127"/>
      <c r="I716" s="1127"/>
      <c r="J716" s="1127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1127"/>
      <c r="B717" s="1390"/>
      <c r="C717" s="1127"/>
      <c r="D717" s="1127"/>
      <c r="E717" s="1127"/>
      <c r="F717" s="1127"/>
      <c r="G717" s="1127"/>
      <c r="H717" s="1127"/>
      <c r="I717" s="1127"/>
      <c r="J717" s="1127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1127"/>
      <c r="B718" s="1390"/>
      <c r="C718" s="1127"/>
      <c r="D718" s="1127"/>
      <c r="E718" s="1127"/>
      <c r="F718" s="1127"/>
      <c r="G718" s="1127"/>
      <c r="H718" s="1127"/>
      <c r="I718" s="1127"/>
      <c r="J718" s="1127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1127"/>
      <c r="B719" s="1390"/>
      <c r="C719" s="1127"/>
      <c r="D719" s="1127"/>
      <c r="E719" s="1127"/>
      <c r="F719" s="1127"/>
      <c r="G719" s="1127"/>
      <c r="H719" s="1127"/>
      <c r="I719" s="1127"/>
      <c r="J719" s="1127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1127"/>
      <c r="B720" s="1390"/>
      <c r="C720" s="1127"/>
      <c r="D720" s="1127"/>
      <c r="E720" s="1127"/>
      <c r="F720" s="1127"/>
      <c r="G720" s="1127"/>
      <c r="H720" s="1127"/>
      <c r="I720" s="1127"/>
      <c r="J720" s="1127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1127"/>
      <c r="B721" s="1390"/>
      <c r="C721" s="1127"/>
      <c r="D721" s="1127"/>
      <c r="E721" s="1127"/>
      <c r="F721" s="1127"/>
      <c r="G721" s="1127"/>
      <c r="H721" s="1127"/>
      <c r="I721" s="1127"/>
      <c r="J721" s="1127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1127"/>
      <c r="B722" s="1390"/>
      <c r="C722" s="1127"/>
      <c r="D722" s="1127"/>
      <c r="E722" s="1127"/>
      <c r="F722" s="1127"/>
      <c r="G722" s="1127"/>
      <c r="H722" s="1127"/>
      <c r="I722" s="1127"/>
      <c r="J722" s="1127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1127"/>
      <c r="B723" s="1390"/>
      <c r="C723" s="1127"/>
      <c r="D723" s="1127"/>
      <c r="E723" s="1127"/>
      <c r="F723" s="1127"/>
      <c r="G723" s="1127"/>
      <c r="H723" s="1127"/>
      <c r="I723" s="1127"/>
      <c r="J723" s="1127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1127"/>
      <c r="B724" s="1390"/>
      <c r="C724" s="1127"/>
      <c r="D724" s="1127"/>
      <c r="E724" s="1127"/>
      <c r="F724" s="1127"/>
      <c r="G724" s="1127"/>
      <c r="H724" s="1127"/>
      <c r="I724" s="1127"/>
      <c r="J724" s="1127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1127"/>
      <c r="B725" s="1390"/>
      <c r="C725" s="1127"/>
      <c r="D725" s="1127"/>
      <c r="E725" s="1127"/>
      <c r="F725" s="1127"/>
      <c r="G725" s="1127"/>
      <c r="H725" s="1127"/>
      <c r="I725" s="1127"/>
      <c r="J725" s="1127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1127"/>
      <c r="B726" s="1390"/>
      <c r="C726" s="1127"/>
      <c r="D726" s="1127"/>
      <c r="E726" s="1127"/>
      <c r="F726" s="1127"/>
      <c r="G726" s="1127"/>
      <c r="H726" s="1127"/>
      <c r="I726" s="1127"/>
      <c r="J726" s="1127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1127"/>
      <c r="B727" s="1390"/>
      <c r="C727" s="1127"/>
      <c r="D727" s="1127"/>
      <c r="E727" s="1127"/>
      <c r="F727" s="1127"/>
      <c r="G727" s="1127"/>
      <c r="H727" s="1127"/>
      <c r="I727" s="1127"/>
      <c r="J727" s="1127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1127"/>
      <c r="B728" s="1390"/>
      <c r="C728" s="1127"/>
      <c r="D728" s="1127"/>
      <c r="E728" s="1127"/>
      <c r="F728" s="1127"/>
      <c r="G728" s="1127"/>
      <c r="H728" s="1127"/>
      <c r="I728" s="1127"/>
      <c r="J728" s="1127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1127"/>
      <c r="B729" s="1390"/>
      <c r="C729" s="1127"/>
      <c r="D729" s="1127"/>
      <c r="E729" s="1127"/>
      <c r="F729" s="1127"/>
      <c r="G729" s="1127"/>
      <c r="H729" s="1127"/>
      <c r="I729" s="1127"/>
      <c r="J729" s="1127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1127"/>
      <c r="B730" s="1390"/>
      <c r="C730" s="1127"/>
      <c r="D730" s="1127"/>
      <c r="E730" s="1127"/>
      <c r="F730" s="1127"/>
      <c r="G730" s="1127"/>
      <c r="H730" s="1127"/>
      <c r="I730" s="1127"/>
      <c r="J730" s="1127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1127"/>
      <c r="B731" s="1390"/>
      <c r="C731" s="1127"/>
      <c r="D731" s="1127"/>
      <c r="E731" s="1127"/>
      <c r="F731" s="1127"/>
      <c r="G731" s="1127"/>
      <c r="H731" s="1127"/>
      <c r="I731" s="1127"/>
      <c r="J731" s="1127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1127"/>
      <c r="B732" s="1390"/>
      <c r="C732" s="1127"/>
      <c r="D732" s="1127"/>
      <c r="E732" s="1127"/>
      <c r="F732" s="1127"/>
      <c r="G732" s="1127"/>
      <c r="H732" s="1127"/>
      <c r="I732" s="1127"/>
      <c r="J732" s="1127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1127"/>
      <c r="B733" s="1390"/>
      <c r="C733" s="1127"/>
      <c r="D733" s="1127"/>
      <c r="E733" s="1127"/>
      <c r="F733" s="1127"/>
      <c r="G733" s="1127"/>
      <c r="H733" s="1127"/>
      <c r="I733" s="1127"/>
      <c r="J733" s="1127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1127"/>
      <c r="B734" s="1390"/>
      <c r="C734" s="1127"/>
      <c r="D734" s="1127"/>
      <c r="E734" s="1127"/>
      <c r="F734" s="1127"/>
      <c r="G734" s="1127"/>
      <c r="H734" s="1127"/>
      <c r="I734" s="1127"/>
      <c r="J734" s="1127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1127"/>
      <c r="B735" s="1390"/>
      <c r="C735" s="1127"/>
      <c r="D735" s="1127"/>
      <c r="E735" s="1127"/>
      <c r="F735" s="1127"/>
      <c r="G735" s="1127"/>
      <c r="H735" s="1127"/>
      <c r="I735" s="1127"/>
      <c r="J735" s="1127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1127"/>
      <c r="B736" s="1390"/>
      <c r="C736" s="1127"/>
      <c r="D736" s="1127"/>
      <c r="E736" s="1127"/>
      <c r="F736" s="1127"/>
      <c r="G736" s="1127"/>
      <c r="H736" s="1127"/>
      <c r="I736" s="1127"/>
      <c r="J736" s="1127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1127"/>
      <c r="B737" s="1390"/>
      <c r="C737" s="1127"/>
      <c r="D737" s="1127"/>
      <c r="E737" s="1127"/>
      <c r="F737" s="1127"/>
      <c r="G737" s="1127"/>
      <c r="H737" s="1127"/>
      <c r="I737" s="1127"/>
      <c r="J737" s="1127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1127"/>
      <c r="B738" s="1390"/>
      <c r="C738" s="1127"/>
      <c r="D738" s="1127"/>
      <c r="E738" s="1127"/>
      <c r="F738" s="1127"/>
      <c r="G738" s="1127"/>
      <c r="H738" s="1127"/>
      <c r="I738" s="1127"/>
      <c r="J738" s="1127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1127"/>
      <c r="B739" s="1390"/>
      <c r="C739" s="1127"/>
      <c r="D739" s="1127"/>
      <c r="E739" s="1127"/>
      <c r="F739" s="1127"/>
      <c r="G739" s="1127"/>
      <c r="H739" s="1127"/>
      <c r="I739" s="1127"/>
      <c r="J739" s="1127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1127"/>
      <c r="B740" s="1390"/>
      <c r="C740" s="1127"/>
      <c r="D740" s="1127"/>
      <c r="E740" s="1127"/>
      <c r="F740" s="1127"/>
      <c r="G740" s="1127"/>
      <c r="H740" s="1127"/>
      <c r="I740" s="1127"/>
      <c r="J740" s="1127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1127"/>
      <c r="B741" s="1390"/>
      <c r="C741" s="1127"/>
      <c r="D741" s="1127"/>
      <c r="E741" s="1127"/>
      <c r="F741" s="1127"/>
      <c r="G741" s="1127"/>
      <c r="H741" s="1127"/>
      <c r="I741" s="1127"/>
      <c r="J741" s="1127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1127"/>
      <c r="B742" s="1390"/>
      <c r="C742" s="1127"/>
      <c r="D742" s="1127"/>
      <c r="E742" s="1127"/>
      <c r="F742" s="1127"/>
      <c r="G742" s="1127"/>
      <c r="H742" s="1127"/>
      <c r="I742" s="1127"/>
      <c r="J742" s="1127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1127"/>
      <c r="B743" s="1390"/>
      <c r="C743" s="1127"/>
      <c r="D743" s="1127"/>
      <c r="E743" s="1127"/>
      <c r="F743" s="1127"/>
      <c r="G743" s="1127"/>
      <c r="H743" s="1127"/>
      <c r="I743" s="1127"/>
      <c r="J743" s="1127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1127"/>
      <c r="B744" s="1390"/>
      <c r="C744" s="1127"/>
      <c r="D744" s="1127"/>
      <c r="E744" s="1127"/>
      <c r="F744" s="1127"/>
      <c r="G744" s="1127"/>
      <c r="H744" s="1127"/>
      <c r="I744" s="1127"/>
      <c r="J744" s="1127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1127"/>
      <c r="B745" s="1390"/>
      <c r="C745" s="1127"/>
      <c r="D745" s="1127"/>
      <c r="E745" s="1127"/>
      <c r="F745" s="1127"/>
      <c r="G745" s="1127"/>
      <c r="H745" s="1127"/>
      <c r="I745" s="1127"/>
      <c r="J745" s="1127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1127"/>
      <c r="B746" s="1390"/>
      <c r="C746" s="1127"/>
      <c r="D746" s="1127"/>
      <c r="E746" s="1127"/>
      <c r="F746" s="1127"/>
      <c r="G746" s="1127"/>
      <c r="H746" s="1127"/>
      <c r="I746" s="1127"/>
      <c r="J746" s="1127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1127"/>
      <c r="B747" s="1390"/>
      <c r="C747" s="1127"/>
      <c r="D747" s="1127"/>
      <c r="E747" s="1127"/>
      <c r="F747" s="1127"/>
      <c r="G747" s="1127"/>
      <c r="H747" s="1127"/>
      <c r="I747" s="1127"/>
      <c r="J747" s="1127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1127"/>
      <c r="B748" s="1390"/>
      <c r="C748" s="1127"/>
      <c r="D748" s="1127"/>
      <c r="E748" s="1127"/>
      <c r="F748" s="1127"/>
      <c r="G748" s="1127"/>
      <c r="H748" s="1127"/>
      <c r="I748" s="1127"/>
      <c r="J748" s="1127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1127"/>
      <c r="B749" s="1390"/>
      <c r="C749" s="1127"/>
      <c r="D749" s="1127"/>
      <c r="E749" s="1127"/>
      <c r="F749" s="1127"/>
      <c r="G749" s="1127"/>
      <c r="H749" s="1127"/>
      <c r="I749" s="1127"/>
      <c r="J749" s="1127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1127"/>
      <c r="B750" s="1390"/>
      <c r="C750" s="1127"/>
      <c r="D750" s="1127"/>
      <c r="E750" s="1127"/>
      <c r="F750" s="1127"/>
      <c r="G750" s="1127"/>
      <c r="H750" s="1127"/>
      <c r="I750" s="1127"/>
      <c r="J750" s="1127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1127"/>
      <c r="B751" s="1390"/>
      <c r="C751" s="1127"/>
      <c r="D751" s="1127"/>
      <c r="E751" s="1127"/>
      <c r="F751" s="1127"/>
      <c r="G751" s="1127"/>
      <c r="H751" s="1127"/>
      <c r="I751" s="1127"/>
      <c r="J751" s="1127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1127"/>
      <c r="B752" s="1390"/>
      <c r="C752" s="1127"/>
      <c r="D752" s="1127"/>
      <c r="E752" s="1127"/>
      <c r="F752" s="1127"/>
      <c r="G752" s="1127"/>
      <c r="H752" s="1127"/>
      <c r="I752" s="1127"/>
      <c r="J752" s="1127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1127"/>
      <c r="B753" s="1390"/>
      <c r="C753" s="1127"/>
      <c r="D753" s="1127"/>
      <c r="E753" s="1127"/>
      <c r="F753" s="1127"/>
      <c r="G753" s="1127"/>
      <c r="H753" s="1127"/>
      <c r="I753" s="1127"/>
      <c r="J753" s="1127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1127"/>
      <c r="B754" s="1390"/>
      <c r="C754" s="1127"/>
      <c r="D754" s="1127"/>
      <c r="E754" s="1127"/>
      <c r="F754" s="1127"/>
      <c r="G754" s="1127"/>
      <c r="H754" s="1127"/>
      <c r="I754" s="1127"/>
      <c r="J754" s="1127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1127"/>
      <c r="B755" s="1390"/>
      <c r="C755" s="1127"/>
      <c r="D755" s="1127"/>
      <c r="E755" s="1127"/>
      <c r="F755" s="1127"/>
      <c r="G755" s="1127"/>
      <c r="H755" s="1127"/>
      <c r="I755" s="1127"/>
      <c r="J755" s="1127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1127"/>
      <c r="B756" s="1390"/>
      <c r="C756" s="1127"/>
      <c r="D756" s="1127"/>
      <c r="E756" s="1127"/>
      <c r="F756" s="1127"/>
      <c r="G756" s="1127"/>
      <c r="H756" s="1127"/>
      <c r="I756" s="1127"/>
      <c r="J756" s="1127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1127"/>
      <c r="B757" s="1390"/>
      <c r="C757" s="1127"/>
      <c r="D757" s="1127"/>
      <c r="E757" s="1127"/>
      <c r="F757" s="1127"/>
      <c r="G757" s="1127"/>
      <c r="H757" s="1127"/>
      <c r="I757" s="1127"/>
      <c r="J757" s="1127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1127"/>
      <c r="B758" s="1390"/>
      <c r="C758" s="1127"/>
      <c r="D758" s="1127"/>
      <c r="E758" s="1127"/>
      <c r="F758" s="1127"/>
      <c r="G758" s="1127"/>
      <c r="H758" s="1127"/>
      <c r="I758" s="1127"/>
      <c r="J758" s="1127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1127"/>
      <c r="B759" s="1390"/>
      <c r="C759" s="1127"/>
      <c r="D759" s="1127"/>
      <c r="E759" s="1127"/>
      <c r="F759" s="1127"/>
      <c r="G759" s="1127"/>
      <c r="H759" s="1127"/>
      <c r="I759" s="1127"/>
      <c r="J759" s="1127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1127"/>
      <c r="B760" s="1390"/>
      <c r="C760" s="1127"/>
      <c r="D760" s="1127"/>
      <c r="E760" s="1127"/>
      <c r="F760" s="1127"/>
      <c r="G760" s="1127"/>
      <c r="H760" s="1127"/>
      <c r="I760" s="1127"/>
      <c r="J760" s="1127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1127"/>
      <c r="B761" s="1390"/>
      <c r="C761" s="1127"/>
      <c r="D761" s="1127"/>
      <c r="E761" s="1127"/>
      <c r="F761" s="1127"/>
      <c r="G761" s="1127"/>
      <c r="H761" s="1127"/>
      <c r="I761" s="1127"/>
      <c r="J761" s="1127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1127"/>
      <c r="B762" s="1390"/>
      <c r="C762" s="1127"/>
      <c r="D762" s="1127"/>
      <c r="E762" s="1127"/>
      <c r="F762" s="1127"/>
      <c r="G762" s="1127"/>
      <c r="H762" s="1127"/>
      <c r="I762" s="1127"/>
      <c r="J762" s="1127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1127"/>
      <c r="B763" s="1390"/>
      <c r="C763" s="1127"/>
      <c r="D763" s="1127"/>
      <c r="E763" s="1127"/>
      <c r="F763" s="1127"/>
      <c r="G763" s="1127"/>
      <c r="H763" s="1127"/>
      <c r="I763" s="1127"/>
      <c r="J763" s="1127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1127"/>
      <c r="B764" s="1390"/>
      <c r="C764" s="1127"/>
      <c r="D764" s="1127"/>
      <c r="E764" s="1127"/>
      <c r="F764" s="1127"/>
      <c r="G764" s="1127"/>
      <c r="H764" s="1127"/>
      <c r="I764" s="1127"/>
      <c r="J764" s="1127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1127"/>
      <c r="B765" s="1390"/>
      <c r="C765" s="1127"/>
      <c r="D765" s="1127"/>
      <c r="E765" s="1127"/>
      <c r="F765" s="1127"/>
      <c r="G765" s="1127"/>
      <c r="H765" s="1127"/>
      <c r="I765" s="1127"/>
      <c r="J765" s="1127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1127"/>
      <c r="B766" s="1390"/>
      <c r="C766" s="1127"/>
      <c r="D766" s="1127"/>
      <c r="E766" s="1127"/>
      <c r="F766" s="1127"/>
      <c r="G766" s="1127"/>
      <c r="H766" s="1127"/>
      <c r="I766" s="1127"/>
      <c r="J766" s="1127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1127"/>
      <c r="B767" s="1390"/>
      <c r="C767" s="1127"/>
      <c r="D767" s="1127"/>
      <c r="E767" s="1127"/>
      <c r="F767" s="1127"/>
      <c r="G767" s="1127"/>
      <c r="H767" s="1127"/>
      <c r="I767" s="1127"/>
      <c r="J767" s="1127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1127"/>
      <c r="B768" s="1390"/>
      <c r="C768" s="1127"/>
      <c r="D768" s="1127"/>
      <c r="E768" s="1127"/>
      <c r="F768" s="1127"/>
      <c r="G768" s="1127"/>
      <c r="H768" s="1127"/>
      <c r="I768" s="1127"/>
      <c r="J768" s="1127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1127"/>
      <c r="B769" s="1390"/>
      <c r="C769" s="1127"/>
      <c r="D769" s="1127"/>
      <c r="E769" s="1127"/>
      <c r="F769" s="1127"/>
      <c r="G769" s="1127"/>
      <c r="H769" s="1127"/>
      <c r="I769" s="1127"/>
      <c r="J769" s="1127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1127"/>
      <c r="B770" s="1390"/>
      <c r="C770" s="1127"/>
      <c r="D770" s="1127"/>
      <c r="E770" s="1127"/>
      <c r="F770" s="1127"/>
      <c r="G770" s="1127"/>
      <c r="H770" s="1127"/>
      <c r="I770" s="1127"/>
      <c r="J770" s="1127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1127"/>
      <c r="B771" s="1390"/>
      <c r="C771" s="1127"/>
      <c r="D771" s="1127"/>
      <c r="E771" s="1127"/>
      <c r="F771" s="1127"/>
      <c r="G771" s="1127"/>
      <c r="H771" s="1127"/>
      <c r="I771" s="1127"/>
      <c r="J771" s="1127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1127"/>
      <c r="B772" s="1390"/>
      <c r="C772" s="1127"/>
      <c r="D772" s="1127"/>
      <c r="E772" s="1127"/>
      <c r="F772" s="1127"/>
      <c r="G772" s="1127"/>
      <c r="H772" s="1127"/>
      <c r="I772" s="1127"/>
      <c r="J772" s="1127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1127"/>
      <c r="B773" s="1390"/>
      <c r="C773" s="1127"/>
      <c r="D773" s="1127"/>
      <c r="E773" s="1127"/>
      <c r="F773" s="1127"/>
      <c r="G773" s="1127"/>
      <c r="H773" s="1127"/>
      <c r="I773" s="1127"/>
      <c r="J773" s="1127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1127"/>
      <c r="B774" s="1390"/>
      <c r="C774" s="1127"/>
      <c r="D774" s="1127"/>
      <c r="E774" s="1127"/>
      <c r="F774" s="1127"/>
      <c r="G774" s="1127"/>
      <c r="H774" s="1127"/>
      <c r="I774" s="1127"/>
      <c r="J774" s="1127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1127"/>
      <c r="B775" s="1390"/>
      <c r="C775" s="1127"/>
      <c r="D775" s="1127"/>
      <c r="E775" s="1127"/>
      <c r="F775" s="1127"/>
      <c r="G775" s="1127"/>
      <c r="H775" s="1127"/>
      <c r="I775" s="1127"/>
      <c r="J775" s="1127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1127"/>
      <c r="B776" s="1390"/>
      <c r="C776" s="1127"/>
      <c r="D776" s="1127"/>
      <c r="E776" s="1127"/>
      <c r="F776" s="1127"/>
      <c r="G776" s="1127"/>
      <c r="H776" s="1127"/>
      <c r="I776" s="1127"/>
      <c r="J776" s="1127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1127"/>
      <c r="B777" s="1390"/>
      <c r="C777" s="1127"/>
      <c r="D777" s="1127"/>
      <c r="E777" s="1127"/>
      <c r="F777" s="1127"/>
      <c r="G777" s="1127"/>
      <c r="H777" s="1127"/>
      <c r="I777" s="1127"/>
      <c r="J777" s="1127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1127"/>
      <c r="B778" s="1390"/>
      <c r="C778" s="1127"/>
      <c r="D778" s="1127"/>
      <c r="E778" s="1127"/>
      <c r="F778" s="1127"/>
      <c r="G778" s="1127"/>
      <c r="H778" s="1127"/>
      <c r="I778" s="1127"/>
      <c r="J778" s="1127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1127"/>
      <c r="B779" s="1390"/>
      <c r="C779" s="1127"/>
      <c r="D779" s="1127"/>
      <c r="E779" s="1127"/>
      <c r="F779" s="1127"/>
      <c r="G779" s="1127"/>
      <c r="H779" s="1127"/>
      <c r="I779" s="1127"/>
      <c r="J779" s="1127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1127"/>
      <c r="B780" s="1390"/>
      <c r="C780" s="1127"/>
      <c r="D780" s="1127"/>
      <c r="E780" s="1127"/>
      <c r="F780" s="1127"/>
      <c r="G780" s="1127"/>
      <c r="H780" s="1127"/>
      <c r="I780" s="1127"/>
      <c r="J780" s="1127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1127"/>
      <c r="B781" s="1390"/>
      <c r="C781" s="1127"/>
      <c r="D781" s="1127"/>
      <c r="E781" s="1127"/>
      <c r="F781" s="1127"/>
      <c r="G781" s="1127"/>
      <c r="H781" s="1127"/>
      <c r="I781" s="1127"/>
      <c r="J781" s="1127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1127"/>
      <c r="B782" s="1390"/>
      <c r="C782" s="1127"/>
      <c r="D782" s="1127"/>
      <c r="E782" s="1127"/>
      <c r="F782" s="1127"/>
      <c r="G782" s="1127"/>
      <c r="H782" s="1127"/>
      <c r="I782" s="1127"/>
      <c r="J782" s="1127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1127"/>
      <c r="B783" s="1390"/>
      <c r="C783" s="1127"/>
      <c r="D783" s="1127"/>
      <c r="E783" s="1127"/>
      <c r="F783" s="1127"/>
      <c r="G783" s="1127"/>
      <c r="H783" s="1127"/>
      <c r="I783" s="1127"/>
      <c r="J783" s="1127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1127"/>
      <c r="B784" s="1390"/>
      <c r="C784" s="1127"/>
      <c r="D784" s="1127"/>
      <c r="E784" s="1127"/>
      <c r="F784" s="1127"/>
      <c r="G784" s="1127"/>
      <c r="H784" s="1127"/>
      <c r="I784" s="1127"/>
      <c r="J784" s="1127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1127"/>
      <c r="B785" s="1390"/>
      <c r="C785" s="1127"/>
      <c r="D785" s="1127"/>
      <c r="E785" s="1127"/>
      <c r="F785" s="1127"/>
      <c r="G785" s="1127"/>
      <c r="H785" s="1127"/>
      <c r="I785" s="1127"/>
      <c r="J785" s="1127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1127"/>
      <c r="B786" s="1390"/>
      <c r="C786" s="1127"/>
      <c r="D786" s="1127"/>
      <c r="E786" s="1127"/>
      <c r="F786" s="1127"/>
      <c r="G786" s="1127"/>
      <c r="H786" s="1127"/>
      <c r="I786" s="1127"/>
      <c r="J786" s="1127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1127"/>
      <c r="B787" s="1390"/>
      <c r="C787" s="1127"/>
      <c r="D787" s="1127"/>
      <c r="E787" s="1127"/>
      <c r="F787" s="1127"/>
      <c r="G787" s="1127"/>
      <c r="H787" s="1127"/>
      <c r="I787" s="1127"/>
      <c r="J787" s="1127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1127"/>
      <c r="B788" s="1390"/>
      <c r="C788" s="1127"/>
      <c r="D788" s="1127"/>
      <c r="E788" s="1127"/>
      <c r="F788" s="1127"/>
      <c r="G788" s="1127"/>
      <c r="H788" s="1127"/>
      <c r="I788" s="1127"/>
      <c r="J788" s="1127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1127"/>
      <c r="B789" s="1390"/>
      <c r="C789" s="1127"/>
      <c r="D789" s="1127"/>
      <c r="E789" s="1127"/>
      <c r="F789" s="1127"/>
      <c r="G789" s="1127"/>
      <c r="H789" s="1127"/>
      <c r="I789" s="1127"/>
      <c r="J789" s="1127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1127"/>
      <c r="B790" s="1390"/>
      <c r="C790" s="1127"/>
      <c r="D790" s="1127"/>
      <c r="E790" s="1127"/>
      <c r="F790" s="1127"/>
      <c r="G790" s="1127"/>
      <c r="H790" s="1127"/>
      <c r="I790" s="1127"/>
      <c r="J790" s="1127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1127"/>
      <c r="B791" s="1390"/>
      <c r="C791" s="1127"/>
      <c r="D791" s="1127"/>
      <c r="E791" s="1127"/>
      <c r="F791" s="1127"/>
      <c r="G791" s="1127"/>
      <c r="H791" s="1127"/>
      <c r="I791" s="1127"/>
      <c r="J791" s="1127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1127"/>
      <c r="B792" s="1390"/>
      <c r="C792" s="1127"/>
      <c r="D792" s="1127"/>
      <c r="E792" s="1127"/>
      <c r="F792" s="1127"/>
      <c r="G792" s="1127"/>
      <c r="H792" s="1127"/>
      <c r="I792" s="1127"/>
      <c r="J792" s="1127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1127"/>
      <c r="B793" s="1390"/>
      <c r="C793" s="1127"/>
      <c r="D793" s="1127"/>
      <c r="E793" s="1127"/>
      <c r="F793" s="1127"/>
      <c r="G793" s="1127"/>
      <c r="H793" s="1127"/>
      <c r="I793" s="1127"/>
      <c r="J793" s="1127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1127"/>
      <c r="B794" s="1390"/>
      <c r="C794" s="1127"/>
      <c r="D794" s="1127"/>
      <c r="E794" s="1127"/>
      <c r="F794" s="1127"/>
      <c r="G794" s="1127"/>
      <c r="H794" s="1127"/>
      <c r="I794" s="1127"/>
      <c r="J794" s="1127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1127"/>
      <c r="B795" s="1390"/>
      <c r="C795" s="1127"/>
      <c r="D795" s="1127"/>
      <c r="E795" s="1127"/>
      <c r="F795" s="1127"/>
      <c r="G795" s="1127"/>
      <c r="H795" s="1127"/>
      <c r="I795" s="1127"/>
      <c r="J795" s="1127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1127"/>
      <c r="B796" s="1390"/>
      <c r="C796" s="1127"/>
      <c r="D796" s="1127"/>
      <c r="E796" s="1127"/>
      <c r="F796" s="1127"/>
      <c r="G796" s="1127"/>
      <c r="H796" s="1127"/>
      <c r="I796" s="1127"/>
      <c r="J796" s="1127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1127"/>
      <c r="B797" s="1390"/>
      <c r="C797" s="1127"/>
      <c r="D797" s="1127"/>
      <c r="E797" s="1127"/>
      <c r="F797" s="1127"/>
      <c r="G797" s="1127"/>
      <c r="H797" s="1127"/>
      <c r="I797" s="1127"/>
      <c r="J797" s="1127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1127"/>
      <c r="B798" s="1390"/>
      <c r="C798" s="1127"/>
      <c r="D798" s="1127"/>
      <c r="E798" s="1127"/>
      <c r="F798" s="1127"/>
      <c r="G798" s="1127"/>
      <c r="H798" s="1127"/>
      <c r="I798" s="1127"/>
      <c r="J798" s="1127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1127"/>
      <c r="B799" s="1390"/>
      <c r="C799" s="1127"/>
      <c r="D799" s="1127"/>
      <c r="E799" s="1127"/>
      <c r="F799" s="1127"/>
      <c r="G799" s="1127"/>
      <c r="H799" s="1127"/>
      <c r="I799" s="1127"/>
      <c r="J799" s="1127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1127"/>
      <c r="B800" s="1390"/>
      <c r="C800" s="1127"/>
      <c r="D800" s="1127"/>
      <c r="E800" s="1127"/>
      <c r="F800" s="1127"/>
      <c r="G800" s="1127"/>
      <c r="H800" s="1127"/>
      <c r="I800" s="1127"/>
      <c r="J800" s="1127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1127"/>
      <c r="B801" s="1390"/>
      <c r="C801" s="1127"/>
      <c r="D801" s="1127"/>
      <c r="E801" s="1127"/>
      <c r="F801" s="1127"/>
      <c r="G801" s="1127"/>
      <c r="H801" s="1127"/>
      <c r="I801" s="1127"/>
      <c r="J801" s="1127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1127"/>
      <c r="B802" s="1390"/>
      <c r="C802" s="1127"/>
      <c r="D802" s="1127"/>
      <c r="E802" s="1127"/>
      <c r="F802" s="1127"/>
      <c r="G802" s="1127"/>
      <c r="H802" s="1127"/>
      <c r="I802" s="1127"/>
      <c r="J802" s="1127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1127"/>
      <c r="B803" s="1390"/>
      <c r="C803" s="1127"/>
      <c r="D803" s="1127"/>
      <c r="E803" s="1127"/>
      <c r="F803" s="1127"/>
      <c r="G803" s="1127"/>
      <c r="H803" s="1127"/>
      <c r="I803" s="1127"/>
      <c r="J803" s="1127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1127"/>
      <c r="B804" s="1390"/>
      <c r="C804" s="1127"/>
      <c r="D804" s="1127"/>
      <c r="E804" s="1127"/>
      <c r="F804" s="1127"/>
      <c r="G804" s="1127"/>
      <c r="H804" s="1127"/>
      <c r="I804" s="1127"/>
      <c r="J804" s="1127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1127"/>
      <c r="B805" s="1390"/>
      <c r="C805" s="1127"/>
      <c r="D805" s="1127"/>
      <c r="E805" s="1127"/>
      <c r="F805" s="1127"/>
      <c r="G805" s="1127"/>
      <c r="H805" s="1127"/>
      <c r="I805" s="1127"/>
      <c r="J805" s="1127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1127"/>
      <c r="B806" s="1390"/>
      <c r="C806" s="1127"/>
      <c r="D806" s="1127"/>
      <c r="E806" s="1127"/>
      <c r="F806" s="1127"/>
      <c r="G806" s="1127"/>
      <c r="H806" s="1127"/>
      <c r="I806" s="1127"/>
      <c r="J806" s="1127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1127"/>
      <c r="B807" s="1390"/>
      <c r="C807" s="1127"/>
      <c r="D807" s="1127"/>
      <c r="E807" s="1127"/>
      <c r="F807" s="1127"/>
      <c r="G807" s="1127"/>
      <c r="H807" s="1127"/>
      <c r="I807" s="1127"/>
      <c r="J807" s="1127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1127"/>
      <c r="B808" s="1390"/>
      <c r="C808" s="1127"/>
      <c r="D808" s="1127"/>
      <c r="E808" s="1127"/>
      <c r="F808" s="1127"/>
      <c r="G808" s="1127"/>
      <c r="H808" s="1127"/>
      <c r="I808" s="1127"/>
      <c r="J808" s="1127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1127"/>
      <c r="B809" s="1390"/>
      <c r="C809" s="1127"/>
      <c r="D809" s="1127"/>
      <c r="E809" s="1127"/>
      <c r="F809" s="1127"/>
      <c r="G809" s="1127"/>
      <c r="H809" s="1127"/>
      <c r="I809" s="1127"/>
      <c r="J809" s="1127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1127"/>
      <c r="B810" s="1390"/>
      <c r="C810" s="1127"/>
      <c r="D810" s="1127"/>
      <c r="E810" s="1127"/>
      <c r="F810" s="1127"/>
      <c r="G810" s="1127"/>
      <c r="H810" s="1127"/>
      <c r="I810" s="1127"/>
      <c r="J810" s="1127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1127"/>
      <c r="B811" s="1390"/>
      <c r="C811" s="1127"/>
      <c r="D811" s="1127"/>
      <c r="E811" s="1127"/>
      <c r="F811" s="1127"/>
      <c r="G811" s="1127"/>
      <c r="H811" s="1127"/>
      <c r="I811" s="1127"/>
      <c r="J811" s="1127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1127"/>
      <c r="B812" s="1390"/>
      <c r="C812" s="1127"/>
      <c r="D812" s="1127"/>
      <c r="E812" s="1127"/>
      <c r="F812" s="1127"/>
      <c r="G812" s="1127"/>
      <c r="H812" s="1127"/>
      <c r="I812" s="1127"/>
      <c r="J812" s="1127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1127"/>
      <c r="B813" s="1390"/>
      <c r="C813" s="1127"/>
      <c r="D813" s="1127"/>
      <c r="E813" s="1127"/>
      <c r="F813" s="1127"/>
      <c r="G813" s="1127"/>
      <c r="H813" s="1127"/>
      <c r="I813" s="1127"/>
      <c r="J813" s="1127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1127"/>
      <c r="B814" s="1390"/>
      <c r="C814" s="1127"/>
      <c r="D814" s="1127"/>
      <c r="E814" s="1127"/>
      <c r="F814" s="1127"/>
      <c r="G814" s="1127"/>
      <c r="H814" s="1127"/>
      <c r="I814" s="1127"/>
      <c r="J814" s="1127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1127"/>
      <c r="B815" s="1390"/>
      <c r="C815" s="1127"/>
      <c r="D815" s="1127"/>
      <c r="E815" s="1127"/>
      <c r="F815" s="1127"/>
      <c r="G815" s="1127"/>
      <c r="H815" s="1127"/>
      <c r="I815" s="1127"/>
      <c r="J815" s="1127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1127"/>
      <c r="B816" s="1390"/>
      <c r="C816" s="1127"/>
      <c r="D816" s="1127"/>
      <c r="E816" s="1127"/>
      <c r="F816" s="1127"/>
      <c r="G816" s="1127"/>
      <c r="H816" s="1127"/>
      <c r="I816" s="1127"/>
      <c r="J816" s="1127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1127"/>
      <c r="B817" s="1390"/>
      <c r="C817" s="1127"/>
      <c r="D817" s="1127"/>
      <c r="E817" s="1127"/>
      <c r="F817" s="1127"/>
      <c r="G817" s="1127"/>
      <c r="H817" s="1127"/>
      <c r="I817" s="1127"/>
      <c r="J817" s="1127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1127"/>
      <c r="B818" s="1390"/>
      <c r="C818" s="1127"/>
      <c r="D818" s="1127"/>
      <c r="E818" s="1127"/>
      <c r="F818" s="1127"/>
      <c r="G818" s="1127"/>
      <c r="H818" s="1127"/>
      <c r="I818" s="1127"/>
      <c r="J818" s="1127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1127"/>
      <c r="B819" s="1390"/>
      <c r="C819" s="1127"/>
      <c r="D819" s="1127"/>
      <c r="E819" s="1127"/>
      <c r="F819" s="1127"/>
      <c r="G819" s="1127"/>
      <c r="H819" s="1127"/>
      <c r="I819" s="1127"/>
      <c r="J819" s="1127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1127"/>
      <c r="B820" s="1390"/>
      <c r="C820" s="1127"/>
      <c r="D820" s="1127"/>
      <c r="E820" s="1127"/>
      <c r="F820" s="1127"/>
      <c r="G820" s="1127"/>
      <c r="H820" s="1127"/>
      <c r="I820" s="1127"/>
      <c r="J820" s="1127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1127"/>
      <c r="B821" s="1390"/>
      <c r="C821" s="1127"/>
      <c r="D821" s="1127"/>
      <c r="E821" s="1127"/>
      <c r="F821" s="1127"/>
      <c r="G821" s="1127"/>
      <c r="H821" s="1127"/>
      <c r="I821" s="1127"/>
      <c r="J821" s="1127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1127"/>
      <c r="B822" s="1390"/>
      <c r="C822" s="1127"/>
      <c r="D822" s="1127"/>
      <c r="E822" s="1127"/>
      <c r="F822" s="1127"/>
      <c r="G822" s="1127"/>
      <c r="H822" s="1127"/>
      <c r="I822" s="1127"/>
      <c r="J822" s="1127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1127"/>
      <c r="B823" s="1390"/>
      <c r="C823" s="1127"/>
      <c r="D823" s="1127"/>
      <c r="E823" s="1127"/>
      <c r="F823" s="1127"/>
      <c r="G823" s="1127"/>
      <c r="H823" s="1127"/>
      <c r="I823" s="1127"/>
      <c r="J823" s="1127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1127"/>
      <c r="B824" s="1390"/>
      <c r="C824" s="1127"/>
      <c r="D824" s="1127"/>
      <c r="E824" s="1127"/>
      <c r="F824" s="1127"/>
      <c r="G824" s="1127"/>
      <c r="H824" s="1127"/>
      <c r="I824" s="1127"/>
      <c r="J824" s="1127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1127"/>
      <c r="B825" s="1390"/>
      <c r="C825" s="1127"/>
      <c r="D825" s="1127"/>
      <c r="E825" s="1127"/>
      <c r="F825" s="1127"/>
      <c r="G825" s="1127"/>
      <c r="H825" s="1127"/>
      <c r="I825" s="1127"/>
      <c r="J825" s="1127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1127"/>
      <c r="B826" s="1390"/>
      <c r="C826" s="1127"/>
      <c r="D826" s="1127"/>
      <c r="E826" s="1127"/>
      <c r="F826" s="1127"/>
      <c r="G826" s="1127"/>
      <c r="H826" s="1127"/>
      <c r="I826" s="1127"/>
      <c r="J826" s="1127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1127"/>
      <c r="B827" s="1390"/>
      <c r="C827" s="1127"/>
      <c r="D827" s="1127"/>
      <c r="E827" s="1127"/>
      <c r="F827" s="1127"/>
      <c r="G827" s="1127"/>
      <c r="H827" s="1127"/>
      <c r="I827" s="1127"/>
      <c r="J827" s="1127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1127"/>
      <c r="B828" s="1390"/>
      <c r="C828" s="1127"/>
      <c r="D828" s="1127"/>
      <c r="E828" s="1127"/>
      <c r="F828" s="1127"/>
      <c r="G828" s="1127"/>
      <c r="H828" s="1127"/>
      <c r="I828" s="1127"/>
      <c r="J828" s="1127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1127"/>
      <c r="B829" s="1390"/>
      <c r="C829" s="1127"/>
      <c r="D829" s="1127"/>
      <c r="E829" s="1127"/>
      <c r="F829" s="1127"/>
      <c r="G829" s="1127"/>
      <c r="H829" s="1127"/>
      <c r="I829" s="1127"/>
      <c r="J829" s="1127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1127"/>
      <c r="B830" s="1390"/>
      <c r="C830" s="1127"/>
      <c r="D830" s="1127"/>
      <c r="E830" s="1127"/>
      <c r="F830" s="1127"/>
      <c r="G830" s="1127"/>
      <c r="H830" s="1127"/>
      <c r="I830" s="1127"/>
      <c r="J830" s="1127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1127"/>
      <c r="B831" s="1390"/>
      <c r="C831" s="1127"/>
      <c r="D831" s="1127"/>
      <c r="E831" s="1127"/>
      <c r="F831" s="1127"/>
      <c r="G831" s="1127"/>
      <c r="H831" s="1127"/>
      <c r="I831" s="1127"/>
      <c r="J831" s="1127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1127"/>
      <c r="B832" s="1390"/>
      <c r="C832" s="1127"/>
      <c r="D832" s="1127"/>
      <c r="E832" s="1127"/>
      <c r="F832" s="1127"/>
      <c r="G832" s="1127"/>
      <c r="H832" s="1127"/>
      <c r="I832" s="1127"/>
      <c r="J832" s="1127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1127"/>
      <c r="B833" s="1390"/>
      <c r="C833" s="1127"/>
      <c r="D833" s="1127"/>
      <c r="E833" s="1127"/>
      <c r="F833" s="1127"/>
      <c r="G833" s="1127"/>
      <c r="H833" s="1127"/>
      <c r="I833" s="1127"/>
      <c r="J833" s="1127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1127"/>
      <c r="B834" s="1390"/>
      <c r="C834" s="1127"/>
      <c r="D834" s="1127"/>
      <c r="E834" s="1127"/>
      <c r="F834" s="1127"/>
      <c r="G834" s="1127"/>
      <c r="H834" s="1127"/>
      <c r="I834" s="1127"/>
      <c r="J834" s="1127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1127"/>
      <c r="B835" s="1390"/>
      <c r="C835" s="1127"/>
      <c r="D835" s="1127"/>
      <c r="E835" s="1127"/>
      <c r="F835" s="1127"/>
      <c r="G835" s="1127"/>
      <c r="H835" s="1127"/>
      <c r="I835" s="1127"/>
      <c r="J835" s="1127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1127"/>
      <c r="B836" s="1390"/>
      <c r="C836" s="1127"/>
      <c r="D836" s="1127"/>
      <c r="E836" s="1127"/>
      <c r="F836" s="1127"/>
      <c r="G836" s="1127"/>
      <c r="H836" s="1127"/>
      <c r="I836" s="1127"/>
      <c r="J836" s="1127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1127"/>
      <c r="B837" s="1390"/>
      <c r="C837" s="1127"/>
      <c r="D837" s="1127"/>
      <c r="E837" s="1127"/>
      <c r="F837" s="1127"/>
      <c r="G837" s="1127"/>
      <c r="H837" s="1127"/>
      <c r="I837" s="1127"/>
      <c r="J837" s="1127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1127"/>
      <c r="B838" s="1390"/>
      <c r="C838" s="1127"/>
      <c r="D838" s="1127"/>
      <c r="E838" s="1127"/>
      <c r="F838" s="1127"/>
      <c r="G838" s="1127"/>
      <c r="H838" s="1127"/>
      <c r="I838" s="1127"/>
      <c r="J838" s="1127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1127"/>
      <c r="B839" s="1390"/>
      <c r="C839" s="1127"/>
      <c r="D839" s="1127"/>
      <c r="E839" s="1127"/>
      <c r="F839" s="1127"/>
      <c r="G839" s="1127"/>
      <c r="H839" s="1127"/>
      <c r="I839" s="1127"/>
      <c r="J839" s="1127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1127"/>
      <c r="B840" s="1390"/>
      <c r="C840" s="1127"/>
      <c r="D840" s="1127"/>
      <c r="E840" s="1127"/>
      <c r="F840" s="1127"/>
      <c r="G840" s="1127"/>
      <c r="H840" s="1127"/>
      <c r="I840" s="1127"/>
      <c r="J840" s="1127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1127"/>
      <c r="B841" s="1390"/>
      <c r="C841" s="1127"/>
      <c r="D841" s="1127"/>
      <c r="E841" s="1127"/>
      <c r="F841" s="1127"/>
      <c r="G841" s="1127"/>
      <c r="H841" s="1127"/>
      <c r="I841" s="1127"/>
      <c r="J841" s="1127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1127"/>
      <c r="B842" s="1390"/>
      <c r="C842" s="1127"/>
      <c r="D842" s="1127"/>
      <c r="E842" s="1127"/>
      <c r="F842" s="1127"/>
      <c r="G842" s="1127"/>
      <c r="H842" s="1127"/>
      <c r="I842" s="1127"/>
      <c r="J842" s="1127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1127"/>
      <c r="B843" s="1390"/>
      <c r="C843" s="1127"/>
      <c r="D843" s="1127"/>
      <c r="E843" s="1127"/>
      <c r="F843" s="1127"/>
      <c r="G843" s="1127"/>
      <c r="H843" s="1127"/>
      <c r="I843" s="1127"/>
      <c r="J843" s="1127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1127"/>
      <c r="B844" s="1390"/>
      <c r="C844" s="1127"/>
      <c r="D844" s="1127"/>
      <c r="E844" s="1127"/>
      <c r="F844" s="1127"/>
      <c r="G844" s="1127"/>
      <c r="H844" s="1127"/>
      <c r="I844" s="1127"/>
      <c r="J844" s="1127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1127"/>
      <c r="B845" s="1390"/>
      <c r="C845" s="1127"/>
      <c r="D845" s="1127"/>
      <c r="E845" s="1127"/>
      <c r="F845" s="1127"/>
      <c r="G845" s="1127"/>
      <c r="H845" s="1127"/>
      <c r="I845" s="1127"/>
      <c r="J845" s="1127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1127"/>
      <c r="B846" s="1390"/>
      <c r="C846" s="1127"/>
      <c r="D846" s="1127"/>
      <c r="E846" s="1127"/>
      <c r="F846" s="1127"/>
      <c r="G846" s="1127"/>
      <c r="H846" s="1127"/>
      <c r="I846" s="1127"/>
      <c r="J846" s="1127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1127"/>
      <c r="B847" s="1390"/>
      <c r="C847" s="1127"/>
      <c r="D847" s="1127"/>
      <c r="E847" s="1127"/>
      <c r="F847" s="1127"/>
      <c r="G847" s="1127"/>
      <c r="H847" s="1127"/>
      <c r="I847" s="1127"/>
      <c r="J847" s="1127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1127"/>
      <c r="B848" s="1390"/>
      <c r="C848" s="1127"/>
      <c r="D848" s="1127"/>
      <c r="E848" s="1127"/>
      <c r="F848" s="1127"/>
      <c r="G848" s="1127"/>
      <c r="H848" s="1127"/>
      <c r="I848" s="1127"/>
      <c r="J848" s="1127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1127"/>
      <c r="B849" s="1390"/>
      <c r="C849" s="1127"/>
      <c r="D849" s="1127"/>
      <c r="E849" s="1127"/>
      <c r="F849" s="1127"/>
      <c r="G849" s="1127"/>
      <c r="H849" s="1127"/>
      <c r="I849" s="1127"/>
      <c r="J849" s="1127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1127"/>
      <c r="B850" s="1390"/>
      <c r="C850" s="1127"/>
      <c r="D850" s="1127"/>
      <c r="E850" s="1127"/>
      <c r="F850" s="1127"/>
      <c r="G850" s="1127"/>
      <c r="H850" s="1127"/>
      <c r="I850" s="1127"/>
      <c r="J850" s="1127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1127"/>
      <c r="B851" s="1390"/>
      <c r="C851" s="1127"/>
      <c r="D851" s="1127"/>
      <c r="E851" s="1127"/>
      <c r="F851" s="1127"/>
      <c r="G851" s="1127"/>
      <c r="H851" s="1127"/>
      <c r="I851" s="1127"/>
      <c r="J851" s="1127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1127"/>
      <c r="B852" s="1390"/>
      <c r="C852" s="1127"/>
      <c r="D852" s="1127"/>
      <c r="E852" s="1127"/>
      <c r="F852" s="1127"/>
      <c r="G852" s="1127"/>
      <c r="H852" s="1127"/>
      <c r="I852" s="1127"/>
      <c r="J852" s="1127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1127"/>
      <c r="B853" s="1390"/>
      <c r="C853" s="1127"/>
      <c r="D853" s="1127"/>
      <c r="E853" s="1127"/>
      <c r="F853" s="1127"/>
      <c r="G853" s="1127"/>
      <c r="H853" s="1127"/>
      <c r="I853" s="1127"/>
      <c r="J853" s="1127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1127"/>
      <c r="B854" s="1390"/>
      <c r="C854" s="1127"/>
      <c r="D854" s="1127"/>
      <c r="E854" s="1127"/>
      <c r="F854" s="1127"/>
      <c r="G854" s="1127"/>
      <c r="H854" s="1127"/>
      <c r="I854" s="1127"/>
      <c r="J854" s="1127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1127"/>
      <c r="B855" s="1390"/>
      <c r="C855" s="1127"/>
      <c r="D855" s="1127"/>
      <c r="E855" s="1127"/>
      <c r="F855" s="1127"/>
      <c r="G855" s="1127"/>
      <c r="H855" s="1127"/>
      <c r="I855" s="1127"/>
      <c r="J855" s="1127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1127"/>
      <c r="B856" s="1390"/>
      <c r="C856" s="1127"/>
      <c r="D856" s="1127"/>
      <c r="E856" s="1127"/>
      <c r="F856" s="1127"/>
      <c r="G856" s="1127"/>
      <c r="H856" s="1127"/>
      <c r="I856" s="1127"/>
      <c r="J856" s="1127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1127"/>
      <c r="B857" s="1390"/>
      <c r="C857" s="1127"/>
      <c r="D857" s="1127"/>
      <c r="E857" s="1127"/>
      <c r="F857" s="1127"/>
      <c r="G857" s="1127"/>
      <c r="H857" s="1127"/>
      <c r="I857" s="1127"/>
      <c r="J857" s="1127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1127"/>
      <c r="B858" s="1390"/>
      <c r="C858" s="1127"/>
      <c r="D858" s="1127"/>
      <c r="E858" s="1127"/>
      <c r="F858" s="1127"/>
      <c r="G858" s="1127"/>
      <c r="H858" s="1127"/>
      <c r="I858" s="1127"/>
      <c r="J858" s="1127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1127"/>
      <c r="B859" s="1390"/>
      <c r="C859" s="1127"/>
      <c r="D859" s="1127"/>
      <c r="E859" s="1127"/>
      <c r="F859" s="1127"/>
      <c r="G859" s="1127"/>
      <c r="H859" s="1127"/>
      <c r="I859" s="1127"/>
      <c r="J859" s="1127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1127"/>
      <c r="B860" s="1390"/>
      <c r="C860" s="1127"/>
      <c r="D860" s="1127"/>
      <c r="E860" s="1127"/>
      <c r="F860" s="1127"/>
      <c r="G860" s="1127"/>
      <c r="H860" s="1127"/>
      <c r="I860" s="1127"/>
      <c r="J860" s="1127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1127"/>
      <c r="B861" s="1390"/>
      <c r="C861" s="1127"/>
      <c r="D861" s="1127"/>
      <c r="E861" s="1127"/>
      <c r="F861" s="1127"/>
      <c r="G861" s="1127"/>
      <c r="H861" s="1127"/>
      <c r="I861" s="1127"/>
      <c r="J861" s="1127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1127"/>
      <c r="B862" s="1390"/>
      <c r="C862" s="1127"/>
      <c r="D862" s="1127"/>
      <c r="E862" s="1127"/>
      <c r="F862" s="1127"/>
      <c r="G862" s="1127"/>
      <c r="H862" s="1127"/>
      <c r="I862" s="1127"/>
      <c r="J862" s="1127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1127"/>
      <c r="B863" s="1390"/>
      <c r="C863" s="1127"/>
      <c r="D863" s="1127"/>
      <c r="E863" s="1127"/>
      <c r="F863" s="1127"/>
      <c r="G863" s="1127"/>
      <c r="H863" s="1127"/>
      <c r="I863" s="1127"/>
      <c r="J863" s="1127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1127"/>
      <c r="B864" s="1390"/>
      <c r="C864" s="1127"/>
      <c r="D864" s="1127"/>
      <c r="E864" s="1127"/>
      <c r="F864" s="1127"/>
      <c r="G864" s="1127"/>
      <c r="H864" s="1127"/>
      <c r="I864" s="1127"/>
      <c r="J864" s="1127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1127"/>
      <c r="B865" s="1390"/>
      <c r="C865" s="1127"/>
      <c r="D865" s="1127"/>
      <c r="E865" s="1127"/>
      <c r="F865" s="1127"/>
      <c r="G865" s="1127"/>
      <c r="H865" s="1127"/>
      <c r="I865" s="1127"/>
      <c r="J865" s="1127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1127"/>
      <c r="B866" s="1390"/>
      <c r="C866" s="1127"/>
      <c r="D866" s="1127"/>
      <c r="E866" s="1127"/>
      <c r="F866" s="1127"/>
      <c r="G866" s="1127"/>
      <c r="H866" s="1127"/>
      <c r="I866" s="1127"/>
      <c r="J866" s="1127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1127"/>
      <c r="B867" s="1390"/>
      <c r="C867" s="1127"/>
      <c r="D867" s="1127"/>
      <c r="E867" s="1127"/>
      <c r="F867" s="1127"/>
      <c r="G867" s="1127"/>
      <c r="H867" s="1127"/>
      <c r="I867" s="1127"/>
      <c r="J867" s="1127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1127"/>
      <c r="B868" s="1390"/>
      <c r="C868" s="1127"/>
      <c r="D868" s="1127"/>
      <c r="E868" s="1127"/>
      <c r="F868" s="1127"/>
      <c r="G868" s="1127"/>
      <c r="H868" s="1127"/>
      <c r="I868" s="1127"/>
      <c r="J868" s="1127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1127"/>
      <c r="B869" s="1390"/>
      <c r="C869" s="1127"/>
      <c r="D869" s="1127"/>
      <c r="E869" s="1127"/>
      <c r="F869" s="1127"/>
      <c r="G869" s="1127"/>
      <c r="H869" s="1127"/>
      <c r="I869" s="1127"/>
      <c r="J869" s="1127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1127"/>
      <c r="B870" s="1390"/>
      <c r="C870" s="1127"/>
      <c r="D870" s="1127"/>
      <c r="E870" s="1127"/>
      <c r="F870" s="1127"/>
      <c r="G870" s="1127"/>
      <c r="H870" s="1127"/>
      <c r="I870" s="1127"/>
      <c r="J870" s="1127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1127"/>
      <c r="B871" s="1390"/>
      <c r="C871" s="1127"/>
      <c r="D871" s="1127"/>
      <c r="E871" s="1127"/>
      <c r="F871" s="1127"/>
      <c r="G871" s="1127"/>
      <c r="H871" s="1127"/>
      <c r="I871" s="1127"/>
      <c r="J871" s="1127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1127"/>
      <c r="B872" s="1390"/>
      <c r="C872" s="1127"/>
      <c r="D872" s="1127"/>
      <c r="E872" s="1127"/>
      <c r="F872" s="1127"/>
      <c r="G872" s="1127"/>
      <c r="H872" s="1127"/>
      <c r="I872" s="1127"/>
      <c r="J872" s="1127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1127"/>
      <c r="B873" s="1390"/>
      <c r="C873" s="1127"/>
      <c r="D873" s="1127"/>
      <c r="E873" s="1127"/>
      <c r="F873" s="1127"/>
      <c r="G873" s="1127"/>
      <c r="H873" s="1127"/>
      <c r="I873" s="1127"/>
      <c r="J873" s="1127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1127"/>
      <c r="B874" s="1390"/>
      <c r="C874" s="1127"/>
      <c r="D874" s="1127"/>
      <c r="E874" s="1127"/>
      <c r="F874" s="1127"/>
      <c r="G874" s="1127"/>
      <c r="H874" s="1127"/>
      <c r="I874" s="1127"/>
      <c r="J874" s="1127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1127"/>
      <c r="B875" s="1390"/>
      <c r="C875" s="1127"/>
      <c r="D875" s="1127"/>
      <c r="E875" s="1127"/>
      <c r="F875" s="1127"/>
      <c r="G875" s="1127"/>
      <c r="H875" s="1127"/>
      <c r="I875" s="1127"/>
      <c r="J875" s="1127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1127"/>
      <c r="B876" s="1390"/>
      <c r="C876" s="1127"/>
      <c r="D876" s="1127"/>
      <c r="E876" s="1127"/>
      <c r="F876" s="1127"/>
      <c r="G876" s="1127"/>
      <c r="H876" s="1127"/>
      <c r="I876" s="1127"/>
      <c r="J876" s="1127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1127"/>
      <c r="B877" s="1390"/>
      <c r="C877" s="1127"/>
      <c r="D877" s="1127"/>
      <c r="E877" s="1127"/>
      <c r="F877" s="1127"/>
      <c r="G877" s="1127"/>
      <c r="H877" s="1127"/>
      <c r="I877" s="1127"/>
      <c r="J877" s="1127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1127"/>
      <c r="B878" s="1390"/>
      <c r="C878" s="1127"/>
      <c r="D878" s="1127"/>
      <c r="E878" s="1127"/>
      <c r="F878" s="1127"/>
      <c r="G878" s="1127"/>
      <c r="H878" s="1127"/>
      <c r="I878" s="1127"/>
      <c r="J878" s="1127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1127"/>
      <c r="B879" s="1390"/>
      <c r="C879" s="1127"/>
      <c r="D879" s="1127"/>
      <c r="E879" s="1127"/>
      <c r="F879" s="1127"/>
      <c r="G879" s="1127"/>
      <c r="H879" s="1127"/>
      <c r="I879" s="1127"/>
      <c r="J879" s="1127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1127"/>
      <c r="B880" s="1390"/>
      <c r="C880" s="1127"/>
      <c r="D880" s="1127"/>
      <c r="E880" s="1127"/>
      <c r="F880" s="1127"/>
      <c r="G880" s="1127"/>
      <c r="H880" s="1127"/>
      <c r="I880" s="1127"/>
      <c r="J880" s="1127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1127"/>
      <c r="B881" s="1390"/>
      <c r="C881" s="1127"/>
      <c r="D881" s="1127"/>
      <c r="E881" s="1127"/>
      <c r="F881" s="1127"/>
      <c r="G881" s="1127"/>
      <c r="H881" s="1127"/>
      <c r="I881" s="1127"/>
      <c r="J881" s="1127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1127"/>
      <c r="B882" s="1390"/>
      <c r="C882" s="1127"/>
      <c r="D882" s="1127"/>
      <c r="E882" s="1127"/>
      <c r="F882" s="1127"/>
      <c r="G882" s="1127"/>
      <c r="H882" s="1127"/>
      <c r="I882" s="1127"/>
      <c r="J882" s="1127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1127"/>
      <c r="B883" s="1390"/>
      <c r="C883" s="1127"/>
      <c r="D883" s="1127"/>
      <c r="E883" s="1127"/>
      <c r="F883" s="1127"/>
      <c r="G883" s="1127"/>
      <c r="H883" s="1127"/>
      <c r="I883" s="1127"/>
      <c r="J883" s="1127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1127"/>
      <c r="B884" s="1390"/>
      <c r="C884" s="1127"/>
      <c r="D884" s="1127"/>
      <c r="E884" s="1127"/>
      <c r="F884" s="1127"/>
      <c r="G884" s="1127"/>
      <c r="H884" s="1127"/>
      <c r="I884" s="1127"/>
      <c r="J884" s="1127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1127"/>
      <c r="B885" s="1390"/>
      <c r="C885" s="1127"/>
      <c r="D885" s="1127"/>
      <c r="E885" s="1127"/>
      <c r="F885" s="1127"/>
      <c r="G885" s="1127"/>
      <c r="H885" s="1127"/>
      <c r="I885" s="1127"/>
      <c r="J885" s="1127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1127"/>
      <c r="B886" s="1390"/>
      <c r="C886" s="1127"/>
      <c r="D886" s="1127"/>
      <c r="E886" s="1127"/>
      <c r="F886" s="1127"/>
      <c r="G886" s="1127"/>
      <c r="H886" s="1127"/>
      <c r="I886" s="1127"/>
      <c r="J886" s="1127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1127"/>
      <c r="B887" s="1390"/>
      <c r="C887" s="1127"/>
      <c r="D887" s="1127"/>
      <c r="E887" s="1127"/>
      <c r="F887" s="1127"/>
      <c r="G887" s="1127"/>
      <c r="H887" s="1127"/>
      <c r="I887" s="1127"/>
      <c r="J887" s="1127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1127"/>
      <c r="B888" s="1390"/>
      <c r="C888" s="1127"/>
      <c r="D888" s="1127"/>
      <c r="E888" s="1127"/>
      <c r="F888" s="1127"/>
      <c r="G888" s="1127"/>
      <c r="H888" s="1127"/>
      <c r="I888" s="1127"/>
      <c r="J888" s="1127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1127"/>
      <c r="B889" s="1390"/>
      <c r="C889" s="1127"/>
      <c r="D889" s="1127"/>
      <c r="E889" s="1127"/>
      <c r="F889" s="1127"/>
      <c r="G889" s="1127"/>
      <c r="H889" s="1127"/>
      <c r="I889" s="1127"/>
      <c r="J889" s="1127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1127"/>
      <c r="B890" s="1390"/>
      <c r="C890" s="1127"/>
      <c r="D890" s="1127"/>
      <c r="E890" s="1127"/>
      <c r="F890" s="1127"/>
      <c r="G890" s="1127"/>
      <c r="H890" s="1127"/>
      <c r="I890" s="1127"/>
      <c r="J890" s="1127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1127"/>
      <c r="B891" s="1390"/>
      <c r="C891" s="1127"/>
      <c r="D891" s="1127"/>
      <c r="E891" s="1127"/>
      <c r="F891" s="1127"/>
      <c r="G891" s="1127"/>
      <c r="H891" s="1127"/>
      <c r="I891" s="1127"/>
      <c r="J891" s="1127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1127"/>
      <c r="B892" s="1390"/>
      <c r="C892" s="1127"/>
      <c r="D892" s="1127"/>
      <c r="E892" s="1127"/>
      <c r="F892" s="1127"/>
      <c r="G892" s="1127"/>
      <c r="H892" s="1127"/>
      <c r="I892" s="1127"/>
      <c r="J892" s="1127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1127"/>
      <c r="B893" s="1390"/>
      <c r="C893" s="1127"/>
      <c r="D893" s="1127"/>
      <c r="E893" s="1127"/>
      <c r="F893" s="1127"/>
      <c r="G893" s="1127"/>
      <c r="H893" s="1127"/>
      <c r="I893" s="1127"/>
      <c r="J893" s="1127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1127"/>
      <c r="B894" s="1390"/>
      <c r="C894" s="1127"/>
      <c r="D894" s="1127"/>
      <c r="E894" s="1127"/>
      <c r="F894" s="1127"/>
      <c r="G894" s="1127"/>
      <c r="H894" s="1127"/>
      <c r="I894" s="1127"/>
      <c r="J894" s="1127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1127"/>
      <c r="B895" s="1390"/>
      <c r="C895" s="1127"/>
      <c r="D895" s="1127"/>
      <c r="E895" s="1127"/>
      <c r="F895" s="1127"/>
      <c r="G895" s="1127"/>
      <c r="H895" s="1127"/>
      <c r="I895" s="1127"/>
      <c r="J895" s="1127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1127"/>
      <c r="B896" s="1390"/>
      <c r="C896" s="1127"/>
      <c r="D896" s="1127"/>
      <c r="E896" s="1127"/>
      <c r="F896" s="1127"/>
      <c r="G896" s="1127"/>
      <c r="H896" s="1127"/>
      <c r="I896" s="1127"/>
      <c r="J896" s="1127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1127"/>
      <c r="B897" s="1390"/>
      <c r="C897" s="1127"/>
      <c r="D897" s="1127"/>
      <c r="E897" s="1127"/>
      <c r="F897" s="1127"/>
      <c r="G897" s="1127"/>
      <c r="H897" s="1127"/>
      <c r="I897" s="1127"/>
      <c r="J897" s="1127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1127"/>
      <c r="B898" s="1390"/>
      <c r="C898" s="1127"/>
      <c r="D898" s="1127"/>
      <c r="E898" s="1127"/>
      <c r="F898" s="1127"/>
      <c r="G898" s="1127"/>
      <c r="H898" s="1127"/>
      <c r="I898" s="1127"/>
      <c r="J898" s="1127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1127"/>
      <c r="B899" s="1390"/>
      <c r="C899" s="1127"/>
      <c r="D899" s="1127"/>
      <c r="E899" s="1127"/>
      <c r="F899" s="1127"/>
      <c r="G899" s="1127"/>
      <c r="H899" s="1127"/>
      <c r="I899" s="1127"/>
      <c r="J899" s="1127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1127"/>
      <c r="B900" s="1390"/>
      <c r="C900" s="1127"/>
      <c r="D900" s="1127"/>
      <c r="E900" s="1127"/>
      <c r="F900" s="1127"/>
      <c r="G900" s="1127"/>
      <c r="H900" s="1127"/>
      <c r="I900" s="1127"/>
      <c r="J900" s="1127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1127"/>
      <c r="B901" s="1390"/>
      <c r="C901" s="1127"/>
      <c r="D901" s="1127"/>
      <c r="E901" s="1127"/>
      <c r="F901" s="1127"/>
      <c r="G901" s="1127"/>
      <c r="H901" s="1127"/>
      <c r="I901" s="1127"/>
      <c r="J901" s="1127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1127"/>
      <c r="B902" s="1390"/>
      <c r="C902" s="1127"/>
      <c r="D902" s="1127"/>
      <c r="E902" s="1127"/>
      <c r="F902" s="1127"/>
      <c r="G902" s="1127"/>
      <c r="H902" s="1127"/>
      <c r="I902" s="1127"/>
      <c r="J902" s="1127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1127"/>
      <c r="B903" s="1390"/>
      <c r="C903" s="1127"/>
      <c r="D903" s="1127"/>
      <c r="E903" s="1127"/>
      <c r="F903" s="1127"/>
      <c r="G903" s="1127"/>
      <c r="H903" s="1127"/>
      <c r="I903" s="1127"/>
      <c r="J903" s="1127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1127"/>
      <c r="B904" s="1390"/>
      <c r="C904" s="1127"/>
      <c r="D904" s="1127"/>
      <c r="E904" s="1127"/>
      <c r="F904" s="1127"/>
      <c r="G904" s="1127"/>
      <c r="H904" s="1127"/>
      <c r="I904" s="1127"/>
      <c r="J904" s="1127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1127"/>
      <c r="B905" s="1390"/>
      <c r="C905" s="1127"/>
      <c r="D905" s="1127"/>
      <c r="E905" s="1127"/>
      <c r="F905" s="1127"/>
      <c r="G905" s="1127"/>
      <c r="H905" s="1127"/>
      <c r="I905" s="1127"/>
      <c r="J905" s="1127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1127"/>
      <c r="B906" s="1390"/>
      <c r="C906" s="1127"/>
      <c r="D906" s="1127"/>
      <c r="E906" s="1127"/>
      <c r="F906" s="1127"/>
      <c r="G906" s="1127"/>
      <c r="H906" s="1127"/>
      <c r="I906" s="1127"/>
      <c r="J906" s="1127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1127"/>
      <c r="B907" s="1390"/>
      <c r="C907" s="1127"/>
      <c r="D907" s="1127"/>
      <c r="E907" s="1127"/>
      <c r="F907" s="1127"/>
      <c r="G907" s="1127"/>
      <c r="H907" s="1127"/>
      <c r="I907" s="1127"/>
      <c r="J907" s="1127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1127"/>
      <c r="B908" s="1390"/>
      <c r="C908" s="1127"/>
      <c r="D908" s="1127"/>
      <c r="E908" s="1127"/>
      <c r="F908" s="1127"/>
      <c r="G908" s="1127"/>
      <c r="H908" s="1127"/>
      <c r="I908" s="1127"/>
      <c r="J908" s="1127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1127"/>
      <c r="B909" s="1390"/>
      <c r="C909" s="1127"/>
      <c r="D909" s="1127"/>
      <c r="E909" s="1127"/>
      <c r="F909" s="1127"/>
      <c r="G909" s="1127"/>
      <c r="H909" s="1127"/>
      <c r="I909" s="1127"/>
      <c r="J909" s="1127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1127"/>
      <c r="B910" s="1390"/>
      <c r="C910" s="1127"/>
      <c r="D910" s="1127"/>
      <c r="E910" s="1127"/>
      <c r="F910" s="1127"/>
      <c r="G910" s="1127"/>
      <c r="H910" s="1127"/>
      <c r="I910" s="1127"/>
      <c r="J910" s="1127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1127"/>
      <c r="B911" s="1390"/>
      <c r="C911" s="1127"/>
      <c r="D911" s="1127"/>
      <c r="E911" s="1127"/>
      <c r="F911" s="1127"/>
      <c r="G911" s="1127"/>
      <c r="H911" s="1127"/>
      <c r="I911" s="1127"/>
      <c r="J911" s="1127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1127"/>
      <c r="B912" s="1390"/>
      <c r="C912" s="1127"/>
      <c r="D912" s="1127"/>
      <c r="E912" s="1127"/>
      <c r="F912" s="1127"/>
      <c r="G912" s="1127"/>
      <c r="H912" s="1127"/>
      <c r="I912" s="1127"/>
      <c r="J912" s="1127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1127"/>
      <c r="B913" s="1390"/>
      <c r="C913" s="1127"/>
      <c r="D913" s="1127"/>
      <c r="E913" s="1127"/>
      <c r="F913" s="1127"/>
      <c r="G913" s="1127"/>
      <c r="H913" s="1127"/>
      <c r="I913" s="1127"/>
      <c r="J913" s="1127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1127"/>
      <c r="B914" s="1390"/>
      <c r="C914" s="1127"/>
      <c r="D914" s="1127"/>
      <c r="E914" s="1127"/>
      <c r="F914" s="1127"/>
      <c r="G914" s="1127"/>
      <c r="H914" s="1127"/>
      <c r="I914" s="1127"/>
      <c r="J914" s="1127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1127"/>
      <c r="B915" s="1390"/>
      <c r="C915" s="1127"/>
      <c r="D915" s="1127"/>
      <c r="E915" s="1127"/>
      <c r="F915" s="1127"/>
      <c r="G915" s="1127"/>
      <c r="H915" s="1127"/>
      <c r="I915" s="1127"/>
      <c r="J915" s="1127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1127"/>
      <c r="B916" s="1390"/>
      <c r="C916" s="1127"/>
      <c r="D916" s="1127"/>
      <c r="E916" s="1127"/>
      <c r="F916" s="1127"/>
      <c r="G916" s="1127"/>
      <c r="H916" s="1127"/>
      <c r="I916" s="1127"/>
      <c r="J916" s="1127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1127"/>
      <c r="B917" s="1390"/>
      <c r="C917" s="1127"/>
      <c r="D917" s="1127"/>
      <c r="E917" s="1127"/>
      <c r="F917" s="1127"/>
      <c r="G917" s="1127"/>
      <c r="H917" s="1127"/>
      <c r="I917" s="1127"/>
      <c r="J917" s="1127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1127"/>
      <c r="B918" s="1390"/>
      <c r="C918" s="1127"/>
      <c r="D918" s="1127"/>
      <c r="E918" s="1127"/>
      <c r="F918" s="1127"/>
      <c r="G918" s="1127"/>
      <c r="H918" s="1127"/>
      <c r="I918" s="1127"/>
      <c r="J918" s="1127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1127"/>
      <c r="B919" s="1390"/>
      <c r="C919" s="1127"/>
      <c r="D919" s="1127"/>
      <c r="E919" s="1127"/>
      <c r="F919" s="1127"/>
      <c r="G919" s="1127"/>
      <c r="H919" s="1127"/>
      <c r="I919" s="1127"/>
      <c r="J919" s="1127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1127"/>
      <c r="B920" s="1390"/>
      <c r="C920" s="1127"/>
      <c r="D920" s="1127"/>
      <c r="E920" s="1127"/>
      <c r="F920" s="1127"/>
      <c r="G920" s="1127"/>
      <c r="H920" s="1127"/>
      <c r="I920" s="1127"/>
      <c r="J920" s="1127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1127"/>
      <c r="B921" s="1390"/>
      <c r="C921" s="1127"/>
      <c r="D921" s="1127"/>
      <c r="E921" s="1127"/>
      <c r="F921" s="1127"/>
      <c r="G921" s="1127"/>
      <c r="H921" s="1127"/>
      <c r="I921" s="1127"/>
      <c r="J921" s="1127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1127"/>
      <c r="B922" s="1390"/>
      <c r="C922" s="1127"/>
      <c r="D922" s="1127"/>
      <c r="E922" s="1127"/>
      <c r="F922" s="1127"/>
      <c r="G922" s="1127"/>
      <c r="H922" s="1127"/>
      <c r="I922" s="1127"/>
      <c r="J922" s="1127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1127"/>
      <c r="B923" s="1390"/>
      <c r="C923" s="1127"/>
      <c r="D923" s="1127"/>
      <c r="E923" s="1127"/>
      <c r="F923" s="1127"/>
      <c r="G923" s="1127"/>
      <c r="H923" s="1127"/>
      <c r="I923" s="1127"/>
      <c r="J923" s="1127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1127"/>
      <c r="B924" s="1390"/>
      <c r="C924" s="1127"/>
      <c r="D924" s="1127"/>
      <c r="E924" s="1127"/>
      <c r="F924" s="1127"/>
      <c r="G924" s="1127"/>
      <c r="H924" s="1127"/>
      <c r="I924" s="1127"/>
      <c r="J924" s="1127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1127"/>
      <c r="B925" s="1390"/>
      <c r="C925" s="1127"/>
      <c r="D925" s="1127"/>
      <c r="E925" s="1127"/>
      <c r="F925" s="1127"/>
      <c r="G925" s="1127"/>
      <c r="H925" s="1127"/>
      <c r="I925" s="1127"/>
      <c r="J925" s="1127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1127"/>
      <c r="B926" s="1390"/>
      <c r="C926" s="1127"/>
      <c r="D926" s="1127"/>
      <c r="E926" s="1127"/>
      <c r="F926" s="1127"/>
      <c r="G926" s="1127"/>
      <c r="H926" s="1127"/>
      <c r="I926" s="1127"/>
      <c r="J926" s="1127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1127"/>
      <c r="B927" s="1390"/>
      <c r="C927" s="1127"/>
      <c r="D927" s="1127"/>
      <c r="E927" s="1127"/>
      <c r="F927" s="1127"/>
      <c r="G927" s="1127"/>
      <c r="H927" s="1127"/>
      <c r="I927" s="1127"/>
      <c r="J927" s="1127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1127"/>
      <c r="B928" s="1390"/>
      <c r="C928" s="1127"/>
      <c r="D928" s="1127"/>
      <c r="E928" s="1127"/>
      <c r="F928" s="1127"/>
      <c r="G928" s="1127"/>
      <c r="H928" s="1127"/>
      <c r="I928" s="1127"/>
      <c r="J928" s="1127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1127"/>
      <c r="B929" s="1390"/>
      <c r="C929" s="1127"/>
      <c r="D929" s="1127"/>
      <c r="E929" s="1127"/>
      <c r="F929" s="1127"/>
      <c r="G929" s="1127"/>
      <c r="H929" s="1127"/>
      <c r="I929" s="1127"/>
      <c r="J929" s="1127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1127"/>
      <c r="B930" s="1390"/>
      <c r="C930" s="1127"/>
      <c r="D930" s="1127"/>
      <c r="E930" s="1127"/>
      <c r="F930" s="1127"/>
      <c r="G930" s="1127"/>
      <c r="H930" s="1127"/>
      <c r="I930" s="1127"/>
      <c r="J930" s="1127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1127"/>
      <c r="B931" s="1390"/>
      <c r="C931" s="1127"/>
      <c r="D931" s="1127"/>
      <c r="E931" s="1127"/>
      <c r="F931" s="1127"/>
      <c r="G931" s="1127"/>
      <c r="H931" s="1127"/>
      <c r="I931" s="1127"/>
      <c r="J931" s="1127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1127"/>
      <c r="B932" s="1390"/>
      <c r="C932" s="1127"/>
      <c r="D932" s="1127"/>
      <c r="E932" s="1127"/>
      <c r="F932" s="1127"/>
      <c r="G932" s="1127"/>
      <c r="H932" s="1127"/>
      <c r="I932" s="1127"/>
      <c r="J932" s="1127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1127"/>
      <c r="B933" s="1390"/>
      <c r="C933" s="1127"/>
      <c r="D933" s="1127"/>
      <c r="E933" s="1127"/>
      <c r="F933" s="1127"/>
      <c r="G933" s="1127"/>
      <c r="H933" s="1127"/>
      <c r="I933" s="1127"/>
      <c r="J933" s="1127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1127"/>
      <c r="B934" s="1390"/>
      <c r="C934" s="1127"/>
      <c r="D934" s="1127"/>
      <c r="E934" s="1127"/>
      <c r="F934" s="1127"/>
      <c r="G934" s="1127"/>
      <c r="H934" s="1127"/>
      <c r="I934" s="1127"/>
      <c r="J934" s="1127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1127"/>
      <c r="B935" s="1390"/>
      <c r="C935" s="1127"/>
      <c r="D935" s="1127"/>
      <c r="E935" s="1127"/>
      <c r="F935" s="1127"/>
      <c r="G935" s="1127"/>
      <c r="H935" s="1127"/>
      <c r="I935" s="1127"/>
      <c r="J935" s="1127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1127"/>
      <c r="B936" s="1390"/>
      <c r="C936" s="1127"/>
      <c r="D936" s="1127"/>
      <c r="E936" s="1127"/>
      <c r="F936" s="1127"/>
      <c r="G936" s="1127"/>
      <c r="H936" s="1127"/>
      <c r="I936" s="1127"/>
      <c r="J936" s="1127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1127"/>
      <c r="B937" s="1390"/>
      <c r="C937" s="1127"/>
      <c r="D937" s="1127"/>
      <c r="E937" s="1127"/>
      <c r="F937" s="1127"/>
      <c r="G937" s="1127"/>
      <c r="H937" s="1127"/>
      <c r="I937" s="1127"/>
      <c r="J937" s="1127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1127"/>
      <c r="B938" s="1390"/>
      <c r="C938" s="1127"/>
      <c r="D938" s="1127"/>
      <c r="E938" s="1127"/>
      <c r="F938" s="1127"/>
      <c r="G938" s="1127"/>
      <c r="H938" s="1127"/>
      <c r="I938" s="1127"/>
      <c r="J938" s="1127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1127"/>
      <c r="B939" s="1390"/>
      <c r="C939" s="1127"/>
      <c r="D939" s="1127"/>
      <c r="E939" s="1127"/>
      <c r="F939" s="1127"/>
      <c r="G939" s="1127"/>
      <c r="H939" s="1127"/>
      <c r="I939" s="1127"/>
      <c r="J939" s="1127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1127"/>
      <c r="B940" s="1390"/>
      <c r="C940" s="1127"/>
      <c r="D940" s="1127"/>
      <c r="E940" s="1127"/>
      <c r="F940" s="1127"/>
      <c r="G940" s="1127"/>
      <c r="H940" s="1127"/>
      <c r="I940" s="1127"/>
      <c r="J940" s="1127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1127"/>
      <c r="B941" s="1390"/>
      <c r="C941" s="1127"/>
      <c r="D941" s="1127"/>
      <c r="E941" s="1127"/>
      <c r="F941" s="1127"/>
      <c r="G941" s="1127"/>
      <c r="H941" s="1127"/>
      <c r="I941" s="1127"/>
      <c r="J941" s="1127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1127"/>
      <c r="B942" s="1390"/>
      <c r="C942" s="1127"/>
      <c r="D942" s="1127"/>
      <c r="E942" s="1127"/>
      <c r="F942" s="1127"/>
      <c r="G942" s="1127"/>
      <c r="H942" s="1127"/>
      <c r="I942" s="1127"/>
      <c r="J942" s="1127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1127"/>
      <c r="B943" s="1390"/>
      <c r="C943" s="1127"/>
      <c r="D943" s="1127"/>
      <c r="E943" s="1127"/>
      <c r="F943" s="1127"/>
      <c r="G943" s="1127"/>
      <c r="H943" s="1127"/>
      <c r="I943" s="1127"/>
      <c r="J943" s="1127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1127"/>
      <c r="B944" s="1390"/>
      <c r="C944" s="1127"/>
      <c r="D944" s="1127"/>
      <c r="E944" s="1127"/>
      <c r="F944" s="1127"/>
      <c r="G944" s="1127"/>
      <c r="H944" s="1127"/>
      <c r="I944" s="1127"/>
      <c r="J944" s="1127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1127"/>
      <c r="B945" s="1390"/>
      <c r="C945" s="1127"/>
      <c r="D945" s="1127"/>
      <c r="E945" s="1127"/>
      <c r="F945" s="1127"/>
      <c r="G945" s="1127"/>
      <c r="H945" s="1127"/>
      <c r="I945" s="1127"/>
      <c r="J945" s="1127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1127"/>
      <c r="B946" s="1390"/>
      <c r="C946" s="1127"/>
      <c r="D946" s="1127"/>
      <c r="E946" s="1127"/>
      <c r="F946" s="1127"/>
      <c r="G946" s="1127"/>
      <c r="H946" s="1127"/>
      <c r="I946" s="1127"/>
      <c r="J946" s="1127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1127"/>
      <c r="B947" s="1390"/>
      <c r="C947" s="1127"/>
      <c r="D947" s="1127"/>
      <c r="E947" s="1127"/>
      <c r="F947" s="1127"/>
      <c r="G947" s="1127"/>
      <c r="H947" s="1127"/>
      <c r="I947" s="1127"/>
      <c r="J947" s="1127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1127"/>
      <c r="B948" s="1390"/>
      <c r="C948" s="1127"/>
      <c r="D948" s="1127"/>
      <c r="E948" s="1127"/>
      <c r="F948" s="1127"/>
      <c r="G948" s="1127"/>
      <c r="H948" s="1127"/>
      <c r="I948" s="1127"/>
      <c r="J948" s="1127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1127"/>
      <c r="B949" s="1390"/>
      <c r="C949" s="1127"/>
      <c r="D949" s="1127"/>
      <c r="E949" s="1127"/>
      <c r="F949" s="1127"/>
      <c r="G949" s="1127"/>
      <c r="H949" s="1127"/>
      <c r="I949" s="1127"/>
      <c r="J949" s="1127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1127"/>
      <c r="B950" s="1390"/>
      <c r="C950" s="1127"/>
      <c r="D950" s="1127"/>
      <c r="E950" s="1127"/>
      <c r="F950" s="1127"/>
      <c r="G950" s="1127"/>
      <c r="H950" s="1127"/>
      <c r="I950" s="1127"/>
      <c r="J950" s="1127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1127"/>
      <c r="B951" s="1390"/>
      <c r="C951" s="1127"/>
      <c r="D951" s="1127"/>
      <c r="E951" s="1127"/>
      <c r="F951" s="1127"/>
      <c r="G951" s="1127"/>
      <c r="H951" s="1127"/>
      <c r="I951" s="1127"/>
      <c r="J951" s="1127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1127"/>
      <c r="B952" s="1390"/>
      <c r="C952" s="1127"/>
      <c r="D952" s="1127"/>
      <c r="E952" s="1127"/>
      <c r="F952" s="1127"/>
      <c r="G952" s="1127"/>
      <c r="H952" s="1127"/>
      <c r="I952" s="1127"/>
      <c r="J952" s="1127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1127"/>
      <c r="B953" s="1390"/>
      <c r="C953" s="1127"/>
      <c r="D953" s="1127"/>
      <c r="E953" s="1127"/>
      <c r="F953" s="1127"/>
      <c r="G953" s="1127"/>
      <c r="H953" s="1127"/>
      <c r="I953" s="1127"/>
      <c r="J953" s="1127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1127"/>
      <c r="B954" s="1390"/>
      <c r="C954" s="1127"/>
      <c r="D954" s="1127"/>
      <c r="E954" s="1127"/>
      <c r="F954" s="1127"/>
      <c r="G954" s="1127"/>
      <c r="H954" s="1127"/>
      <c r="I954" s="1127"/>
      <c r="J954" s="1127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1127"/>
      <c r="B955" s="1390"/>
      <c r="C955" s="1127"/>
      <c r="D955" s="1127"/>
      <c r="E955" s="1127"/>
      <c r="F955" s="1127"/>
      <c r="G955" s="1127"/>
      <c r="H955" s="1127"/>
      <c r="I955" s="1127"/>
      <c r="J955" s="1127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1127"/>
      <c r="B956" s="1390"/>
      <c r="C956" s="1127"/>
      <c r="D956" s="1127"/>
      <c r="E956" s="1127"/>
      <c r="F956" s="1127"/>
      <c r="G956" s="1127"/>
      <c r="H956" s="1127"/>
      <c r="I956" s="1127"/>
      <c r="J956" s="1127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1127"/>
      <c r="B957" s="1390"/>
      <c r="C957" s="1127"/>
      <c r="D957" s="1127"/>
      <c r="E957" s="1127"/>
      <c r="F957" s="1127"/>
      <c r="G957" s="1127"/>
      <c r="H957" s="1127"/>
      <c r="I957" s="1127"/>
      <c r="J957" s="1127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1127"/>
      <c r="B958" s="1390"/>
      <c r="C958" s="1127"/>
      <c r="D958" s="1127"/>
      <c r="E958" s="1127"/>
      <c r="F958" s="1127"/>
      <c r="G958" s="1127"/>
      <c r="H958" s="1127"/>
      <c r="I958" s="1127"/>
      <c r="J958" s="1127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1127"/>
      <c r="B959" s="1390"/>
      <c r="C959" s="1127"/>
      <c r="D959" s="1127"/>
      <c r="E959" s="1127"/>
      <c r="F959" s="1127"/>
      <c r="G959" s="1127"/>
      <c r="H959" s="1127"/>
      <c r="I959" s="1127"/>
      <c r="J959" s="1127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1127"/>
      <c r="B960" s="1390"/>
      <c r="C960" s="1127"/>
      <c r="D960" s="1127"/>
      <c r="E960" s="1127"/>
      <c r="F960" s="1127"/>
      <c r="G960" s="1127"/>
      <c r="H960" s="1127"/>
      <c r="I960" s="1127"/>
      <c r="J960" s="1127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1127"/>
      <c r="B961" s="1390"/>
      <c r="C961" s="1127"/>
      <c r="D961" s="1127"/>
      <c r="E961" s="1127"/>
      <c r="F961" s="1127"/>
      <c r="G961" s="1127"/>
      <c r="H961" s="1127"/>
      <c r="I961" s="1127"/>
      <c r="J961" s="1127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1127"/>
      <c r="B962" s="1390"/>
      <c r="C962" s="1127"/>
      <c r="D962" s="1127"/>
      <c r="E962" s="1127"/>
      <c r="F962" s="1127"/>
      <c r="G962" s="1127"/>
      <c r="H962" s="1127"/>
      <c r="I962" s="1127"/>
      <c r="J962" s="1127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1127"/>
      <c r="B963" s="1390"/>
      <c r="C963" s="1127"/>
      <c r="D963" s="1127"/>
      <c r="E963" s="1127"/>
      <c r="F963" s="1127"/>
      <c r="G963" s="1127"/>
      <c r="H963" s="1127"/>
      <c r="I963" s="1127"/>
      <c r="J963" s="1127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1127"/>
      <c r="B964" s="1390"/>
      <c r="C964" s="1127"/>
      <c r="D964" s="1127"/>
      <c r="E964" s="1127"/>
      <c r="F964" s="1127"/>
      <c r="G964" s="1127"/>
      <c r="H964" s="1127"/>
      <c r="I964" s="1127"/>
      <c r="J964" s="1127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1127"/>
      <c r="B965" s="1390"/>
      <c r="C965" s="1127"/>
      <c r="D965" s="1127"/>
      <c r="E965" s="1127"/>
      <c r="F965" s="1127"/>
      <c r="G965" s="1127"/>
      <c r="H965" s="1127"/>
      <c r="I965" s="1127"/>
      <c r="J965" s="1127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1127"/>
      <c r="B966" s="1390"/>
      <c r="C966" s="1127"/>
      <c r="D966" s="1127"/>
      <c r="E966" s="1127"/>
      <c r="F966" s="1127"/>
      <c r="G966" s="1127"/>
      <c r="H966" s="1127"/>
      <c r="I966" s="1127"/>
      <c r="J966" s="1127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1127"/>
      <c r="B967" s="1390"/>
      <c r="C967" s="1127"/>
      <c r="D967" s="1127"/>
      <c r="E967" s="1127"/>
      <c r="F967" s="1127"/>
      <c r="G967" s="1127"/>
      <c r="H967" s="1127"/>
      <c r="I967" s="1127"/>
      <c r="J967" s="1127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1127"/>
      <c r="B968" s="1390"/>
      <c r="C968" s="1127"/>
      <c r="D968" s="1127"/>
      <c r="E968" s="1127"/>
      <c r="F968" s="1127"/>
      <c r="G968" s="1127"/>
      <c r="H968" s="1127"/>
      <c r="I968" s="1127"/>
      <c r="J968" s="1127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1127"/>
      <c r="B969" s="1390"/>
      <c r="C969" s="1127"/>
      <c r="D969" s="1127"/>
      <c r="E969" s="1127"/>
      <c r="F969" s="1127"/>
      <c r="G969" s="1127"/>
      <c r="H969" s="1127"/>
      <c r="I969" s="1127"/>
      <c r="J969" s="1127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1127"/>
      <c r="B970" s="1390"/>
      <c r="C970" s="1127"/>
      <c r="D970" s="1127"/>
      <c r="E970" s="1127"/>
      <c r="F970" s="1127"/>
      <c r="G970" s="1127"/>
      <c r="H970" s="1127"/>
      <c r="I970" s="1127"/>
      <c r="J970" s="1127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1127"/>
      <c r="B971" s="1390"/>
      <c r="C971" s="1127"/>
      <c r="D971" s="1127"/>
      <c r="E971" s="1127"/>
      <c r="F971" s="1127"/>
      <c r="G971" s="1127"/>
      <c r="H971" s="1127"/>
      <c r="I971" s="1127"/>
      <c r="J971" s="1127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1127"/>
      <c r="B972" s="1390"/>
      <c r="C972" s="1127"/>
      <c r="D972" s="1127"/>
      <c r="E972" s="1127"/>
      <c r="F972" s="1127"/>
      <c r="G972" s="1127"/>
      <c r="H972" s="1127"/>
      <c r="I972" s="1127"/>
      <c r="J972" s="1127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1127"/>
      <c r="B973" s="1390"/>
      <c r="C973" s="1127"/>
      <c r="D973" s="1127"/>
      <c r="E973" s="1127"/>
      <c r="F973" s="1127"/>
      <c r="G973" s="1127"/>
      <c r="H973" s="1127"/>
      <c r="I973" s="1127"/>
      <c r="J973" s="1127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1127"/>
      <c r="B974" s="1390"/>
      <c r="C974" s="1127"/>
      <c r="D974" s="1127"/>
      <c r="E974" s="1127"/>
      <c r="F974" s="1127"/>
      <c r="G974" s="1127"/>
      <c r="H974" s="1127"/>
      <c r="I974" s="1127"/>
      <c r="J974" s="1127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1127"/>
      <c r="B975" s="1390"/>
      <c r="C975" s="1127"/>
      <c r="D975" s="1127"/>
      <c r="E975" s="1127"/>
      <c r="F975" s="1127"/>
      <c r="G975" s="1127"/>
      <c r="H975" s="1127"/>
      <c r="I975" s="1127"/>
      <c r="J975" s="1127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1127"/>
      <c r="B976" s="1390"/>
      <c r="C976" s="1127"/>
      <c r="D976" s="1127"/>
      <c r="E976" s="1127"/>
      <c r="F976" s="1127"/>
      <c r="G976" s="1127"/>
      <c r="H976" s="1127"/>
      <c r="I976" s="1127"/>
      <c r="J976" s="1127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1127"/>
      <c r="B977" s="1390"/>
      <c r="C977" s="1127"/>
      <c r="D977" s="1127"/>
      <c r="E977" s="1127"/>
      <c r="F977" s="1127"/>
      <c r="G977" s="1127"/>
      <c r="H977" s="1127"/>
      <c r="I977" s="1127"/>
      <c r="J977" s="1127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1127"/>
      <c r="B978" s="1390"/>
      <c r="C978" s="1127"/>
      <c r="D978" s="1127"/>
      <c r="E978" s="1127"/>
      <c r="F978" s="1127"/>
      <c r="G978" s="1127"/>
      <c r="H978" s="1127"/>
      <c r="I978" s="1127"/>
      <c r="J978" s="1127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1127"/>
      <c r="B979" s="1390"/>
      <c r="C979" s="1127"/>
      <c r="D979" s="1127"/>
      <c r="E979" s="1127"/>
      <c r="F979" s="1127"/>
      <c r="G979" s="1127"/>
      <c r="H979" s="1127"/>
      <c r="I979" s="1127"/>
      <c r="J979" s="1127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1127"/>
      <c r="B980" s="1390"/>
      <c r="C980" s="1127"/>
      <c r="D980" s="1127"/>
      <c r="E980" s="1127"/>
      <c r="F980" s="1127"/>
      <c r="G980" s="1127"/>
      <c r="H980" s="1127"/>
      <c r="I980" s="1127"/>
      <c r="J980" s="1127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1127"/>
      <c r="B981" s="1390"/>
      <c r="C981" s="1127"/>
      <c r="D981" s="1127"/>
      <c r="E981" s="1127"/>
      <c r="F981" s="1127"/>
      <c r="G981" s="1127"/>
      <c r="H981" s="1127"/>
      <c r="I981" s="1127"/>
      <c r="J981" s="1127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1127"/>
      <c r="B982" s="1390"/>
      <c r="C982" s="1127"/>
      <c r="D982" s="1127"/>
      <c r="E982" s="1127"/>
      <c r="F982" s="1127"/>
      <c r="G982" s="1127"/>
      <c r="H982" s="1127"/>
      <c r="I982" s="1127"/>
      <c r="J982" s="1127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1127"/>
      <c r="B983" s="1390"/>
      <c r="C983" s="1127"/>
      <c r="D983" s="1127"/>
      <c r="E983" s="1127"/>
      <c r="F983" s="1127"/>
      <c r="G983" s="1127"/>
      <c r="H983" s="1127"/>
      <c r="I983" s="1127"/>
      <c r="J983" s="1127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1127"/>
      <c r="B984" s="1390"/>
      <c r="C984" s="1127"/>
      <c r="D984" s="1127"/>
      <c r="E984" s="1127"/>
      <c r="F984" s="1127"/>
      <c r="G984" s="1127"/>
      <c r="H984" s="1127"/>
      <c r="I984" s="1127"/>
      <c r="J984" s="1127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1127"/>
      <c r="B985" s="1390"/>
      <c r="C985" s="1127"/>
      <c r="D985" s="1127"/>
      <c r="E985" s="1127"/>
      <c r="F985" s="1127"/>
      <c r="G985" s="1127"/>
      <c r="H985" s="1127"/>
      <c r="I985" s="1127"/>
      <c r="J985" s="1127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1127"/>
      <c r="B986" s="1390"/>
      <c r="C986" s="1127"/>
      <c r="D986" s="1127"/>
      <c r="E986" s="1127"/>
      <c r="F986" s="1127"/>
      <c r="G986" s="1127"/>
      <c r="H986" s="1127"/>
      <c r="I986" s="1127"/>
      <c r="J986" s="1127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1127"/>
      <c r="B987" s="1390"/>
      <c r="C987" s="1127"/>
      <c r="D987" s="1127"/>
      <c r="E987" s="1127"/>
      <c r="F987" s="1127"/>
      <c r="G987" s="1127"/>
      <c r="H987" s="1127"/>
      <c r="I987" s="1127"/>
      <c r="J987" s="1127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1127"/>
      <c r="B988" s="1390"/>
      <c r="C988" s="1127"/>
      <c r="D988" s="1127"/>
      <c r="E988" s="1127"/>
      <c r="F988" s="1127"/>
      <c r="G988" s="1127"/>
      <c r="H988" s="1127"/>
      <c r="I988" s="1127"/>
      <c r="J988" s="1127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1127"/>
      <c r="B989" s="1390"/>
      <c r="C989" s="1127"/>
      <c r="D989" s="1127"/>
      <c r="E989" s="1127"/>
      <c r="F989" s="1127"/>
      <c r="G989" s="1127"/>
      <c r="H989" s="1127"/>
      <c r="I989" s="1127"/>
      <c r="J989" s="1127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1127"/>
      <c r="B990" s="1390"/>
      <c r="C990" s="1127"/>
      <c r="D990" s="1127"/>
      <c r="E990" s="1127"/>
      <c r="F990" s="1127"/>
      <c r="G990" s="1127"/>
      <c r="H990" s="1127"/>
      <c r="I990" s="1127"/>
      <c r="J990" s="1127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1127"/>
      <c r="B991" s="1390"/>
      <c r="C991" s="1127"/>
      <c r="D991" s="1127"/>
      <c r="E991" s="1127"/>
      <c r="F991" s="1127"/>
      <c r="G991" s="1127"/>
      <c r="H991" s="1127"/>
      <c r="I991" s="1127"/>
      <c r="J991" s="1127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1127"/>
      <c r="B992" s="1390"/>
      <c r="C992" s="1127"/>
      <c r="D992" s="1127"/>
      <c r="E992" s="1127"/>
      <c r="F992" s="1127"/>
      <c r="G992" s="1127"/>
      <c r="H992" s="1127"/>
      <c r="I992" s="1127"/>
      <c r="J992" s="1127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1127"/>
      <c r="B993" s="1390"/>
      <c r="C993" s="1127"/>
      <c r="D993" s="1127"/>
      <c r="E993" s="1127"/>
      <c r="F993" s="1127"/>
      <c r="G993" s="1127"/>
      <c r="H993" s="1127"/>
      <c r="I993" s="1127"/>
      <c r="J993" s="1127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1127"/>
      <c r="B994" s="1390"/>
      <c r="C994" s="1127"/>
      <c r="D994" s="1127"/>
      <c r="E994" s="1127"/>
      <c r="F994" s="1127"/>
      <c r="G994" s="1127"/>
      <c r="H994" s="1127"/>
      <c r="I994" s="1127"/>
      <c r="J994" s="1127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1127"/>
      <c r="B995" s="1390"/>
      <c r="C995" s="1127"/>
      <c r="D995" s="1127"/>
      <c r="E995" s="1127"/>
      <c r="F995" s="1127"/>
      <c r="G995" s="1127"/>
      <c r="H995" s="1127"/>
      <c r="I995" s="1127"/>
      <c r="J995" s="1127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1127"/>
      <c r="B996" s="1390"/>
      <c r="C996" s="1127"/>
      <c r="D996" s="1127"/>
      <c r="E996" s="1127"/>
      <c r="F996" s="1127"/>
      <c r="G996" s="1127"/>
      <c r="H996" s="1127"/>
      <c r="I996" s="1127"/>
      <c r="J996" s="1127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1127"/>
      <c r="B997" s="1390"/>
      <c r="C997" s="1127"/>
      <c r="D997" s="1127"/>
      <c r="E997" s="1127"/>
      <c r="F997" s="1127"/>
      <c r="G997" s="1127"/>
      <c r="H997" s="1127"/>
      <c r="I997" s="1127"/>
      <c r="J997" s="1127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1127"/>
      <c r="B998" s="1390"/>
      <c r="C998" s="1127"/>
      <c r="D998" s="1127"/>
      <c r="E998" s="1127"/>
      <c r="F998" s="1127"/>
      <c r="G998" s="1127"/>
      <c r="H998" s="1127"/>
      <c r="I998" s="1127"/>
      <c r="J998" s="1127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>
      <c r="A999" s="1127"/>
      <c r="B999" s="1390"/>
      <c r="C999" s="1127"/>
      <c r="D999" s="1127"/>
      <c r="E999" s="1127"/>
      <c r="F999" s="1127"/>
      <c r="G999" s="1127"/>
      <c r="H999" s="1127"/>
      <c r="I999" s="1127"/>
      <c r="J999" s="1127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1127"/>
      <c r="B1000" s="1390"/>
      <c r="C1000" s="1127"/>
      <c r="D1000" s="1127"/>
      <c r="E1000" s="1127"/>
      <c r="F1000" s="1127"/>
      <c r="G1000" s="1127"/>
      <c r="H1000" s="1127"/>
      <c r="I1000" s="1127"/>
      <c r="J1000" s="1127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31">
    <mergeCell ref="E5:F5"/>
    <mergeCell ref="E16:F16"/>
    <mergeCell ref="E26:F26"/>
    <mergeCell ref="E36:F36"/>
    <mergeCell ref="E34:F34"/>
    <mergeCell ref="E35:F35"/>
    <mergeCell ref="I1:J1"/>
    <mergeCell ref="I2:J2"/>
    <mergeCell ref="A6:A8"/>
    <mergeCell ref="A1:F1"/>
    <mergeCell ref="G1:H1"/>
    <mergeCell ref="A3:I3"/>
    <mergeCell ref="G2:H2"/>
    <mergeCell ref="A25:A26"/>
    <mergeCell ref="A13:A21"/>
    <mergeCell ref="A9:A12"/>
    <mergeCell ref="A22:A24"/>
    <mergeCell ref="A65:H66"/>
    <mergeCell ref="A63:H63"/>
    <mergeCell ref="A43:I43"/>
    <mergeCell ref="A41:H42"/>
    <mergeCell ref="E39:F39"/>
    <mergeCell ref="L41:L42"/>
    <mergeCell ref="B67:J67"/>
    <mergeCell ref="A27:A28"/>
    <mergeCell ref="A54:A55"/>
    <mergeCell ref="A56:A58"/>
    <mergeCell ref="A50:A52"/>
    <mergeCell ref="A46:A49"/>
    <mergeCell ref="A29:A33"/>
    <mergeCell ref="A34:A39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30.5"/>
    <col customWidth="1" min="3" max="3" width="8.0"/>
    <col customWidth="1" min="4" max="4" width="9.38"/>
    <col customWidth="1" min="5" max="5" width="10.25"/>
    <col customWidth="1" min="6" max="6" width="8.0"/>
    <col customWidth="1" min="7" max="7" width="13.63"/>
    <col customWidth="1" min="8" max="8" width="10.38"/>
    <col customWidth="1" min="9" max="9" width="10.75"/>
    <col customWidth="1" min="10" max="10" width="9.25"/>
    <col customWidth="1" min="11" max="11" width="8.0"/>
    <col customWidth="1" min="12" max="12" width="11.63"/>
    <col customWidth="1" min="13" max="26" width="8.0"/>
  </cols>
  <sheetData>
    <row r="1" ht="17.25" customHeight="1">
      <c r="A1" s="2" t="s">
        <v>4</v>
      </c>
      <c r="B1" s="3"/>
      <c r="C1" s="3"/>
      <c r="D1" s="3"/>
      <c r="E1" s="3"/>
      <c r="F1" s="4"/>
      <c r="G1" s="6" t="s">
        <v>6</v>
      </c>
      <c r="H1" s="36"/>
      <c r="I1" s="38">
        <v>2122774.0</v>
      </c>
      <c r="J1" s="7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6.5" hidden="1" customHeight="1">
      <c r="A2" s="40"/>
      <c r="F2" s="42"/>
      <c r="G2" s="44" t="s">
        <v>20</v>
      </c>
      <c r="H2" s="46"/>
      <c r="I2" s="44" t="str">
        <f>621936+1910199</f>
        <v>2,532,135</v>
      </c>
      <c r="J2" s="4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6.5" customHeight="1">
      <c r="A3" s="49"/>
      <c r="B3" s="50"/>
      <c r="C3" s="50"/>
      <c r="D3" s="50"/>
      <c r="E3" s="50"/>
      <c r="F3" s="51"/>
      <c r="G3" s="114" t="s">
        <v>18</v>
      </c>
      <c r="H3" s="115"/>
      <c r="I3" s="114">
        <v>3526640.0</v>
      </c>
      <c r="J3" s="9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6.5" customHeight="1">
      <c r="A4" s="135" t="s">
        <v>19</v>
      </c>
      <c r="B4" s="10"/>
      <c r="C4" s="10"/>
      <c r="D4" s="10"/>
      <c r="E4" s="10"/>
      <c r="F4" s="10"/>
      <c r="G4" s="10"/>
      <c r="H4" s="10"/>
      <c r="I4" s="137"/>
      <c r="J4" s="192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27.75" customHeight="1">
      <c r="A5" s="193" t="s">
        <v>26</v>
      </c>
      <c r="B5" s="194" t="s">
        <v>25</v>
      </c>
      <c r="C5" s="195" t="s">
        <v>47</v>
      </c>
      <c r="D5" s="261" t="s">
        <v>48</v>
      </c>
      <c r="E5" s="263" t="s">
        <v>64</v>
      </c>
      <c r="F5" s="175"/>
      <c r="G5" s="264" t="s">
        <v>65</v>
      </c>
      <c r="H5" s="265" t="s">
        <v>55</v>
      </c>
      <c r="I5" s="194">
        <v>2015.0</v>
      </c>
      <c r="J5" s="266">
        <v>2016.0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329" t="s">
        <v>62</v>
      </c>
      <c r="B6" s="336" t="s">
        <v>67</v>
      </c>
      <c r="C6" s="337" t="s">
        <v>127</v>
      </c>
      <c r="D6" s="384" t="s">
        <v>70</v>
      </c>
      <c r="E6" s="385">
        <v>41852.0</v>
      </c>
      <c r="F6" s="390">
        <v>41974.0</v>
      </c>
      <c r="G6" s="443">
        <v>6000.0</v>
      </c>
      <c r="H6" s="444" t="s">
        <v>83</v>
      </c>
      <c r="I6" s="445">
        <v>5818.0</v>
      </c>
      <c r="J6" s="446">
        <v>0.0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52"/>
      <c r="B7" s="453" t="s">
        <v>230</v>
      </c>
      <c r="C7" s="454" t="s">
        <v>68</v>
      </c>
      <c r="D7" s="455" t="s">
        <v>231</v>
      </c>
      <c r="E7" s="456">
        <v>42186.0</v>
      </c>
      <c r="F7" s="457">
        <v>42430.0</v>
      </c>
      <c r="G7" s="458">
        <v>145000.0</v>
      </c>
      <c r="H7" s="459" t="s">
        <v>83</v>
      </c>
      <c r="I7" s="460">
        <v>86196.0</v>
      </c>
      <c r="J7" s="461">
        <v>58804.0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462"/>
      <c r="B8" s="463" t="s">
        <v>232</v>
      </c>
      <c r="C8" s="464" t="s">
        <v>233</v>
      </c>
      <c r="D8" s="465" t="s">
        <v>234</v>
      </c>
      <c r="E8" s="466">
        <v>41730.0</v>
      </c>
      <c r="F8" s="467">
        <v>42064.0</v>
      </c>
      <c r="G8" s="468">
        <v>200000.0</v>
      </c>
      <c r="H8" s="469" t="s">
        <v>83</v>
      </c>
      <c r="I8" s="470">
        <v>90219.0</v>
      </c>
      <c r="J8" s="471">
        <v>0.0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473" t="s">
        <v>135</v>
      </c>
      <c r="B9" s="474" t="s">
        <v>172</v>
      </c>
      <c r="C9" s="475" t="s">
        <v>173</v>
      </c>
      <c r="D9" s="475" t="s">
        <v>174</v>
      </c>
      <c r="E9" s="476">
        <v>40634.0</v>
      </c>
      <c r="F9" s="477">
        <v>42064.0</v>
      </c>
      <c r="G9" s="478">
        <v>579115.0</v>
      </c>
      <c r="H9" s="479">
        <v>0.87</v>
      </c>
      <c r="I9" s="478">
        <v>22027.0</v>
      </c>
      <c r="J9" s="480">
        <v>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481"/>
      <c r="B10" s="482" t="s">
        <v>235</v>
      </c>
      <c r="C10" s="483" t="s">
        <v>236</v>
      </c>
      <c r="D10" s="483" t="s">
        <v>237</v>
      </c>
      <c r="E10" s="484">
        <v>41730.0</v>
      </c>
      <c r="F10" s="485">
        <v>42064.0</v>
      </c>
      <c r="G10" s="478">
        <v>29977.0</v>
      </c>
      <c r="H10" s="478" t="s">
        <v>83</v>
      </c>
      <c r="I10" s="486">
        <v>8820.0</v>
      </c>
      <c r="J10" s="475">
        <v>0.0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81"/>
      <c r="B11" s="525" t="s">
        <v>238</v>
      </c>
      <c r="C11" s="526" t="s">
        <v>289</v>
      </c>
      <c r="D11" s="527" t="s">
        <v>290</v>
      </c>
      <c r="E11" s="528">
        <v>41791.0</v>
      </c>
      <c r="F11" s="529">
        <v>42064.0</v>
      </c>
      <c r="G11" s="478">
        <v>32000.0</v>
      </c>
      <c r="H11" s="527" t="s">
        <v>83</v>
      </c>
      <c r="I11" s="480">
        <v>14226.0</v>
      </c>
      <c r="J11" s="480">
        <v>0.0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81"/>
      <c r="B12" s="525" t="s">
        <v>291</v>
      </c>
      <c r="C12" s="526" t="s">
        <v>292</v>
      </c>
      <c r="D12" s="527" t="s">
        <v>237</v>
      </c>
      <c r="E12" s="528">
        <v>41640.0</v>
      </c>
      <c r="F12" s="529">
        <v>42339.0</v>
      </c>
      <c r="G12" s="478">
        <v>55270.0</v>
      </c>
      <c r="H12" s="527" t="s">
        <v>83</v>
      </c>
      <c r="I12" s="480">
        <v>52426.0</v>
      </c>
      <c r="J12" s="542">
        <v>0.0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543"/>
      <c r="B13" s="544" t="s">
        <v>138</v>
      </c>
      <c r="C13" s="464" t="s">
        <v>139</v>
      </c>
      <c r="D13" s="464" t="s">
        <v>140</v>
      </c>
      <c r="E13" s="466">
        <v>41730.0</v>
      </c>
      <c r="F13" s="467">
        <v>42036.0</v>
      </c>
      <c r="G13" s="468">
        <v>70000.0</v>
      </c>
      <c r="H13" s="468" t="s">
        <v>83</v>
      </c>
      <c r="I13" s="471">
        <v>12201.0</v>
      </c>
      <c r="J13" s="470">
        <v>0.0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546" t="s">
        <v>175</v>
      </c>
      <c r="B14" s="580" t="s">
        <v>303</v>
      </c>
      <c r="C14" s="483" t="s">
        <v>313</v>
      </c>
      <c r="D14" s="483" t="s">
        <v>266</v>
      </c>
      <c r="E14" s="484">
        <v>41579.0</v>
      </c>
      <c r="F14" s="581">
        <v>42036.0</v>
      </c>
      <c r="G14" s="582">
        <v>263361.0</v>
      </c>
      <c r="H14" s="583" t="s">
        <v>83</v>
      </c>
      <c r="I14" s="584">
        <v>31279.0</v>
      </c>
      <c r="J14" s="584">
        <v>0.0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585"/>
      <c r="B15" s="587" t="s">
        <v>342</v>
      </c>
      <c r="C15" s="588" t="s">
        <v>344</v>
      </c>
      <c r="D15" s="589" t="s">
        <v>345</v>
      </c>
      <c r="E15" s="590">
        <v>41730.0</v>
      </c>
      <c r="F15" s="591">
        <v>42064.0</v>
      </c>
      <c r="G15" s="592">
        <v>54486.0</v>
      </c>
      <c r="H15" s="593" t="s">
        <v>83</v>
      </c>
      <c r="I15" s="594">
        <v>11000.0</v>
      </c>
      <c r="J15" s="594">
        <v>0.0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585"/>
      <c r="B16" s="587" t="s">
        <v>346</v>
      </c>
      <c r="C16" s="598" t="s">
        <v>347</v>
      </c>
      <c r="D16" s="599" t="s">
        <v>348</v>
      </c>
      <c r="E16" s="476">
        <v>42005.0</v>
      </c>
      <c r="F16" s="485">
        <v>42339.0</v>
      </c>
      <c r="G16" s="478">
        <v>24240.0</v>
      </c>
      <c r="H16" s="600" t="s">
        <v>83</v>
      </c>
      <c r="I16" s="601">
        <v>9086.0</v>
      </c>
      <c r="J16" s="602">
        <v>0.0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585"/>
      <c r="B17" s="652" t="s">
        <v>349</v>
      </c>
      <c r="C17" s="653" t="s">
        <v>111</v>
      </c>
      <c r="D17" s="654" t="s">
        <v>101</v>
      </c>
      <c r="E17" s="476">
        <v>42186.0</v>
      </c>
      <c r="F17" s="485">
        <v>42278.0</v>
      </c>
      <c r="G17" s="478">
        <v>8500.0</v>
      </c>
      <c r="H17" s="655" t="s">
        <v>83</v>
      </c>
      <c r="I17" s="594">
        <v>8500.0</v>
      </c>
      <c r="J17" s="656">
        <v>0.0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585"/>
      <c r="B18" s="652" t="s">
        <v>388</v>
      </c>
      <c r="C18" s="653" t="s">
        <v>389</v>
      </c>
      <c r="D18" s="654" t="s">
        <v>143</v>
      </c>
      <c r="E18" s="484">
        <v>42005.0</v>
      </c>
      <c r="F18" s="666">
        <v>42156.0</v>
      </c>
      <c r="G18" s="478">
        <v>5181.0</v>
      </c>
      <c r="H18" s="655" t="s">
        <v>83</v>
      </c>
      <c r="I18" s="594">
        <v>5181.0</v>
      </c>
      <c r="J18" s="656">
        <v>0.0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585"/>
      <c r="B19" s="652" t="s">
        <v>451</v>
      </c>
      <c r="C19" s="653" t="s">
        <v>177</v>
      </c>
      <c r="D19" s="654" t="s">
        <v>126</v>
      </c>
      <c r="E19" s="484">
        <v>40940.0</v>
      </c>
      <c r="F19" s="581">
        <v>41640.0</v>
      </c>
      <c r="G19" s="582">
        <v>492303.0</v>
      </c>
      <c r="H19" s="479">
        <v>1.0</v>
      </c>
      <c r="I19" s="594">
        <v>10090.0</v>
      </c>
      <c r="J19" s="656">
        <v>0.0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585"/>
      <c r="B20" s="652" t="s">
        <v>452</v>
      </c>
      <c r="C20" s="653" t="s">
        <v>453</v>
      </c>
      <c r="D20" s="654" t="s">
        <v>371</v>
      </c>
      <c r="E20" s="668">
        <v>42095.0</v>
      </c>
      <c r="F20" s="669">
        <v>42125.0</v>
      </c>
      <c r="G20" s="460">
        <v>28892.0</v>
      </c>
      <c r="H20" s="699" t="s">
        <v>83</v>
      </c>
      <c r="I20" s="594">
        <v>28892.0</v>
      </c>
      <c r="J20" s="656">
        <v>0.0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26.25" customHeight="1">
      <c r="A21" s="700"/>
      <c r="B21" s="701" t="s">
        <v>470</v>
      </c>
      <c r="C21" s="702" t="s">
        <v>370</v>
      </c>
      <c r="D21" s="702" t="s">
        <v>371</v>
      </c>
      <c r="E21" s="703">
        <v>41821.0</v>
      </c>
      <c r="F21" s="704">
        <v>42064.0</v>
      </c>
      <c r="G21" s="468">
        <v>334386.0</v>
      </c>
      <c r="H21" s="705" t="s">
        <v>83</v>
      </c>
      <c r="I21" s="470">
        <v>93773.0</v>
      </c>
      <c r="J21" s="470">
        <v>0.0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716" t="s">
        <v>178</v>
      </c>
      <c r="B22" s="717" t="s">
        <v>179</v>
      </c>
      <c r="C22" s="756" t="s">
        <v>180</v>
      </c>
      <c r="D22" s="771" t="s">
        <v>181</v>
      </c>
      <c r="E22" s="772">
        <v>40878.0</v>
      </c>
      <c r="F22" s="772">
        <v>42005.0</v>
      </c>
      <c r="G22" s="773">
        <v>502947.0</v>
      </c>
      <c r="H22" s="774">
        <v>0.75</v>
      </c>
      <c r="I22" s="775">
        <v>770.0</v>
      </c>
      <c r="J22" s="796">
        <v>0.0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481"/>
      <c r="B23" s="717" t="s">
        <v>560</v>
      </c>
      <c r="C23" s="797" t="s">
        <v>561</v>
      </c>
      <c r="D23" s="798" t="s">
        <v>562</v>
      </c>
      <c r="E23" s="484">
        <v>41913.0</v>
      </c>
      <c r="F23" s="484">
        <v>42887.0</v>
      </c>
      <c r="G23" s="799">
        <v>1000000.0</v>
      </c>
      <c r="H23" s="798" t="s">
        <v>83</v>
      </c>
      <c r="I23" s="800">
        <v>507030.0</v>
      </c>
      <c r="J23" s="801">
        <v>334175.0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481"/>
      <c r="B24" s="717" t="s">
        <v>563</v>
      </c>
      <c r="C24" s="483" t="s">
        <v>564</v>
      </c>
      <c r="D24" s="803" t="s">
        <v>565</v>
      </c>
      <c r="E24" s="476">
        <v>41883.0</v>
      </c>
      <c r="F24" s="476">
        <v>42217.0</v>
      </c>
      <c r="G24" s="799">
        <v>72000.0</v>
      </c>
      <c r="H24" s="804">
        <v>0.85</v>
      </c>
      <c r="I24" s="800" t="str">
        <f>72000-7744</f>
        <v>64,256</v>
      </c>
      <c r="J24" s="808">
        <v>0.0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481"/>
      <c r="B25" s="717" t="s">
        <v>566</v>
      </c>
      <c r="C25" s="836" t="s">
        <v>567</v>
      </c>
      <c r="D25" s="837" t="s">
        <v>77</v>
      </c>
      <c r="E25" s="476">
        <v>42005.0</v>
      </c>
      <c r="F25" s="476">
        <v>42339.0</v>
      </c>
      <c r="G25" s="799">
        <v>168447.0</v>
      </c>
      <c r="H25" s="804" t="s">
        <v>83</v>
      </c>
      <c r="I25" s="800">
        <v>160903.0</v>
      </c>
      <c r="J25" s="840">
        <v>0.0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81"/>
      <c r="B26" s="841" t="s">
        <v>577</v>
      </c>
      <c r="C26" s="875" t="s">
        <v>236</v>
      </c>
      <c r="D26" s="876" t="s">
        <v>580</v>
      </c>
      <c r="E26" s="590">
        <v>42186.0</v>
      </c>
      <c r="F26" s="590">
        <v>42522.0</v>
      </c>
      <c r="G26" s="877">
        <v>100000.0</v>
      </c>
      <c r="H26" s="878" t="s">
        <v>83</v>
      </c>
      <c r="I26" s="879">
        <v>36097.0</v>
      </c>
      <c r="J26" s="880">
        <v>70000.0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881"/>
      <c r="B27" s="882" t="s">
        <v>581</v>
      </c>
      <c r="C27" s="883" t="s">
        <v>381</v>
      </c>
      <c r="D27" s="885" t="s">
        <v>382</v>
      </c>
      <c r="E27" s="466">
        <v>41944.0</v>
      </c>
      <c r="F27" s="466">
        <v>42064.0</v>
      </c>
      <c r="G27" s="886">
        <v>48954.0</v>
      </c>
      <c r="H27" s="885" t="s">
        <v>83</v>
      </c>
      <c r="I27" s="887">
        <v>33120.0</v>
      </c>
      <c r="J27" s="883">
        <v>0.0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929" t="s">
        <v>314</v>
      </c>
      <c r="B28" s="931" t="s">
        <v>606</v>
      </c>
      <c r="C28" s="934" t="s">
        <v>607</v>
      </c>
      <c r="D28" s="935" t="s">
        <v>237</v>
      </c>
      <c r="E28" s="936">
        <v>42005.0</v>
      </c>
      <c r="F28" s="936">
        <v>42339.0</v>
      </c>
      <c r="G28" s="937">
        <v>56450.0</v>
      </c>
      <c r="H28" s="938" t="s">
        <v>83</v>
      </c>
      <c r="I28" s="939">
        <v>56450.0</v>
      </c>
      <c r="J28" s="937">
        <v>0.0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81"/>
      <c r="B29" s="717" t="s">
        <v>608</v>
      </c>
      <c r="C29" s="483" t="s">
        <v>236</v>
      </c>
      <c r="D29" s="803" t="s">
        <v>237</v>
      </c>
      <c r="E29" s="969">
        <v>42186.0</v>
      </c>
      <c r="F29" s="969">
        <v>42339.0</v>
      </c>
      <c r="G29" s="970">
        <v>28077.0</v>
      </c>
      <c r="H29" s="971" t="s">
        <v>83</v>
      </c>
      <c r="I29" s="582">
        <v>28077.0</v>
      </c>
      <c r="J29" s="970">
        <v>0.0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881"/>
      <c r="B30" s="973" t="s">
        <v>627</v>
      </c>
      <c r="C30" s="974" t="s">
        <v>68</v>
      </c>
      <c r="D30" s="1020" t="s">
        <v>189</v>
      </c>
      <c r="E30" s="1021">
        <v>42309.0</v>
      </c>
      <c r="F30" s="1021">
        <v>43405.0</v>
      </c>
      <c r="G30" s="1022">
        <v>650000.0</v>
      </c>
      <c r="H30" s="1023" t="s">
        <v>83</v>
      </c>
      <c r="I30" s="1024">
        <v>70000.0</v>
      </c>
      <c r="J30" s="1022">
        <v>150000.0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6.5" customHeight="1">
      <c r="A31" s="1025" t="s">
        <v>641</v>
      </c>
      <c r="B31" s="1026" t="s">
        <v>642</v>
      </c>
      <c r="C31" s="974" t="s">
        <v>643</v>
      </c>
      <c r="D31" s="1020" t="s">
        <v>644</v>
      </c>
      <c r="E31" s="1027">
        <v>42036.0</v>
      </c>
      <c r="F31" s="1027">
        <v>42767.0</v>
      </c>
      <c r="G31" s="1022">
        <v>80000.0</v>
      </c>
      <c r="H31" s="1028" t="s">
        <v>83</v>
      </c>
      <c r="I31" s="1029">
        <v>26000.0</v>
      </c>
      <c r="J31" s="1029">
        <v>40000.0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25.5" customHeight="1">
      <c r="A32" s="1031" t="s">
        <v>450</v>
      </c>
      <c r="B32" s="1033" t="s">
        <v>471</v>
      </c>
      <c r="C32" s="483" t="s">
        <v>472</v>
      </c>
      <c r="D32" s="483" t="s">
        <v>237</v>
      </c>
      <c r="E32" s="484">
        <v>42005.0</v>
      </c>
      <c r="F32" s="484">
        <v>42339.0</v>
      </c>
      <c r="G32" s="970">
        <v>67435.0</v>
      </c>
      <c r="H32" s="1064" t="s">
        <v>83</v>
      </c>
      <c r="I32" s="808">
        <v>67435.0</v>
      </c>
      <c r="J32" s="808">
        <v>0.0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881"/>
      <c r="B33" s="1073" t="s">
        <v>471</v>
      </c>
      <c r="C33" s="1082" t="s">
        <v>473</v>
      </c>
      <c r="D33" s="1083" t="s">
        <v>237</v>
      </c>
      <c r="E33" s="1084">
        <v>42005.0</v>
      </c>
      <c r="F33" s="1084">
        <v>42339.0</v>
      </c>
      <c r="G33" s="1085">
        <v>187455.0</v>
      </c>
      <c r="H33" s="1086" t="s">
        <v>83</v>
      </c>
      <c r="I33" s="470">
        <v>187455.0</v>
      </c>
      <c r="J33" s="470">
        <v>0.0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2.25" customHeight="1">
      <c r="A34" s="1087"/>
      <c r="B34" s="1093"/>
      <c r="C34" s="1094"/>
      <c r="D34" s="361"/>
      <c r="E34" s="1096"/>
      <c r="F34" s="1097"/>
      <c r="G34" s="1098"/>
      <c r="H34" s="1098"/>
      <c r="I34" s="417"/>
      <c r="J34" s="109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6.5" customHeight="1">
      <c r="A35" s="421" t="s">
        <v>216</v>
      </c>
      <c r="B35" s="422"/>
      <c r="C35" s="422"/>
      <c r="D35" s="422"/>
      <c r="E35" s="422"/>
      <c r="F35" s="422"/>
      <c r="G35" s="422"/>
      <c r="H35" s="502"/>
      <c r="I35" s="1104" t="str">
        <f t="shared" ref="I35:J35" si="1">SUM(I6:I33)</f>
        <v>1,727,327</v>
      </c>
      <c r="J35" s="1105" t="str">
        <f t="shared" si="1"/>
        <v>652,979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49"/>
      <c r="B36" s="50"/>
      <c r="C36" s="50"/>
      <c r="D36" s="50"/>
      <c r="E36" s="50"/>
      <c r="F36" s="50"/>
      <c r="G36" s="50"/>
      <c r="H36" s="507"/>
      <c r="I36" s="1116" t="str">
        <f>I35/I1</f>
        <v>81%</v>
      </c>
      <c r="J36" s="1116" t="str">
        <f>J35/I3</f>
        <v>19%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6.5" customHeight="1">
      <c r="A37" s="1118" t="s">
        <v>462</v>
      </c>
      <c r="B37" s="1120"/>
      <c r="C37" s="1120"/>
      <c r="D37" s="1120"/>
      <c r="E37" s="1120"/>
      <c r="F37" s="1120"/>
      <c r="G37" s="1120"/>
      <c r="H37" s="1120"/>
      <c r="I37" s="1121"/>
      <c r="J37" s="138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26.25" customHeight="1">
      <c r="A38" s="1123" t="s">
        <v>366</v>
      </c>
      <c r="B38" s="1124" t="s">
        <v>25</v>
      </c>
      <c r="C38" s="226" t="s">
        <v>457</v>
      </c>
      <c r="D38" s="1124" t="s">
        <v>48</v>
      </c>
      <c r="E38" s="1130" t="s">
        <v>458</v>
      </c>
      <c r="F38" s="230" t="s">
        <v>459</v>
      </c>
      <c r="G38" s="1131" t="s">
        <v>460</v>
      </c>
      <c r="H38" s="1132" t="s">
        <v>679</v>
      </c>
      <c r="I38" s="678">
        <v>2015.0</v>
      </c>
      <c r="J38" s="678">
        <v>2016.0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20.25" customHeight="1">
      <c r="A39" s="1133"/>
      <c r="B39" s="141"/>
      <c r="C39" s="1134"/>
      <c r="D39" s="1135"/>
      <c r="E39" s="1136"/>
      <c r="F39" s="1137"/>
      <c r="G39" s="631"/>
      <c r="H39" s="633"/>
      <c r="I39" s="1138"/>
      <c r="J39" s="1138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25.5" customHeight="1">
      <c r="A40" s="1148" t="s">
        <v>62</v>
      </c>
      <c r="B40" s="1149" t="s">
        <v>683</v>
      </c>
      <c r="C40" s="1150" t="s">
        <v>503</v>
      </c>
      <c r="D40" s="1151" t="s">
        <v>684</v>
      </c>
      <c r="E40" s="1152">
        <v>42217.0</v>
      </c>
      <c r="F40" s="1151">
        <v>9.0</v>
      </c>
      <c r="G40" s="1153">
        <v>24951.0</v>
      </c>
      <c r="H40" s="1154" t="s">
        <v>83</v>
      </c>
      <c r="I40" s="1155">
        <v>17000.0</v>
      </c>
      <c r="J40" s="1155">
        <v>7951.0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26.25" customHeight="1">
      <c r="A41" s="1173"/>
      <c r="B41" s="1175" t="s">
        <v>691</v>
      </c>
      <c r="C41" s="1176" t="s">
        <v>548</v>
      </c>
      <c r="D41" s="1177" t="s">
        <v>692</v>
      </c>
      <c r="E41" s="1178">
        <v>42186.0</v>
      </c>
      <c r="F41" s="1177">
        <v>24.0</v>
      </c>
      <c r="G41" s="1183">
        <v>468291.0</v>
      </c>
      <c r="H41" s="1184" t="s">
        <v>83</v>
      </c>
      <c r="I41" s="1185">
        <v>54825.0</v>
      </c>
      <c r="J41" s="1185">
        <v>197356.0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1195" t="s">
        <v>135</v>
      </c>
      <c r="B42" s="1197" t="s">
        <v>699</v>
      </c>
      <c r="C42" s="1198" t="s">
        <v>548</v>
      </c>
      <c r="D42" s="1205" t="s">
        <v>701</v>
      </c>
      <c r="E42" s="1206">
        <v>41883.0</v>
      </c>
      <c r="F42" s="1205">
        <v>9.0</v>
      </c>
      <c r="G42" s="1211">
        <v>30000.0</v>
      </c>
      <c r="H42" s="1205" t="s">
        <v>83</v>
      </c>
      <c r="I42" s="1211">
        <v>20000.0</v>
      </c>
      <c r="J42" s="1212">
        <v>10000.0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585"/>
      <c r="B43" s="1197" t="s">
        <v>703</v>
      </c>
      <c r="C43" s="1198" t="s">
        <v>548</v>
      </c>
      <c r="D43" s="1205" t="s">
        <v>704</v>
      </c>
      <c r="E43" s="1206">
        <v>42156.0</v>
      </c>
      <c r="F43" s="1205">
        <v>24.0</v>
      </c>
      <c r="G43" s="1211">
        <v>222000.0</v>
      </c>
      <c r="H43" s="1205" t="s">
        <v>83</v>
      </c>
      <c r="I43" s="1211">
        <v>50000.0</v>
      </c>
      <c r="J43" s="1212">
        <v>140000.0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585"/>
      <c r="B44" s="1222" t="s">
        <v>705</v>
      </c>
      <c r="C44" s="1223" t="s">
        <v>508</v>
      </c>
      <c r="D44" s="1224" t="s">
        <v>712</v>
      </c>
      <c r="E44" s="1225">
        <v>42036.0</v>
      </c>
      <c r="F44" s="1224">
        <v>36.0</v>
      </c>
      <c r="G44" s="1226">
        <v>581154.0</v>
      </c>
      <c r="H44" s="1224" t="s">
        <v>83</v>
      </c>
      <c r="I44" s="1226">
        <v>80000.0</v>
      </c>
      <c r="J44" s="1237">
        <v>193718.0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585"/>
      <c r="B45" s="1222" t="s">
        <v>715</v>
      </c>
      <c r="C45" s="1223" t="s">
        <v>508</v>
      </c>
      <c r="D45" s="1224" t="s">
        <v>80</v>
      </c>
      <c r="E45" s="1225">
        <v>42217.0</v>
      </c>
      <c r="F45" s="1224">
        <v>30.0</v>
      </c>
      <c r="G45" s="1226">
        <v>180000.0</v>
      </c>
      <c r="H45" s="1249">
        <v>0.75</v>
      </c>
      <c r="I45" s="1226">
        <v>0.0</v>
      </c>
      <c r="J45" s="1237">
        <v>80000.0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1250"/>
      <c r="B46" s="1251" t="s">
        <v>719</v>
      </c>
      <c r="C46" s="1252" t="s">
        <v>508</v>
      </c>
      <c r="D46" s="1253" t="s">
        <v>80</v>
      </c>
      <c r="E46" s="1254">
        <v>42217.0</v>
      </c>
      <c r="F46" s="1253">
        <v>36.0</v>
      </c>
      <c r="G46" s="1255">
        <v>180000.0</v>
      </c>
      <c r="H46" s="1256">
        <v>0.8</v>
      </c>
      <c r="I46" s="1255">
        <v>0.0</v>
      </c>
      <c r="J46" s="1257">
        <v>80000.0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267" t="s">
        <v>175</v>
      </c>
      <c r="B47" s="1268" t="s">
        <v>721</v>
      </c>
      <c r="C47" s="1269" t="s">
        <v>503</v>
      </c>
      <c r="D47" s="1270" t="s">
        <v>266</v>
      </c>
      <c r="E47" s="1271">
        <v>42186.0</v>
      </c>
      <c r="F47" s="1272">
        <v>1.0</v>
      </c>
      <c r="G47" s="1273">
        <v>20000.0</v>
      </c>
      <c r="H47" s="1270" t="s">
        <v>83</v>
      </c>
      <c r="I47" s="1274">
        <v>20000.0</v>
      </c>
      <c r="J47" s="1273">
        <v>0.0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585"/>
      <c r="B48" s="1275" t="s">
        <v>722</v>
      </c>
      <c r="C48" s="1276" t="s">
        <v>508</v>
      </c>
      <c r="D48" s="1277" t="s">
        <v>80</v>
      </c>
      <c r="E48" s="1278">
        <v>42125.0</v>
      </c>
      <c r="F48" s="1279">
        <v>30.0</v>
      </c>
      <c r="G48" s="1280">
        <v>400000.0</v>
      </c>
      <c r="H48" s="1281">
        <v>0.25</v>
      </c>
      <c r="I48" s="1257">
        <v>40000.0</v>
      </c>
      <c r="J48" s="1279">
        <v>150000.0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1283" t="s">
        <v>178</v>
      </c>
      <c r="B49" s="1284" t="s">
        <v>725</v>
      </c>
      <c r="C49" s="1285" t="s">
        <v>503</v>
      </c>
      <c r="D49" s="1286" t="s">
        <v>77</v>
      </c>
      <c r="E49" s="1287">
        <v>42156.0</v>
      </c>
      <c r="F49" s="1288">
        <v>6.0</v>
      </c>
      <c r="G49" s="1289">
        <v>100000.0</v>
      </c>
      <c r="H49" s="1296" t="s">
        <v>83</v>
      </c>
      <c r="I49" s="1297">
        <v>0.0</v>
      </c>
      <c r="J49" s="1289">
        <v>100000.0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1301"/>
      <c r="B50" s="1303" t="s">
        <v>728</v>
      </c>
      <c r="C50" s="1304" t="s">
        <v>503</v>
      </c>
      <c r="D50" s="1305" t="s">
        <v>375</v>
      </c>
      <c r="E50" s="1306">
        <v>42005.0</v>
      </c>
      <c r="F50" s="1307">
        <v>16.0</v>
      </c>
      <c r="G50" s="1308">
        <v>320000.0</v>
      </c>
      <c r="H50" s="1305" t="s">
        <v>83</v>
      </c>
      <c r="I50" s="1309">
        <v>120000.0</v>
      </c>
      <c r="J50" s="1310">
        <v>200000.0</v>
      </c>
      <c r="K50" s="20"/>
      <c r="L50" s="20"/>
      <c r="M50" s="1311"/>
      <c r="N50" s="1312"/>
      <c r="O50" s="1315"/>
      <c r="P50" s="1316"/>
      <c r="Q50" s="1317"/>
      <c r="R50" s="1321"/>
      <c r="S50" s="1322"/>
      <c r="T50" s="1323"/>
      <c r="U50" s="20"/>
      <c r="V50" s="20"/>
      <c r="W50" s="20"/>
      <c r="X50" s="20"/>
      <c r="Y50" s="20"/>
      <c r="Z50" s="20"/>
    </row>
    <row r="51" ht="21.0" customHeight="1">
      <c r="A51" s="1328" t="s">
        <v>314</v>
      </c>
      <c r="B51" s="1329" t="s">
        <v>729</v>
      </c>
      <c r="C51" s="1330" t="s">
        <v>503</v>
      </c>
      <c r="D51" s="1331" t="s">
        <v>730</v>
      </c>
      <c r="E51" s="1332">
        <v>42064.0</v>
      </c>
      <c r="F51" s="1333">
        <v>12.0</v>
      </c>
      <c r="G51" s="1334">
        <v>295000.0</v>
      </c>
      <c r="H51" s="1335" t="s">
        <v>83</v>
      </c>
      <c r="I51" s="1336">
        <v>0.0</v>
      </c>
      <c r="J51" s="1337">
        <v>100000.0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9.5" customHeight="1">
      <c r="A52" s="585"/>
      <c r="B52" s="1329" t="s">
        <v>731</v>
      </c>
      <c r="C52" s="1330" t="s">
        <v>503</v>
      </c>
      <c r="D52" s="1331" t="s">
        <v>730</v>
      </c>
      <c r="E52" s="1332">
        <v>42156.0</v>
      </c>
      <c r="F52" s="1333">
        <v>6.0</v>
      </c>
      <c r="G52" s="1334">
        <v>30000.0</v>
      </c>
      <c r="H52" s="1335" t="s">
        <v>83</v>
      </c>
      <c r="I52" s="1336">
        <v>30000.0</v>
      </c>
      <c r="J52" s="1337">
        <v>0.0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6.5" customHeight="1">
      <c r="A53" s="1340"/>
      <c r="B53" s="1341" t="s">
        <v>732</v>
      </c>
      <c r="C53" s="1342" t="s">
        <v>503</v>
      </c>
      <c r="D53" s="1343" t="s">
        <v>393</v>
      </c>
      <c r="E53" s="1344">
        <v>42036.0</v>
      </c>
      <c r="F53" s="1345">
        <v>11.0</v>
      </c>
      <c r="G53" s="1346">
        <v>300000.0</v>
      </c>
      <c r="H53" s="1347" t="s">
        <v>83</v>
      </c>
      <c r="I53" s="1348">
        <v>70000.0</v>
      </c>
      <c r="J53" s="1310">
        <v>200000.0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26.25" customHeight="1">
      <c r="A54" s="1350" t="s">
        <v>733</v>
      </c>
      <c r="B54" s="1351" t="s">
        <v>734</v>
      </c>
      <c r="C54" s="1352" t="s">
        <v>640</v>
      </c>
      <c r="D54" s="1353" t="s">
        <v>504</v>
      </c>
      <c r="E54" s="1354">
        <v>42217.0</v>
      </c>
      <c r="F54" s="1355">
        <v>6.0</v>
      </c>
      <c r="G54" s="1356">
        <v>31915.0</v>
      </c>
      <c r="H54" s="1357" t="s">
        <v>83</v>
      </c>
      <c r="I54" s="1358">
        <v>0.0</v>
      </c>
      <c r="J54" s="1359">
        <v>31915.0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6.5" customHeight="1">
      <c r="A55" s="1173"/>
      <c r="B55" s="1341" t="s">
        <v>735</v>
      </c>
      <c r="C55" s="1342" t="s">
        <v>503</v>
      </c>
      <c r="D55" s="1343" t="s">
        <v>80</v>
      </c>
      <c r="E55" s="1344">
        <v>42278.0</v>
      </c>
      <c r="F55" s="1361">
        <v>36.0</v>
      </c>
      <c r="G55" s="1362">
        <v>554668.0</v>
      </c>
      <c r="H55" s="1347">
        <v>0.2</v>
      </c>
      <c r="I55" s="1348">
        <v>0.0</v>
      </c>
      <c r="J55" s="1310">
        <v>184000.0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1367" t="s">
        <v>736</v>
      </c>
      <c r="B56" s="1368" t="s">
        <v>737</v>
      </c>
      <c r="C56" s="1369" t="s">
        <v>508</v>
      </c>
      <c r="D56" s="1370" t="s">
        <v>738</v>
      </c>
      <c r="E56" s="1371">
        <v>41730.0</v>
      </c>
      <c r="F56" s="1372">
        <v>24.0</v>
      </c>
      <c r="G56" s="1373">
        <v>40000.0</v>
      </c>
      <c r="H56" s="1374" t="s">
        <v>83</v>
      </c>
      <c r="I56" s="1375">
        <v>10000.0</v>
      </c>
      <c r="J56" s="1376">
        <v>10000.0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7.25" customHeight="1">
      <c r="A57" s="1378" t="s">
        <v>579</v>
      </c>
      <c r="B57" s="1379"/>
      <c r="C57" s="1379"/>
      <c r="D57" s="1379"/>
      <c r="E57" s="1379"/>
      <c r="F57" s="1379"/>
      <c r="G57" s="1379"/>
      <c r="H57" s="1382"/>
      <c r="I57" s="1384" t="str">
        <f t="shared" ref="I57:J57" si="2">SUM(I40:I56)</f>
        <v>511,825</v>
      </c>
      <c r="J57" s="1384" t="str">
        <f t="shared" si="2"/>
        <v>1,684,940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7.25" customHeight="1">
      <c r="A58" s="1387" t="s">
        <v>584</v>
      </c>
      <c r="B58" s="897"/>
      <c r="C58" s="897"/>
      <c r="D58" s="897"/>
      <c r="E58" s="897"/>
      <c r="F58" s="897"/>
      <c r="G58" s="897"/>
      <c r="H58" s="899"/>
      <c r="I58" s="1389" t="str">
        <f>I44+I45+I46+I56+I48</f>
        <v>130,000</v>
      </c>
      <c r="J58" s="1389" t="str">
        <f>J44+J45+J46+J56+J48+J54</f>
        <v>545,633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7.25" customHeight="1">
      <c r="A59" s="1391" t="s">
        <v>740</v>
      </c>
      <c r="B59" s="907"/>
      <c r="C59" s="907"/>
      <c r="D59" s="907"/>
      <c r="E59" s="907"/>
      <c r="F59" s="907"/>
      <c r="G59" s="907"/>
      <c r="H59" s="909"/>
      <c r="I59" s="1392" t="str">
        <f t="shared" ref="I59:J59" si="3">I35+I58</f>
        <v>1,857,327</v>
      </c>
      <c r="J59" s="1393" t="str">
        <f t="shared" si="3"/>
        <v>1,198,612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7.25" customHeight="1">
      <c r="A60" s="1394"/>
      <c r="B60" s="50"/>
      <c r="C60" s="50"/>
      <c r="D60" s="50"/>
      <c r="E60" s="50"/>
      <c r="F60" s="50"/>
      <c r="G60" s="50"/>
      <c r="H60" s="919"/>
      <c r="I60" s="1395" t="str">
        <f>I59/I1</f>
        <v>87%</v>
      </c>
      <c r="J60" s="1396" t="str">
        <f>J59/I3</f>
        <v>34%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6.5" customHeight="1">
      <c r="A61" s="1397" t="s">
        <v>623</v>
      </c>
      <c r="B61" s="981" t="s">
        <v>626</v>
      </c>
      <c r="C61" s="5"/>
      <c r="D61" s="5"/>
      <c r="E61" s="5"/>
      <c r="F61" s="5"/>
      <c r="G61" s="5"/>
      <c r="H61" s="5"/>
      <c r="I61" s="5"/>
      <c r="J61" s="1398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7">
    <mergeCell ref="A4:I4"/>
    <mergeCell ref="I1:J1"/>
    <mergeCell ref="G2:H2"/>
    <mergeCell ref="I2:J2"/>
    <mergeCell ref="G3:H3"/>
    <mergeCell ref="I3:J3"/>
    <mergeCell ref="G1:H1"/>
    <mergeCell ref="A14:A21"/>
    <mergeCell ref="A22:A27"/>
    <mergeCell ref="A6:A8"/>
    <mergeCell ref="A9:A13"/>
    <mergeCell ref="A1:F3"/>
    <mergeCell ref="E5:F5"/>
    <mergeCell ref="B61:J61"/>
    <mergeCell ref="A58:H58"/>
    <mergeCell ref="A59:H60"/>
    <mergeCell ref="A57:H57"/>
    <mergeCell ref="A35:H36"/>
    <mergeCell ref="A37:I37"/>
    <mergeCell ref="A42:A46"/>
    <mergeCell ref="A47:A48"/>
    <mergeCell ref="A51:A53"/>
    <mergeCell ref="A49:A50"/>
    <mergeCell ref="A54:A55"/>
    <mergeCell ref="A40:A41"/>
    <mergeCell ref="A28:A30"/>
    <mergeCell ref="A32:A33"/>
  </mergeCells>
  <drawing r:id="rId1"/>
</worksheet>
</file>