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F596D4E8-B743-9B46-B8E3-E044D5FE82FF}" xr6:coauthVersionLast="47" xr6:coauthVersionMax="47" xr10:uidLastSave="{00000000-0000-0000-0000-000000000000}"/>
  <bookViews>
    <workbookView xWindow="0" yWindow="760" windowWidth="30240" windowHeight="17580" firstSheet="3" activeTab="7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Sheet4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77" i="4" l="1"/>
  <c r="EB77" i="4"/>
  <c r="EB76" i="4"/>
  <c r="DZ5" i="4"/>
  <c r="DX65" i="4"/>
  <c r="EA77" i="4"/>
  <c r="EA76" i="4"/>
  <c r="DZ76" i="4"/>
  <c r="DZ77" i="4"/>
  <c r="R8" i="14"/>
  <c r="F5" i="14" s="1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5" i="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G25" i="11"/>
  <c r="F25" i="11"/>
  <c r="E33" i="11"/>
  <c r="E34" i="11"/>
  <c r="E35" i="11"/>
  <c r="E26" i="11"/>
  <c r="E27" i="11"/>
  <c r="E28" i="11"/>
  <c r="E29" i="11"/>
  <c r="E30" i="11"/>
  <c r="E31" i="11"/>
  <c r="E32" i="11"/>
  <c r="E25" i="11"/>
  <c r="E10" i="14"/>
  <c r="P3" i="14"/>
  <c r="N4" i="14"/>
  <c r="N5" i="14"/>
  <c r="N3" i="14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F10" i="14"/>
  <c r="C10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D5" i="14" l="1"/>
  <c r="E5" i="14"/>
  <c r="C5" i="1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11" i="14"/>
  <c r="F11" i="14"/>
  <c r="E11" i="14"/>
  <c r="D11" i="1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BJ6" i="4"/>
  <c r="BJ5" i="4"/>
  <c r="BJ7" i="4"/>
  <c r="DK7" i="4" s="1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V36" i="4" l="1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DO41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CZ6" i="4" l="1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Z37" i="4" s="1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BX6" i="4"/>
  <c r="BX7" i="4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CZ12" i="4" l="1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DT5" i="4"/>
  <c r="DU5" i="4" s="1"/>
  <c r="DT44" i="4"/>
  <c r="DT8" i="4"/>
  <c r="DT15" i="4"/>
  <c r="DT12" i="4"/>
  <c r="DT19" i="4"/>
  <c r="DT17" i="4"/>
  <c r="DT53" i="4"/>
  <c r="DT21" i="4"/>
  <c r="DT13" i="4"/>
  <c r="DT7" i="4"/>
  <c r="DT42" i="4"/>
  <c r="DT20" i="4"/>
  <c r="DT9" i="4"/>
  <c r="DT18" i="4"/>
  <c r="DT61" i="4"/>
  <c r="DT16" i="4"/>
  <c r="DT14" i="4"/>
  <c r="DT11" i="4"/>
  <c r="DT10" i="4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EB5" i="4" s="1"/>
  <c r="ED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DC6" i="4" l="1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EB17" i="4" s="1"/>
  <c r="ED17" i="4" s="1"/>
  <c r="AZ9" i="4"/>
  <c r="BA9" i="4" s="1"/>
  <c r="BB9" i="4" s="1"/>
  <c r="EB9" i="4" s="1"/>
  <c r="ED9" i="4" s="1"/>
  <c r="AZ8" i="4"/>
  <c r="BA8" i="4" s="1"/>
  <c r="BB8" i="4" s="1"/>
  <c r="EB8" i="4" s="1"/>
  <c r="ED8" i="4" s="1"/>
  <c r="AZ10" i="4"/>
  <c r="BA10" i="4" s="1"/>
  <c r="BB10" i="4" s="1"/>
  <c r="EB10" i="4" s="1"/>
  <c r="ED10" i="4" s="1"/>
  <c r="AZ6" i="4"/>
  <c r="BA6" i="4" s="1"/>
  <c r="BB6" i="4" s="1"/>
  <c r="EB6" i="4" s="1"/>
  <c r="ED6" i="4" s="1"/>
  <c r="AZ7" i="4"/>
  <c r="BA7" i="4" s="1"/>
  <c r="BB7" i="4" s="1"/>
  <c r="EB7" i="4" s="1"/>
  <c r="ED7" i="4" s="1"/>
  <c r="BD64" i="4"/>
  <c r="BE64" i="4" s="1"/>
  <c r="AZ16" i="4"/>
  <c r="BA16" i="4" s="1"/>
  <c r="BB16" i="4" s="1"/>
  <c r="EB16" i="4" s="1"/>
  <c r="ED16" i="4" s="1"/>
  <c r="AZ12" i="4"/>
  <c r="BA12" i="4" s="1"/>
  <c r="BB12" i="4" s="1"/>
  <c r="EB12" i="4" s="1"/>
  <c r="ED12" i="4" s="1"/>
  <c r="AZ14" i="4"/>
  <c r="BA14" i="4" s="1"/>
  <c r="BB14" i="4" s="1"/>
  <c r="EB14" i="4" s="1"/>
  <c r="ED14" i="4" s="1"/>
  <c r="AZ11" i="4"/>
  <c r="BA11" i="4" s="1"/>
  <c r="BB11" i="4" s="1"/>
  <c r="EB11" i="4" s="1"/>
  <c r="ED11" i="4" s="1"/>
  <c r="BD22" i="4"/>
  <c r="BE22" i="4" s="1"/>
  <c r="AY24" i="4"/>
  <c r="AZ62" i="4" s="1"/>
  <c r="BA62" i="4" s="1"/>
  <c r="BB62" i="4" s="1"/>
  <c r="EB62" i="4" s="1"/>
  <c r="ED62" i="4" s="1"/>
  <c r="AZ13" i="4"/>
  <c r="BA13" i="4" s="1"/>
  <c r="BB13" i="4" s="1"/>
  <c r="EB13" i="4" s="1"/>
  <c r="ED13" i="4" s="1"/>
  <c r="AZ15" i="4"/>
  <c r="BA15" i="4" s="1"/>
  <c r="BB15" i="4" s="1"/>
  <c r="EB15" i="4" s="1"/>
  <c r="ED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EB21" i="4" s="1"/>
  <c r="ED21" i="4" s="1"/>
  <c r="AZ18" i="4"/>
  <c r="BA18" i="4" s="1"/>
  <c r="BB18" i="4" s="1"/>
  <c r="EB18" i="4" s="1"/>
  <c r="ED18" i="4" s="1"/>
  <c r="AZ19" i="4"/>
  <c r="BA19" i="4" s="1"/>
  <c r="BB19" i="4" s="1"/>
  <c r="EB19" i="4" s="1"/>
  <c r="ED19" i="4" s="1"/>
  <c r="AZ22" i="4"/>
  <c r="BA22" i="4" s="1"/>
  <c r="BB22" i="4" s="1"/>
  <c r="EB22" i="4" s="1"/>
  <c r="ED22" i="4" s="1"/>
  <c r="EF22" i="4" s="1"/>
  <c r="W1" i="5" s="1"/>
  <c r="AZ20" i="4"/>
  <c r="BA20" i="4" s="1"/>
  <c r="BB20" i="4" s="1"/>
  <c r="EB20" i="4" s="1"/>
  <c r="ED20" i="4" s="1"/>
  <c r="AZ23" i="4"/>
  <c r="BA23" i="4" s="1"/>
  <c r="BB23" i="4" s="1"/>
  <c r="EB23" i="4" s="1"/>
  <c r="ED23" i="4" s="1"/>
  <c r="BG40" i="4"/>
  <c r="DF7" i="4" l="1"/>
  <c r="DG7" i="4" s="1"/>
  <c r="DI7" i="4"/>
  <c r="DV6" i="4"/>
  <c r="DC7" i="4"/>
  <c r="DB8" i="4"/>
  <c r="DX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EB49" i="4" s="1"/>
  <c r="ED49" i="4" s="1"/>
  <c r="AZ31" i="4"/>
  <c r="BA31" i="4" s="1"/>
  <c r="BB31" i="4" s="1"/>
  <c r="EB31" i="4" s="1"/>
  <c r="ED31" i="4" s="1"/>
  <c r="BD40" i="4"/>
  <c r="BE40" i="4" s="1"/>
  <c r="AZ61" i="4"/>
  <c r="BA61" i="4" s="1"/>
  <c r="BB61" i="4" s="1"/>
  <c r="EB61" i="4" s="1"/>
  <c r="ED61" i="4" s="1"/>
  <c r="AZ43" i="4"/>
  <c r="BA43" i="4" s="1"/>
  <c r="BB43" i="4" s="1"/>
  <c r="EB43" i="4" s="1"/>
  <c r="ED43" i="4" s="1"/>
  <c r="AZ27" i="4"/>
  <c r="BA27" i="4" s="1"/>
  <c r="BB27" i="4" s="1"/>
  <c r="EB27" i="4" s="1"/>
  <c r="ED27" i="4" s="1"/>
  <c r="AZ58" i="4"/>
  <c r="BA58" i="4" s="1"/>
  <c r="BB58" i="4" s="1"/>
  <c r="EB58" i="4" s="1"/>
  <c r="ED58" i="4" s="1"/>
  <c r="EF58" i="4" s="1"/>
  <c r="W3" i="5" s="1"/>
  <c r="AZ40" i="4"/>
  <c r="BA40" i="4" s="1"/>
  <c r="BB40" i="4" s="1"/>
  <c r="EB40" i="4" s="1"/>
  <c r="ED40" i="4" s="1"/>
  <c r="EF40" i="4" s="1"/>
  <c r="W2" i="5" s="1"/>
  <c r="AZ50" i="4"/>
  <c r="BA50" i="4" s="1"/>
  <c r="BB50" i="4" s="1"/>
  <c r="EB50" i="4" s="1"/>
  <c r="ED50" i="4" s="1"/>
  <c r="AZ32" i="4"/>
  <c r="BA32" i="4" s="1"/>
  <c r="BB32" i="4" s="1"/>
  <c r="EB32" i="4" s="1"/>
  <c r="ED32" i="4" s="1"/>
  <c r="AZ25" i="4"/>
  <c r="BA25" i="4" s="1"/>
  <c r="BB25" i="4" s="1"/>
  <c r="EB25" i="4" s="1"/>
  <c r="ED25" i="4" s="1"/>
  <c r="AZ54" i="4"/>
  <c r="BA54" i="4" s="1"/>
  <c r="BB54" i="4" s="1"/>
  <c r="EB54" i="4" s="1"/>
  <c r="ED54" i="4" s="1"/>
  <c r="AZ48" i="4"/>
  <c r="BA48" i="4" s="1"/>
  <c r="BB48" i="4" s="1"/>
  <c r="EB48" i="4" s="1"/>
  <c r="ED48" i="4" s="1"/>
  <c r="AZ37" i="4"/>
  <c r="BA37" i="4" s="1"/>
  <c r="BB37" i="4" s="1"/>
  <c r="EB37" i="4" s="1"/>
  <c r="ED37" i="4" s="1"/>
  <c r="AZ30" i="4"/>
  <c r="BA30" i="4" s="1"/>
  <c r="BB30" i="4" s="1"/>
  <c r="EB30" i="4" s="1"/>
  <c r="ED30" i="4" s="1"/>
  <c r="AZ51" i="4"/>
  <c r="BA51" i="4" s="1"/>
  <c r="BB51" i="4" s="1"/>
  <c r="EB51" i="4" s="1"/>
  <c r="ED51" i="4" s="1"/>
  <c r="AZ57" i="4"/>
  <c r="BA57" i="4" s="1"/>
  <c r="BB57" i="4" s="1"/>
  <c r="EB57" i="4" s="1"/>
  <c r="ED57" i="4" s="1"/>
  <c r="AZ59" i="4"/>
  <c r="BA59" i="4" s="1"/>
  <c r="BB59" i="4" s="1"/>
  <c r="EB59" i="4" s="1"/>
  <c r="ED59" i="4" s="1"/>
  <c r="AZ52" i="4"/>
  <c r="BA52" i="4" s="1"/>
  <c r="BB52" i="4" s="1"/>
  <c r="EB52" i="4" s="1"/>
  <c r="ED52" i="4" s="1"/>
  <c r="AZ42" i="4"/>
  <c r="BA42" i="4" s="1"/>
  <c r="BB42" i="4" s="1"/>
  <c r="EB42" i="4" s="1"/>
  <c r="ED42" i="4" s="1"/>
  <c r="AZ56" i="4"/>
  <c r="BA56" i="4" s="1"/>
  <c r="BB56" i="4" s="1"/>
  <c r="EB56" i="4" s="1"/>
  <c r="ED56" i="4" s="1"/>
  <c r="AZ44" i="4"/>
  <c r="BA44" i="4" s="1"/>
  <c r="BB44" i="4" s="1"/>
  <c r="EB44" i="4" s="1"/>
  <c r="ED44" i="4" s="1"/>
  <c r="AZ64" i="4"/>
  <c r="BA64" i="4" s="1"/>
  <c r="BB64" i="4" s="1"/>
  <c r="EB64" i="4" s="1"/>
  <c r="ED64" i="4" s="1"/>
  <c r="EF64" i="4" s="1"/>
  <c r="W4" i="5" s="1"/>
  <c r="AZ24" i="4"/>
  <c r="BA24" i="4" s="1"/>
  <c r="BB24" i="4" s="1"/>
  <c r="EB24" i="4" s="1"/>
  <c r="ED24" i="4" s="1"/>
  <c r="AZ55" i="4"/>
  <c r="BA55" i="4" s="1"/>
  <c r="BB55" i="4" s="1"/>
  <c r="EB55" i="4" s="1"/>
  <c r="ED55" i="4" s="1"/>
  <c r="AZ46" i="4"/>
  <c r="BA46" i="4" s="1"/>
  <c r="BB46" i="4" s="1"/>
  <c r="EB46" i="4" s="1"/>
  <c r="ED46" i="4" s="1"/>
  <c r="AZ29" i="4"/>
  <c r="BA29" i="4" s="1"/>
  <c r="BB29" i="4" s="1"/>
  <c r="EB29" i="4" s="1"/>
  <c r="ED29" i="4" s="1"/>
  <c r="AZ36" i="4"/>
  <c r="BA36" i="4" s="1"/>
  <c r="BB36" i="4" s="1"/>
  <c r="EB36" i="4" s="1"/>
  <c r="ED36" i="4" s="1"/>
  <c r="AZ28" i="4"/>
  <c r="BA28" i="4" s="1"/>
  <c r="BB28" i="4" s="1"/>
  <c r="EB28" i="4" s="1"/>
  <c r="ED28" i="4" s="1"/>
  <c r="AZ34" i="4"/>
  <c r="BA34" i="4" s="1"/>
  <c r="BB34" i="4" s="1"/>
  <c r="EB34" i="4" s="1"/>
  <c r="ED34" i="4" s="1"/>
  <c r="AZ47" i="4"/>
  <c r="BA47" i="4" s="1"/>
  <c r="BB47" i="4" s="1"/>
  <c r="EB47" i="4" s="1"/>
  <c r="ED47" i="4" s="1"/>
  <c r="AZ60" i="4"/>
  <c r="BA60" i="4" s="1"/>
  <c r="BB60" i="4" s="1"/>
  <c r="EB60" i="4" s="1"/>
  <c r="ED60" i="4" s="1"/>
  <c r="AZ33" i="4"/>
  <c r="BA33" i="4" s="1"/>
  <c r="BB33" i="4" s="1"/>
  <c r="EB33" i="4" s="1"/>
  <c r="ED33" i="4" s="1"/>
  <c r="AZ39" i="4"/>
  <c r="BA39" i="4" s="1"/>
  <c r="BB39" i="4" s="1"/>
  <c r="EB39" i="4" s="1"/>
  <c r="ED39" i="4" s="1"/>
  <c r="AZ41" i="4"/>
  <c r="BA41" i="4" s="1"/>
  <c r="BB41" i="4" s="1"/>
  <c r="EB41" i="4" s="1"/>
  <c r="ED41" i="4" s="1"/>
  <c r="AZ53" i="4"/>
  <c r="BA53" i="4" s="1"/>
  <c r="BB53" i="4" s="1"/>
  <c r="EB53" i="4" s="1"/>
  <c r="ED53" i="4" s="1"/>
  <c r="AZ63" i="4"/>
  <c r="BA63" i="4" s="1"/>
  <c r="BB63" i="4" s="1"/>
  <c r="EB63" i="4" s="1"/>
  <c r="ED63" i="4" s="1"/>
  <c r="AZ38" i="4"/>
  <c r="BA38" i="4" s="1"/>
  <c r="BB38" i="4" s="1"/>
  <c r="EB38" i="4" s="1"/>
  <c r="ED38" i="4" s="1"/>
  <c r="AZ35" i="4"/>
  <c r="BA35" i="4" s="1"/>
  <c r="BB35" i="4" s="1"/>
  <c r="EB35" i="4" s="1"/>
  <c r="ED35" i="4" s="1"/>
  <c r="AZ45" i="4"/>
  <c r="BA45" i="4" s="1"/>
  <c r="BB45" i="4" s="1"/>
  <c r="EB45" i="4" s="1"/>
  <c r="ED45" i="4" s="1"/>
  <c r="AZ26" i="4"/>
  <c r="BA26" i="4" s="1"/>
  <c r="BB26" i="4" s="1"/>
  <c r="EB26" i="4" s="1"/>
  <c r="ED26" i="4" s="1"/>
  <c r="BX9" i="4"/>
  <c r="BZ9" i="4" s="1"/>
  <c r="K7" i="13" l="1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N40" i="4" s="1"/>
  <c r="G121" i="15" s="1"/>
  <c r="BX10" i="4"/>
  <c r="BZ10" i="4" s="1"/>
  <c r="DF9" i="4" l="1"/>
  <c r="DG9" i="4" s="1"/>
  <c r="DI9" i="4"/>
  <c r="DC9" i="4"/>
  <c r="DP8" i="4"/>
  <c r="DH7" i="4"/>
  <c r="DU7" i="4"/>
  <c r="DX11" i="4"/>
  <c r="DB10" i="4"/>
  <c r="DI10" i="4" s="1"/>
  <c r="BF68" i="4"/>
  <c r="BF75" i="4" s="1"/>
  <c r="DJ10" i="4" l="1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s="1"/>
  <c r="DC11" i="4" l="1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s="1"/>
  <c r="DU10" i="4" l="1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s="1"/>
  <c r="DF13" i="4" l="1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s="1"/>
  <c r="DF14" i="4" l="1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BZ15" i="4" s="1"/>
  <c r="DJ15" i="4" l="1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s="1"/>
  <c r="DC16" i="4" l="1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BZ17" i="4" s="1"/>
  <c r="DC17" i="4" l="1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s="1"/>
  <c r="DC18" i="4" l="1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s="1"/>
  <c r="DC19" i="4" l="1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s="1"/>
  <c r="DC20" i="4" l="1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s="1"/>
  <c r="DC21" i="4" l="1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s="1"/>
  <c r="DJ22" i="4" l="1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H64" i="4" s="1"/>
  <c r="DS62" i="4"/>
  <c r="DJ64" i="4"/>
  <c r="DP64" i="4" s="1"/>
  <c r="DN59" i="4"/>
  <c r="DQ59" i="4" s="1"/>
  <c r="DH63" i="4"/>
  <c r="DV63" i="4" s="1"/>
  <c r="K234" i="13" s="1"/>
  <c r="DS63" i="4" l="1"/>
  <c r="DU64" i="4"/>
  <c r="DV64" i="4"/>
  <c r="K241" i="13" s="1"/>
  <c r="DS64" i="4"/>
</calcChain>
</file>

<file path=xl/sharedStrings.xml><?xml version="1.0" encoding="utf-8"?>
<sst xmlns="http://schemas.openxmlformats.org/spreadsheetml/2006/main" count="1372" uniqueCount="637">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</sst>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186422</xdr:colOff>
      <xdr:row>14</xdr:row>
      <xdr:rowOff>81559</xdr:rowOff>
    </xdr:from>
    <xdr:to>
      <xdr:col>188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233028</xdr:colOff>
      <xdr:row>32</xdr:row>
      <xdr:rowOff>81559</xdr:rowOff>
    </xdr:from>
    <xdr:to>
      <xdr:col>193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139817</xdr:colOff>
      <xdr:row>33</xdr:row>
      <xdr:rowOff>34954</xdr:rowOff>
    </xdr:from>
    <xdr:to>
      <xdr:col>191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186</xdr:col>
      <xdr:colOff>792294</xdr:colOff>
      <xdr:row>16</xdr:row>
      <xdr:rowOff>104862</xdr:rowOff>
    </xdr:from>
    <xdr:to>
      <xdr:col>187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188</xdr:col>
      <xdr:colOff>241301</xdr:colOff>
      <xdr:row>14</xdr:row>
      <xdr:rowOff>152400</xdr:rowOff>
    </xdr:from>
    <xdr:to>
      <xdr:col>195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/>
  <cols>
    <col min="1" max="1" width="7.83203125" customWidth="1"/>
    <col min="2" max="2" width="10.1640625" customWidth="1"/>
  </cols>
  <sheetData>
    <row r="1" spans="1:34" s="1" customForma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>
      <c r="D2" s="55" t="s">
        <v>14</v>
      </c>
      <c r="E2" s="55"/>
      <c r="F2" s="55"/>
      <c r="G2" s="55"/>
      <c r="H2" s="55" t="s">
        <v>15</v>
      </c>
      <c r="I2" s="55"/>
      <c r="J2" s="55"/>
      <c r="K2" s="55" t="s">
        <v>16</v>
      </c>
      <c r="L2" s="55"/>
      <c r="M2" s="55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>
      <c r="A4" s="55" t="s">
        <v>14</v>
      </c>
      <c r="B4" s="5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>
      <c r="A5" s="55"/>
      <c r="B5" s="5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>
      <c r="A6" s="55"/>
      <c r="B6" s="5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>
      <c r="A7" s="55"/>
      <c r="B7" s="5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>
      <c r="A8" s="55"/>
      <c r="B8" s="5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>
      <c r="A9" s="55"/>
      <c r="B9" s="5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>
      <c r="A10" s="55"/>
      <c r="B10" s="5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>
      <c r="A11" s="55"/>
      <c r="B11" s="5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>
      <c r="A12" s="55"/>
      <c r="B12" s="5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>
      <c r="A13" s="55"/>
      <c r="B13" s="5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>
      <c r="A14" s="55"/>
      <c r="B14" s="5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>
      <c r="A15" s="55"/>
      <c r="B15" s="5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>
      <c r="A16" s="55" t="s">
        <v>15</v>
      </c>
      <c r="B16" s="5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>
      <c r="A17" s="55"/>
      <c r="B17" s="5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>
      <c r="A18" s="55"/>
      <c r="B18" s="5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>
      <c r="A19" s="55"/>
      <c r="B19" s="5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>
      <c r="A20" s="55"/>
      <c r="B20" s="5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>
      <c r="A21" s="55"/>
      <c r="B21" s="5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>
      <c r="A22" s="55"/>
      <c r="B22" s="5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>
      <c r="A23" s="55"/>
      <c r="B23" s="5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>
      <c r="A24" s="55"/>
      <c r="B24" s="5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>
      <c r="A25" s="55" t="s">
        <v>16</v>
      </c>
      <c r="B25" s="5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>
      <c r="A26" s="55"/>
      <c r="B26" s="5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>
      <c r="A27" s="55"/>
      <c r="B27" s="5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>
      <c r="A28" s="55"/>
      <c r="B28" s="5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>
      <c r="A29" s="55"/>
      <c r="B29" s="5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>
      <c r="A30" s="55"/>
      <c r="B30" s="5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>
      <c r="A31" s="55"/>
      <c r="B31" s="5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>
      <c r="A32" s="55"/>
      <c r="B32" s="5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>
      <c r="A33" s="55"/>
      <c r="B33" s="5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>
      <c r="A34" s="55" t="s">
        <v>17</v>
      </c>
      <c r="B34" s="5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>
      <c r="A35" s="55"/>
      <c r="B35" s="5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>
      <c r="A36" s="55"/>
      <c r="B36" s="5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/>
  <cols>
    <col min="3" max="3" width="30" customWidth="1"/>
    <col min="4" max="4" width="29.5" customWidth="1"/>
  </cols>
  <sheetData>
    <row r="2" spans="1:4">
      <c r="A2" t="s">
        <v>210</v>
      </c>
    </row>
    <row r="5" spans="1:4">
      <c r="C5" s="55" t="s">
        <v>214</v>
      </c>
      <c r="D5" s="55"/>
    </row>
    <row r="6" spans="1:4">
      <c r="B6" t="s">
        <v>211</v>
      </c>
      <c r="C6" t="s">
        <v>215</v>
      </c>
      <c r="D6" t="s">
        <v>216</v>
      </c>
    </row>
    <row r="7" spans="1:4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12" zoomScale="98" workbookViewId="0">
      <selection activeCell="R22" sqref="R22"/>
    </sheetView>
  </sheetViews>
  <sheetFormatPr baseColWidth="10" defaultRowHeight="16"/>
  <cols>
    <col min="7" max="7" width="16.1640625" customWidth="1"/>
    <col min="8" max="8" width="15.6640625" customWidth="1"/>
  </cols>
  <sheetData>
    <row r="1" spans="1:14">
      <c r="A1" t="s">
        <v>34</v>
      </c>
      <c r="B1" t="s">
        <v>35</v>
      </c>
      <c r="D1" t="s">
        <v>36</v>
      </c>
    </row>
    <row r="3" spans="1:14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>
      <c r="A24" s="7"/>
      <c r="B24" s="7"/>
      <c r="C24" s="7"/>
      <c r="D24" s="12"/>
    </row>
    <row r="25" spans="1:5" s="7" customFormat="1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>
      <c r="A35" s="7"/>
      <c r="B35" s="7"/>
      <c r="C35" s="7"/>
      <c r="D35" s="7"/>
    </row>
    <row r="36" spans="1:13">
      <c r="A36" s="7"/>
      <c r="B36" s="7"/>
      <c r="C36" s="7"/>
      <c r="D36" s="7"/>
    </row>
    <row r="37" spans="1:13">
      <c r="A37" s="7"/>
      <c r="B37" s="7"/>
      <c r="C37" s="7"/>
      <c r="D37" s="7"/>
    </row>
    <row r="38" spans="1:13">
      <c r="A38" s="7"/>
      <c r="B38" s="7"/>
      <c r="C38" s="7"/>
      <c r="D38" s="7"/>
    </row>
    <row r="40" spans="1:13">
      <c r="A40" t="s">
        <v>40</v>
      </c>
    </row>
    <row r="42" spans="1:13">
      <c r="G42" s="55" t="s">
        <v>54</v>
      </c>
      <c r="H42" s="55"/>
      <c r="I42" s="55"/>
    </row>
    <row r="43" spans="1:13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>
      <c r="A68" t="s">
        <v>88</v>
      </c>
      <c r="B68" t="s">
        <v>89</v>
      </c>
      <c r="D68" t="s">
        <v>90</v>
      </c>
    </row>
    <row r="69" spans="1:21">
      <c r="A69">
        <v>1</v>
      </c>
      <c r="B69">
        <v>0</v>
      </c>
      <c r="D69">
        <v>15</v>
      </c>
    </row>
    <row r="70" spans="1:21">
      <c r="A70">
        <v>2</v>
      </c>
      <c r="B70">
        <v>2</v>
      </c>
      <c r="D70">
        <v>13</v>
      </c>
    </row>
    <row r="71" spans="1:21">
      <c r="A71">
        <v>3</v>
      </c>
      <c r="B71">
        <v>4</v>
      </c>
      <c r="D71">
        <v>12</v>
      </c>
    </row>
    <row r="72" spans="1:21">
      <c r="A72">
        <v>4</v>
      </c>
      <c r="B72">
        <v>6</v>
      </c>
      <c r="D72">
        <v>8</v>
      </c>
    </row>
    <row r="73" spans="1:21">
      <c r="A73" s="3">
        <v>5</v>
      </c>
      <c r="B73" s="3">
        <v>0</v>
      </c>
      <c r="C73" s="3"/>
      <c r="D73" s="3">
        <v>21</v>
      </c>
    </row>
    <row r="75" spans="1:21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>
      <c r="A96" t="s">
        <v>85</v>
      </c>
      <c r="B96">
        <v>10000</v>
      </c>
      <c r="D96">
        <f>SUM($B$84:B96)</f>
        <v>19586</v>
      </c>
    </row>
    <row r="97" spans="1:4">
      <c r="A97" t="s">
        <v>86</v>
      </c>
      <c r="B97">
        <v>20000</v>
      </c>
      <c r="D97">
        <f>SUM($B$84:B97)</f>
        <v>39586</v>
      </c>
    </row>
    <row r="98" spans="1:4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topLeftCell="A39" workbookViewId="0">
      <selection activeCell="D36" sqref="D36"/>
    </sheetView>
  </sheetViews>
  <sheetFormatPr baseColWidth="10" defaultRowHeight="16"/>
  <cols>
    <col min="3" max="3" width="11.33203125" customWidth="1"/>
  </cols>
  <sheetData>
    <row r="3" spans="1:6">
      <c r="A3" t="s">
        <v>533</v>
      </c>
      <c r="B3" t="s">
        <v>588</v>
      </c>
      <c r="C3" t="s">
        <v>589</v>
      </c>
      <c r="D3" t="s">
        <v>590</v>
      </c>
      <c r="E3" t="s">
        <v>591</v>
      </c>
      <c r="F3" t="s">
        <v>592</v>
      </c>
    </row>
    <row r="4" spans="1:6">
      <c r="A4">
        <v>1</v>
      </c>
      <c r="B4">
        <f>VLOOKUP(A4,'Dungeon&amp;Framework'!EP:EQ,2,FALSE)</f>
        <v>48</v>
      </c>
      <c r="C4">
        <v>40</v>
      </c>
      <c r="D4" t="s">
        <v>486</v>
      </c>
    </row>
    <row r="5" spans="1:6">
      <c r="A5">
        <v>2</v>
      </c>
      <c r="B5">
        <f>VLOOKUP(A5,'Dungeon&amp;Framework'!EP:EQ,2,FALSE)</f>
        <v>100</v>
      </c>
      <c r="C5">
        <v>100</v>
      </c>
      <c r="D5" t="s">
        <v>569</v>
      </c>
    </row>
    <row r="6" spans="1:6">
      <c r="A6">
        <v>3</v>
      </c>
      <c r="B6">
        <f>VLOOKUP(A6,'Dungeon&amp;Framework'!EP:EQ,2,FALSE)</f>
        <v>296</v>
      </c>
      <c r="C6">
        <v>300</v>
      </c>
      <c r="D6" t="s">
        <v>576</v>
      </c>
    </row>
    <row r="7" spans="1:6">
      <c r="A7">
        <v>4</v>
      </c>
      <c r="B7">
        <f>VLOOKUP(A7,'Dungeon&amp;Framework'!EP:EQ,2,FALSE)</f>
        <v>636</v>
      </c>
      <c r="C7">
        <v>600</v>
      </c>
      <c r="D7" t="s">
        <v>573</v>
      </c>
    </row>
    <row r="8" spans="1:6">
      <c r="A8">
        <v>5</v>
      </c>
      <c r="B8">
        <f>VLOOKUP(A8,'Dungeon&amp;Framework'!EP:EQ,2,FALSE)</f>
        <v>1116</v>
      </c>
      <c r="C8">
        <v>1000</v>
      </c>
      <c r="D8" t="s">
        <v>593</v>
      </c>
    </row>
    <row r="9" spans="1:6">
      <c r="A9">
        <v>6</v>
      </c>
      <c r="B9">
        <f>VLOOKUP(A9,'Dungeon&amp;Framework'!EP:EQ,2,FALSE)</f>
        <v>1816</v>
      </c>
      <c r="C9">
        <v>1800</v>
      </c>
      <c r="D9" t="s">
        <v>578</v>
      </c>
    </row>
    <row r="10" spans="1:6">
      <c r="A10">
        <v>7</v>
      </c>
      <c r="B10">
        <f>VLOOKUP(A10,'Dungeon&amp;Framework'!EP:EQ,2,FALSE)</f>
        <v>3016</v>
      </c>
      <c r="C10">
        <v>3000</v>
      </c>
      <c r="D10" t="s">
        <v>594</v>
      </c>
    </row>
    <row r="11" spans="1:6">
      <c r="A11">
        <v>8</v>
      </c>
      <c r="B11">
        <f>VLOOKUP(A11,'Dungeon&amp;Framework'!EP:EQ,2,FALSE)</f>
        <v>4616</v>
      </c>
      <c r="C11">
        <v>4600</v>
      </c>
      <c r="D11" t="s">
        <v>577</v>
      </c>
    </row>
    <row r="12" spans="1:6">
      <c r="A12">
        <v>9</v>
      </c>
      <c r="B12">
        <f>VLOOKUP(A12,'Dungeon&amp;Framework'!EP:EQ,2,FALSE)</f>
        <v>8386</v>
      </c>
      <c r="C12">
        <v>8000</v>
      </c>
      <c r="D12" t="s">
        <v>504</v>
      </c>
    </row>
    <row r="13" spans="1:6">
      <c r="A13">
        <v>10</v>
      </c>
      <c r="B13">
        <f>VLOOKUP(A13,'Dungeon&amp;Framework'!EP:EQ,2,FALSE)</f>
        <v>12636</v>
      </c>
      <c r="C13">
        <v>12000</v>
      </c>
      <c r="D13" t="s">
        <v>598</v>
      </c>
    </row>
    <row r="14" spans="1:6">
      <c r="A14">
        <v>11</v>
      </c>
      <c r="B14">
        <f>VLOOKUP(A14,'Dungeon&amp;Framework'!EP:EQ,2,FALSE)</f>
        <v>14476</v>
      </c>
      <c r="C14">
        <v>14000</v>
      </c>
      <c r="D14" t="s">
        <v>595</v>
      </c>
    </row>
    <row r="15" spans="1:6">
      <c r="A15">
        <v>12</v>
      </c>
      <c r="B15">
        <f>VLOOKUP(A15,'Dungeon&amp;Framework'!EP:EQ,2,FALSE)</f>
        <v>18616</v>
      </c>
      <c r="C15">
        <v>18000</v>
      </c>
      <c r="D15" t="s">
        <v>599</v>
      </c>
    </row>
    <row r="16" spans="1:6">
      <c r="A16">
        <v>13</v>
      </c>
      <c r="B16">
        <f>VLOOKUP(A16,'Dungeon&amp;Framework'!ER:ES,2,FALSE)</f>
        <v>27168</v>
      </c>
      <c r="C16">
        <v>26000</v>
      </c>
      <c r="D16" t="s">
        <v>596</v>
      </c>
    </row>
    <row r="17" spans="1:4">
      <c r="A17">
        <v>14</v>
      </c>
      <c r="B17">
        <f>VLOOKUP(A17,'Dungeon&amp;Framework'!ER:ES,2,FALSE)</f>
        <v>35088</v>
      </c>
      <c r="C17">
        <v>35000</v>
      </c>
      <c r="D17" t="s">
        <v>600</v>
      </c>
    </row>
    <row r="18" spans="1:4">
      <c r="A18">
        <v>15</v>
      </c>
      <c r="B18">
        <f>VLOOKUP(A18,'Dungeon&amp;Framework'!ER:ES,2,FALSE)</f>
        <v>41528</v>
      </c>
      <c r="C18">
        <v>41000</v>
      </c>
      <c r="D18" t="s">
        <v>597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/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DQ2:DQ9"/>
  <sheetViews>
    <sheetView workbookViewId="0">
      <selection activeCell="A9" sqref="A9"/>
    </sheetView>
  </sheetViews>
  <sheetFormatPr baseColWidth="10" defaultRowHeight="16"/>
  <cols>
    <col min="1" max="1" width="24.83203125" customWidth="1"/>
  </cols>
  <sheetData>
    <row r="2" spans="121:121">
      <c r="DQ2" s="16"/>
    </row>
    <row r="3" spans="121:121">
      <c r="DQ3" s="16"/>
    </row>
    <row r="4" spans="121:121">
      <c r="DQ4" s="16"/>
    </row>
    <row r="5" spans="121:121">
      <c r="DQ5" s="16"/>
    </row>
    <row r="6" spans="121:121">
      <c r="DQ6" s="16"/>
    </row>
    <row r="7" spans="121:121">
      <c r="DQ7" s="16"/>
    </row>
    <row r="8" spans="121:121">
      <c r="DQ8" s="16"/>
    </row>
    <row r="9" spans="121:121">
      <c r="DQ9" s="1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/>
  <sheetData>
    <row r="11" spans="24:26">
      <c r="X11" t="s">
        <v>20</v>
      </c>
      <c r="Z11" t="s">
        <v>21</v>
      </c>
    </row>
    <row r="13" spans="24:26">
      <c r="Y13" t="s">
        <v>23</v>
      </c>
    </row>
    <row r="15" spans="24:26">
      <c r="X15" t="s">
        <v>19</v>
      </c>
      <c r="Z15" t="s">
        <v>22</v>
      </c>
    </row>
    <row r="22" spans="24:26">
      <c r="X22" t="s">
        <v>24</v>
      </c>
    </row>
    <row r="24" spans="24:26">
      <c r="Z24" t="s">
        <v>25</v>
      </c>
    </row>
    <row r="29" spans="24:26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/>
  <sheetData>
    <row r="2" spans="24:24">
      <c r="X2" t="s">
        <v>320</v>
      </c>
    </row>
    <row r="3" spans="24:24">
      <c r="X3" t="s">
        <v>321</v>
      </c>
    </row>
    <row r="4" spans="24:24">
      <c r="X4" t="s">
        <v>322</v>
      </c>
    </row>
    <row r="5" spans="24:24">
      <c r="X5" t="s">
        <v>323</v>
      </c>
    </row>
    <row r="45" spans="4:4">
      <c r="D45" t="s">
        <v>324</v>
      </c>
    </row>
    <row r="46" spans="4:4">
      <c r="D46" t="s">
        <v>325</v>
      </c>
    </row>
    <row r="47" spans="4:4">
      <c r="D47" t="s">
        <v>326</v>
      </c>
    </row>
    <row r="129" spans="4:7">
      <c r="D129" t="s">
        <v>380</v>
      </c>
    </row>
    <row r="131" spans="4:7">
      <c r="D131" t="s">
        <v>381</v>
      </c>
    </row>
    <row r="135" spans="4:7">
      <c r="D135" t="s">
        <v>445</v>
      </c>
    </row>
    <row r="136" spans="4:7">
      <c r="D136" t="s">
        <v>382</v>
      </c>
    </row>
    <row r="138" spans="4:7">
      <c r="D138" t="s">
        <v>383</v>
      </c>
    </row>
    <row r="140" spans="4:7">
      <c r="D140" t="s">
        <v>386</v>
      </c>
    </row>
    <row r="141" spans="4:7">
      <c r="D141" t="s">
        <v>387</v>
      </c>
    </row>
    <row r="143" spans="4:7">
      <c r="D143" t="s">
        <v>406</v>
      </c>
      <c r="F143" t="s">
        <v>405</v>
      </c>
      <c r="G143" t="s">
        <v>404</v>
      </c>
    </row>
    <row r="144" spans="4:7">
      <c r="D144" t="s">
        <v>389</v>
      </c>
      <c r="F144" t="s">
        <v>395</v>
      </c>
      <c r="G144">
        <v>3</v>
      </c>
    </row>
    <row r="145" spans="4:7">
      <c r="D145" t="s">
        <v>390</v>
      </c>
      <c r="F145" t="s">
        <v>395</v>
      </c>
      <c r="G145">
        <v>3</v>
      </c>
    </row>
    <row r="146" spans="4:7">
      <c r="D146" t="s">
        <v>391</v>
      </c>
      <c r="F146" t="s">
        <v>396</v>
      </c>
      <c r="G146">
        <v>3</v>
      </c>
    </row>
    <row r="147" spans="4:7">
      <c r="D147" t="s">
        <v>392</v>
      </c>
      <c r="F147" t="s">
        <v>396</v>
      </c>
      <c r="G147">
        <v>3</v>
      </c>
    </row>
    <row r="148" spans="4:7">
      <c r="D148" t="s">
        <v>393</v>
      </c>
      <c r="F148" t="s">
        <v>396</v>
      </c>
      <c r="G148">
        <v>3</v>
      </c>
    </row>
    <row r="149" spans="4:7">
      <c r="D149" t="s">
        <v>394</v>
      </c>
      <c r="F149" t="s">
        <v>396</v>
      </c>
      <c r="G149">
        <v>3</v>
      </c>
    </row>
    <row r="150" spans="4:7">
      <c r="D150" t="s">
        <v>403</v>
      </c>
      <c r="F150" t="s">
        <v>396</v>
      </c>
      <c r="G150">
        <v>3</v>
      </c>
    </row>
    <row r="153" spans="4:7">
      <c r="D153" t="s">
        <v>399</v>
      </c>
    </row>
    <row r="155" spans="4:7">
      <c r="D155" t="s">
        <v>407</v>
      </c>
    </row>
    <row r="156" spans="4:7">
      <c r="D156" t="s">
        <v>408</v>
      </c>
    </row>
    <row r="164" spans="5:5">
      <c r="E164" t="s">
        <v>385</v>
      </c>
    </row>
    <row r="187" spans="3:3">
      <c r="C187" t="s">
        <v>510</v>
      </c>
    </row>
    <row r="188" spans="3:3">
      <c r="C188" t="s">
        <v>511</v>
      </c>
    </row>
    <row r="189" spans="3:3">
      <c r="C189" t="s">
        <v>512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H95"/>
  <sheetViews>
    <sheetView workbookViewId="0">
      <pane xSplit="4" ySplit="4" topLeftCell="DW55" activePane="bottomRight" state="frozen"/>
      <selection pane="topRight" activeCell="E1" sqref="E1"/>
      <selection pane="bottomLeft" activeCell="A5" sqref="A5"/>
      <selection pane="bottomRight" activeCell="DZ72" sqref="DZ72"/>
    </sheetView>
  </sheetViews>
  <sheetFormatPr baseColWidth="10" defaultRowHeight="16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95" customWidth="1"/>
    <col min="107" max="107" width="17.1640625" customWidth="1"/>
    <col min="108" max="108" width="13.6640625" customWidth="1"/>
    <col min="109" max="109" width="19.1640625" customWidth="1"/>
    <col min="110" max="110" width="22" style="98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1" width="9.83203125" customWidth="1"/>
    <col min="152" max="152" width="11.1640625" style="5" customWidth="1"/>
    <col min="154" max="154" width="38" customWidth="1"/>
    <col min="155" max="155" width="24.5" customWidth="1"/>
    <col min="156" max="156" width="27.5" customWidth="1"/>
    <col min="157" max="158" width="23" customWidth="1"/>
    <col min="159" max="159" width="20.83203125" customWidth="1"/>
    <col min="161" max="161" width="14.33203125" customWidth="1"/>
    <col min="162" max="162" width="14.6640625" customWidth="1"/>
    <col min="163" max="163" width="13.83203125" customWidth="1"/>
    <col min="164" max="164" width="14.1640625" customWidth="1"/>
    <col min="188" max="188" width="0" hidden="1" customWidth="1"/>
    <col min="208" max="208" width="29.33203125" customWidth="1"/>
    <col min="209" max="209" width="18.83203125" style="31" customWidth="1"/>
    <col min="210" max="210" width="16.1640625" style="31" customWidth="1"/>
    <col min="211" max="211" width="25.5" style="31" customWidth="1"/>
    <col min="213" max="216" width="10.83203125" style="31"/>
    <col min="218" max="220" width="10.83203125" style="32"/>
    <col min="222" max="224" width="10.83203125" style="32"/>
    <col min="226" max="228" width="10.83203125" style="32"/>
    <col min="230" max="232" width="10.83203125" style="32"/>
    <col min="233" max="233" width="10.83203125" style="34"/>
    <col min="235" max="237" width="10.83203125" style="35"/>
    <col min="240" max="242" width="10.83203125" style="35"/>
  </cols>
  <sheetData>
    <row r="1" spans="1:24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546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H1">
        <v>40</v>
      </c>
      <c r="FI1">
        <v>41</v>
      </c>
      <c r="FJ1">
        <v>42</v>
      </c>
      <c r="FK1">
        <v>43</v>
      </c>
      <c r="FL1">
        <v>44</v>
      </c>
      <c r="FM1">
        <v>45</v>
      </c>
      <c r="FN1">
        <v>46</v>
      </c>
      <c r="FO1">
        <v>47</v>
      </c>
      <c r="FP1">
        <v>48</v>
      </c>
      <c r="FQ1">
        <v>49</v>
      </c>
      <c r="FR1">
        <v>50</v>
      </c>
      <c r="FS1">
        <v>51</v>
      </c>
      <c r="FT1">
        <v>52</v>
      </c>
      <c r="FU1">
        <v>53</v>
      </c>
      <c r="FV1">
        <v>54</v>
      </c>
      <c r="FW1">
        <v>55</v>
      </c>
      <c r="FX1">
        <v>56</v>
      </c>
      <c r="FY1">
        <v>57</v>
      </c>
      <c r="FZ1">
        <v>58</v>
      </c>
      <c r="GA1">
        <v>59</v>
      </c>
      <c r="GB1">
        <v>60</v>
      </c>
      <c r="GC1">
        <v>61</v>
      </c>
      <c r="GD1">
        <v>62</v>
      </c>
      <c r="GE1">
        <v>63</v>
      </c>
      <c r="GF1">
        <v>64</v>
      </c>
      <c r="GG1">
        <v>65</v>
      </c>
      <c r="GH1">
        <v>66</v>
      </c>
      <c r="GI1">
        <v>67</v>
      </c>
      <c r="GJ1">
        <v>68</v>
      </c>
      <c r="GK1">
        <v>69</v>
      </c>
      <c r="GL1">
        <v>70</v>
      </c>
    </row>
    <row r="2" spans="1:242" ht="24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541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542</v>
      </c>
      <c r="BW2" s="2"/>
      <c r="BX2" s="2"/>
      <c r="BY2" s="2"/>
      <c r="BZ2" s="2"/>
      <c r="CB2" s="2"/>
      <c r="CC2" s="2" t="s">
        <v>543</v>
      </c>
      <c r="CD2" s="2"/>
      <c r="CF2" s="11"/>
      <c r="CG2" s="11" t="s">
        <v>464</v>
      </c>
      <c r="CH2" s="11"/>
      <c r="CI2" s="11"/>
      <c r="CJ2" s="11"/>
      <c r="CK2" s="53" t="s">
        <v>544</v>
      </c>
      <c r="CL2" s="53"/>
      <c r="CM2" s="53"/>
      <c r="CN2" s="53"/>
      <c r="CO2" s="41"/>
      <c r="CP2" s="41"/>
      <c r="CQ2" s="54"/>
      <c r="CR2" s="54"/>
      <c r="CS2" s="54"/>
      <c r="CT2" s="54"/>
      <c r="CU2" s="54"/>
      <c r="CV2" s="54"/>
      <c r="CW2" s="54"/>
      <c r="CX2" s="54"/>
      <c r="CY2" s="54"/>
      <c r="CZ2" s="54" t="s">
        <v>545</v>
      </c>
      <c r="DA2" s="54"/>
      <c r="DB2" s="96"/>
      <c r="DC2" s="54"/>
      <c r="DD2" s="54"/>
      <c r="DE2" s="54"/>
      <c r="DF2" s="99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547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X2" s="28" t="s">
        <v>294</v>
      </c>
      <c r="EY2" s="28"/>
      <c r="EZ2" s="28"/>
      <c r="FA2" s="28"/>
      <c r="FB2" s="28"/>
      <c r="FC2" s="28"/>
      <c r="FJ2" t="s">
        <v>233</v>
      </c>
      <c r="FX2" t="s">
        <v>238</v>
      </c>
      <c r="GE2" s="6"/>
      <c r="GF2" s="6"/>
      <c r="GG2" s="6"/>
      <c r="GH2" s="6"/>
      <c r="GI2" s="30"/>
      <c r="GJ2" s="6" t="s">
        <v>283</v>
      </c>
      <c r="GK2" s="6"/>
      <c r="GL2" s="6"/>
      <c r="GM2" s="6"/>
      <c r="GN2" s="6"/>
      <c r="GO2" s="6"/>
      <c r="GP2" s="6"/>
      <c r="GQ2" s="6"/>
      <c r="GR2" s="6"/>
      <c r="GS2" s="6"/>
      <c r="GY2" s="27" t="s">
        <v>316</v>
      </c>
      <c r="GZ2" s="27"/>
    </row>
    <row r="3" spans="1:242" ht="24">
      <c r="AZ3" s="55" t="s">
        <v>377</v>
      </c>
      <c r="BA3" s="55"/>
      <c r="BB3" s="55"/>
      <c r="BD3" s="55" t="s">
        <v>375</v>
      </c>
      <c r="BE3" s="55"/>
      <c r="BF3" s="55"/>
      <c r="BG3" s="55"/>
      <c r="CG3" t="s">
        <v>477</v>
      </c>
      <c r="CK3" t="s">
        <v>480</v>
      </c>
      <c r="CM3" t="s">
        <v>465</v>
      </c>
      <c r="CQ3" s="55" t="s">
        <v>515</v>
      </c>
      <c r="CR3" s="55"/>
      <c r="CS3" s="55"/>
      <c r="CT3" s="55"/>
      <c r="CU3" s="55"/>
      <c r="CV3" s="55"/>
      <c r="CW3" s="55"/>
      <c r="CX3" s="55"/>
      <c r="CY3" s="46"/>
      <c r="CZ3" s="46"/>
      <c r="DA3" s="46"/>
      <c r="DB3" s="97"/>
      <c r="DC3" s="46"/>
      <c r="DD3" s="46"/>
      <c r="DE3" s="46"/>
      <c r="DF3" s="100"/>
      <c r="DU3" t="s">
        <v>622</v>
      </c>
      <c r="EH3" s="7"/>
      <c r="EX3" s="29" t="s">
        <v>295</v>
      </c>
      <c r="FE3" t="s">
        <v>287</v>
      </c>
      <c r="GE3" s="6"/>
      <c r="GF3" s="6"/>
      <c r="GG3" s="6"/>
      <c r="GH3" s="6"/>
      <c r="GI3" s="30" t="s">
        <v>285</v>
      </c>
      <c r="GJ3" s="6"/>
      <c r="GK3" s="6"/>
      <c r="GL3" s="6"/>
      <c r="GM3" s="6"/>
      <c r="GN3" s="6"/>
      <c r="GO3" s="6"/>
      <c r="GP3" s="6"/>
      <c r="GQ3" s="6"/>
      <c r="GR3" s="6"/>
      <c r="GS3" s="6"/>
      <c r="GY3" s="27" t="s">
        <v>315</v>
      </c>
      <c r="GZ3" s="27"/>
      <c r="HA3" s="61" t="s">
        <v>49</v>
      </c>
      <c r="HB3" s="61"/>
      <c r="HC3" s="61"/>
      <c r="HE3" s="61" t="s">
        <v>50</v>
      </c>
      <c r="HF3" s="61"/>
      <c r="HG3" s="61"/>
      <c r="HJ3" s="62" t="s">
        <v>51</v>
      </c>
      <c r="HK3" s="62"/>
      <c r="HL3" s="62"/>
      <c r="HN3" s="62" t="s">
        <v>104</v>
      </c>
      <c r="HO3" s="62"/>
      <c r="HP3" s="62"/>
      <c r="HR3" s="62" t="s">
        <v>112</v>
      </c>
      <c r="HS3" s="62"/>
      <c r="HT3" s="62"/>
      <c r="HV3" s="62" t="s">
        <v>113</v>
      </c>
      <c r="HW3" s="62"/>
      <c r="HX3" s="62"/>
      <c r="IA3" s="63" t="s">
        <v>129</v>
      </c>
      <c r="IB3" s="63"/>
      <c r="IC3" s="63"/>
      <c r="IF3" s="63" t="s">
        <v>105</v>
      </c>
      <c r="IG3" s="63"/>
      <c r="IH3" s="63"/>
    </row>
    <row r="4" spans="1:242" ht="18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353</v>
      </c>
      <c r="AU4" t="s">
        <v>352</v>
      </c>
      <c r="AW4" t="s">
        <v>354</v>
      </c>
      <c r="AX4" t="s">
        <v>355</v>
      </c>
      <c r="AY4" t="s">
        <v>356</v>
      </c>
      <c r="AZ4" t="s">
        <v>376</v>
      </c>
      <c r="BA4" t="s">
        <v>362</v>
      </c>
      <c r="BB4" t="s">
        <v>378</v>
      </c>
      <c r="BC4" t="s">
        <v>379</v>
      </c>
      <c r="BD4" t="s">
        <v>357</v>
      </c>
      <c r="BE4" t="s">
        <v>362</v>
      </c>
      <c r="BF4" t="s">
        <v>365</v>
      </c>
      <c r="BG4" s="39" t="s">
        <v>366</v>
      </c>
      <c r="BH4" s="39" t="s">
        <v>415</v>
      </c>
      <c r="BI4" s="39" t="s">
        <v>410</v>
      </c>
      <c r="BJ4" s="45" t="s">
        <v>416</v>
      </c>
      <c r="BS4" t="s">
        <v>409</v>
      </c>
      <c r="BT4" t="s">
        <v>388</v>
      </c>
      <c r="BU4" t="s">
        <v>397</v>
      </c>
      <c r="BV4" t="s">
        <v>534</v>
      </c>
      <c r="BW4" t="s">
        <v>398</v>
      </c>
      <c r="BX4" t="s">
        <v>601</v>
      </c>
      <c r="BY4" t="s">
        <v>602</v>
      </c>
      <c r="BZ4" t="s">
        <v>417</v>
      </c>
      <c r="CB4" t="s">
        <v>422</v>
      </c>
      <c r="CC4" t="s">
        <v>424</v>
      </c>
      <c r="CD4" t="s">
        <v>421</v>
      </c>
      <c r="CF4" t="s">
        <v>463</v>
      </c>
      <c r="CG4" t="s">
        <v>462</v>
      </c>
      <c r="CI4" t="s">
        <v>476</v>
      </c>
      <c r="CJ4" t="s">
        <v>478</v>
      </c>
      <c r="CK4" t="s">
        <v>479</v>
      </c>
      <c r="CL4" t="s">
        <v>481</v>
      </c>
      <c r="CM4" t="s">
        <v>461</v>
      </c>
      <c r="CN4" t="s">
        <v>482</v>
      </c>
      <c r="CO4" t="s">
        <v>483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536</v>
      </c>
      <c r="CZ4" t="s">
        <v>614</v>
      </c>
      <c r="DA4" t="s">
        <v>623</v>
      </c>
      <c r="DB4" s="95" t="s">
        <v>615</v>
      </c>
      <c r="DC4" t="s">
        <v>516</v>
      </c>
      <c r="DD4" t="s">
        <v>517</v>
      </c>
      <c r="DE4" t="s">
        <v>518</v>
      </c>
      <c r="DF4" s="98" t="s">
        <v>616</v>
      </c>
      <c r="DG4" t="s">
        <v>617</v>
      </c>
      <c r="DH4" t="s">
        <v>539</v>
      </c>
      <c r="DI4" t="s">
        <v>618</v>
      </c>
      <c r="DJ4" t="s">
        <v>619</v>
      </c>
      <c r="DK4" t="s">
        <v>529</v>
      </c>
      <c r="DL4" t="s">
        <v>520</v>
      </c>
      <c r="DM4" t="s">
        <v>535</v>
      </c>
      <c r="DN4" t="s">
        <v>620</v>
      </c>
      <c r="DO4" t="s">
        <v>621</v>
      </c>
      <c r="DP4" t="s">
        <v>519</v>
      </c>
      <c r="DQ4" t="s">
        <v>521</v>
      </c>
      <c r="DR4" t="s">
        <v>537</v>
      </c>
      <c r="DS4" t="s">
        <v>540</v>
      </c>
      <c r="DT4" t="s">
        <v>530</v>
      </c>
      <c r="DU4" t="s">
        <v>531</v>
      </c>
      <c r="DV4" t="s">
        <v>532</v>
      </c>
      <c r="DX4" t="s">
        <v>624</v>
      </c>
      <c r="DY4" t="s">
        <v>612</v>
      </c>
      <c r="DZ4" t="s">
        <v>613</v>
      </c>
      <c r="EB4" t="s">
        <v>548</v>
      </c>
      <c r="EC4" t="s">
        <v>549</v>
      </c>
      <c r="ED4" t="s">
        <v>550</v>
      </c>
      <c r="EE4" t="s">
        <v>551</v>
      </c>
      <c r="EF4" t="s">
        <v>552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586</v>
      </c>
      <c r="ES4" s="7" t="s">
        <v>587</v>
      </c>
      <c r="EX4" t="s">
        <v>292</v>
      </c>
      <c r="EY4" t="s">
        <v>296</v>
      </c>
      <c r="EZ4" t="s">
        <v>297</v>
      </c>
      <c r="FA4" t="s">
        <v>298</v>
      </c>
      <c r="FB4" t="s">
        <v>299</v>
      </c>
      <c r="FC4" t="s">
        <v>293</v>
      </c>
      <c r="FE4" t="s">
        <v>288</v>
      </c>
      <c r="FF4" t="s">
        <v>289</v>
      </c>
      <c r="FG4" t="s">
        <v>290</v>
      </c>
      <c r="FH4" t="s">
        <v>291</v>
      </c>
      <c r="FJ4" t="s">
        <v>224</v>
      </c>
      <c r="FK4" t="s">
        <v>225</v>
      </c>
      <c r="FL4" t="s">
        <v>226</v>
      </c>
      <c r="FM4" t="s">
        <v>227</v>
      </c>
      <c r="FN4" t="s">
        <v>228</v>
      </c>
      <c r="FO4" t="s">
        <v>229</v>
      </c>
      <c r="FP4" t="s">
        <v>230</v>
      </c>
      <c r="FQ4" t="s">
        <v>231</v>
      </c>
      <c r="FS4" t="s">
        <v>234</v>
      </c>
      <c r="FU4" t="s">
        <v>235</v>
      </c>
      <c r="FX4" t="s">
        <v>239</v>
      </c>
      <c r="FY4" t="s">
        <v>240</v>
      </c>
      <c r="FZ4" t="s">
        <v>241</v>
      </c>
      <c r="GE4" s="6"/>
      <c r="GF4" s="6"/>
      <c r="GG4" s="6"/>
      <c r="GH4" s="6"/>
      <c r="GI4" s="6" t="s">
        <v>302</v>
      </c>
      <c r="GJ4" s="6"/>
      <c r="GK4" s="6"/>
      <c r="GL4" s="6"/>
      <c r="GM4" s="6"/>
      <c r="GN4" s="6"/>
      <c r="GO4" s="6"/>
      <c r="GP4" s="6"/>
      <c r="GQ4" s="6"/>
      <c r="GR4" s="6"/>
      <c r="GS4" s="6"/>
      <c r="GU4" t="s">
        <v>314</v>
      </c>
      <c r="GY4" t="s">
        <v>313</v>
      </c>
      <c r="HA4" s="31" t="s">
        <v>310</v>
      </c>
      <c r="HB4" s="31" t="s">
        <v>312</v>
      </c>
      <c r="HC4" s="31" t="s">
        <v>311</v>
      </c>
      <c r="HE4" s="31" t="s">
        <v>310</v>
      </c>
      <c r="HF4" s="31" t="s">
        <v>312</v>
      </c>
      <c r="HG4" s="31" t="s">
        <v>311</v>
      </c>
      <c r="HJ4" s="33" t="s">
        <v>310</v>
      </c>
      <c r="HK4" s="33" t="s">
        <v>312</v>
      </c>
      <c r="HL4" s="33" t="s">
        <v>311</v>
      </c>
      <c r="HN4" s="33" t="s">
        <v>310</v>
      </c>
      <c r="HO4" s="33" t="s">
        <v>312</v>
      </c>
      <c r="HP4" s="33" t="s">
        <v>311</v>
      </c>
      <c r="HR4" s="33" t="s">
        <v>310</v>
      </c>
      <c r="HS4" s="33" t="s">
        <v>312</v>
      </c>
      <c r="HT4" s="33" t="s">
        <v>311</v>
      </c>
      <c r="HV4" s="33" t="s">
        <v>310</v>
      </c>
      <c r="HW4" s="33" t="s">
        <v>312</v>
      </c>
      <c r="HX4" s="33" t="s">
        <v>311</v>
      </c>
      <c r="IA4" s="36" t="s">
        <v>310</v>
      </c>
      <c r="IB4" s="36" t="s">
        <v>312</v>
      </c>
      <c r="IC4" s="36" t="s">
        <v>311</v>
      </c>
      <c r="IF4" s="36" t="s">
        <v>310</v>
      </c>
      <c r="IG4" s="36" t="s">
        <v>312</v>
      </c>
      <c r="IH4" s="36" t="s">
        <v>311</v>
      </c>
    </row>
    <row r="5" spans="1:242" ht="17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8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56" t="s">
        <v>466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9">
        <v>0</v>
      </c>
      <c r="DB5" s="95">
        <f>CZ5*(1-DA5)</f>
        <v>15000</v>
      </c>
      <c r="DC5">
        <f>SUM($DB$5:DB5)</f>
        <v>15000</v>
      </c>
      <c r="DD5" s="49">
        <v>0</v>
      </c>
      <c r="DE5" s="49">
        <f>1-DD5</f>
        <v>1</v>
      </c>
      <c r="DF5" s="98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55">
        <f>SUM(DI5:DI22)</f>
        <v>915000</v>
      </c>
      <c r="DO5" s="55">
        <f>DK22</f>
        <v>54</v>
      </c>
      <c r="DP5">
        <f>DJ5/DK5</f>
        <v>5000</v>
      </c>
      <c r="DQ5" s="55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55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>SUM(EH5:EO5)</f>
        <v>1</v>
      </c>
      <c r="EU5" s="52"/>
      <c r="EX5" t="s">
        <v>300</v>
      </c>
      <c r="GE5" t="s">
        <v>242</v>
      </c>
      <c r="GP5" t="s">
        <v>279</v>
      </c>
      <c r="GU5" t="s">
        <v>317</v>
      </c>
    </row>
    <row r="6" spans="1:242" ht="18" customHeight="1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8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U6" s="2">
        <f>AS6-AS5</f>
        <v>1200</v>
      </c>
      <c r="AW6" s="41">
        <v>0</v>
      </c>
      <c r="AX6">
        <f t="shared" ref="AX6:AX64" si="2">AU6*(1-AW6)</f>
        <v>1200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5">BT6/18* 24*60</f>
        <v>80</v>
      </c>
      <c r="BV6">
        <f t="shared" ref="BV6:BV64" si="6">BU6*60</f>
        <v>4800</v>
      </c>
      <c r="BW6">
        <f t="shared" ref="BW6:BW64" si="7">BS6*BV6</f>
        <v>14400</v>
      </c>
      <c r="BX6">
        <f>SUM($BW$5:BW6)</f>
        <v>24000</v>
      </c>
      <c r="BY6">
        <f>SUM($AX$5:AX6)</f>
        <v>2400</v>
      </c>
      <c r="BZ6" s="47">
        <f t="shared" ref="BZ6:BZ64" si="8">(BX6-BY6)/BY6</f>
        <v>9</v>
      </c>
      <c r="CG6">
        <f t="shared" ref="CG6:CG64" si="9">BJ6</f>
        <v>6</v>
      </c>
      <c r="CH6" s="56"/>
      <c r="CI6" s="44">
        <f t="shared" ref="CI6:CI22" si="10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1">SUM(CQ6:CV6)</f>
        <v>30000</v>
      </c>
      <c r="CZ6">
        <f>CY6-CY5</f>
        <v>15000</v>
      </c>
      <c r="DA6" s="49">
        <v>0</v>
      </c>
      <c r="DB6" s="95">
        <f t="shared" ref="DB6:DB64" si="12">CZ6*(1-DA6)</f>
        <v>15000</v>
      </c>
      <c r="DC6">
        <f>SUM($DB$5:DB6)</f>
        <v>30000</v>
      </c>
      <c r="DD6" s="49">
        <v>0</v>
      </c>
      <c r="DE6" s="49">
        <f t="shared" ref="DE6:DE58" si="13">1-DD6</f>
        <v>1</v>
      </c>
      <c r="DF6" s="98">
        <f t="shared" ref="DF6:DF58" si="14">DB6*DD6</f>
        <v>0</v>
      </c>
      <c r="DG6">
        <f>SUM($DF$5:DF6)</f>
        <v>0</v>
      </c>
      <c r="DH6">
        <f>DG6-DG5</f>
        <v>0</v>
      </c>
      <c r="DI6">
        <f t="shared" ref="DI6:DI64" si="15">DB6*DE6</f>
        <v>15000</v>
      </c>
      <c r="DJ6">
        <f>SUM($DI$5:DI6)</f>
        <v>30000</v>
      </c>
      <c r="DK6">
        <f t="shared" ref="DK6:DK64" si="16">BJ6</f>
        <v>6</v>
      </c>
      <c r="DL6">
        <f>SUM($BH$5:BH6)</f>
        <v>12</v>
      </c>
      <c r="DM6">
        <f t="shared" ref="DM6:DM64" si="17">ROUND(AVERAGE(DK6:DL6),0)</f>
        <v>9</v>
      </c>
      <c r="DN6" s="55"/>
      <c r="DO6" s="55"/>
      <c r="DP6">
        <f t="shared" ref="DP6:DP64" si="18">DJ6/DK6</f>
        <v>5000</v>
      </c>
      <c r="DQ6" s="55"/>
      <c r="DR6">
        <f>VLOOKUP(DK6,StarIdelRewards!A:I,9,FALSE)*BV6</f>
        <v>9600</v>
      </c>
      <c r="DS6">
        <f t="shared" ref="DS6:DS64" si="19">DH6</f>
        <v>0</v>
      </c>
      <c r="DT6">
        <f>SUM($DR$5:DR6)</f>
        <v>14400</v>
      </c>
      <c r="DU6" s="47">
        <f t="shared" ref="DU6:DU64" si="20">(DG6-DT6)/DT6</f>
        <v>-1</v>
      </c>
      <c r="DV6">
        <f t="shared" ref="DV6:DV64" si="21">DH6/BV6</f>
        <v>0</v>
      </c>
      <c r="DX6">
        <f t="shared" ref="DX6:DX64" si="22">CZ6*DA6</f>
        <v>0</v>
      </c>
      <c r="DY6">
        <f t="shared" ref="DY6:DY64" si="23">BB6</f>
        <v>0</v>
      </c>
      <c r="DZ6" s="55"/>
      <c r="EB6">
        <f t="shared" ref="EB6:EB64" si="24">BB6</f>
        <v>0</v>
      </c>
      <c r="EC6">
        <f>B6*(3-1.333)*'Chest&amp;Cards&amp;Offer'!$J$70/100</f>
        <v>3.0005999999999999</v>
      </c>
      <c r="ED6">
        <f t="shared" ref="ED6:ED64" si="25">EB6+EC6</f>
        <v>3.0005999999999999</v>
      </c>
      <c r="EE6">
        <f t="shared" ref="EE6:EE64" si="26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7">SUM(EH6:EM6)</f>
        <v>2</v>
      </c>
      <c r="ES6" s="7">
        <f>SUM(EH6:EO6)</f>
        <v>2</v>
      </c>
      <c r="EU6" s="52"/>
    </row>
    <row r="7" spans="1:242" ht="19" customHeight="1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8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U7" s="2">
        <f t="shared" ref="AU7:AU64" si="28">AS7-AS6</f>
        <v>6000</v>
      </c>
      <c r="AW7" s="41">
        <v>0</v>
      </c>
      <c r="AX7">
        <f t="shared" si="2"/>
        <v>6000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5"/>
        <v>80</v>
      </c>
      <c r="BV7">
        <f t="shared" si="6"/>
        <v>4800</v>
      </c>
      <c r="BW7">
        <f t="shared" si="7"/>
        <v>14400</v>
      </c>
      <c r="BX7">
        <f>SUM($BW$5:BW7)</f>
        <v>38400</v>
      </c>
      <c r="BY7">
        <f>SUM($AX$5:AX7)</f>
        <v>8400</v>
      </c>
      <c r="BZ7" s="47">
        <f t="shared" si="8"/>
        <v>3.5714285714285716</v>
      </c>
      <c r="CG7">
        <f t="shared" si="9"/>
        <v>9</v>
      </c>
      <c r="CH7" s="56"/>
      <c r="CI7" s="44">
        <f t="shared" si="10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1"/>
        <v>60000</v>
      </c>
      <c r="CZ7">
        <f t="shared" ref="CZ7:CZ64" si="29">CY7-CY6</f>
        <v>30000</v>
      </c>
      <c r="DA7" s="49">
        <v>0</v>
      </c>
      <c r="DB7" s="95">
        <f t="shared" si="12"/>
        <v>30000</v>
      </c>
      <c r="DC7">
        <f>SUM($DB$5:DB7)</f>
        <v>60000</v>
      </c>
      <c r="DD7" s="49">
        <v>0</v>
      </c>
      <c r="DE7" s="49">
        <f t="shared" si="13"/>
        <v>1</v>
      </c>
      <c r="DF7" s="98">
        <f t="shared" si="14"/>
        <v>0</v>
      </c>
      <c r="DG7">
        <f>SUM($DF$5:DF7)</f>
        <v>0</v>
      </c>
      <c r="DH7">
        <f t="shared" ref="DH7:DH64" si="30">DG7-DG6</f>
        <v>0</v>
      </c>
      <c r="DI7">
        <f t="shared" si="15"/>
        <v>30000</v>
      </c>
      <c r="DJ7">
        <f>SUM($DI$5:DI7)</f>
        <v>60000</v>
      </c>
      <c r="DK7">
        <f t="shared" si="16"/>
        <v>9</v>
      </c>
      <c r="DL7">
        <f>SUM($BH$5:BH7)</f>
        <v>18</v>
      </c>
      <c r="DM7">
        <f t="shared" si="17"/>
        <v>14</v>
      </c>
      <c r="DN7" s="55"/>
      <c r="DO7" s="55"/>
      <c r="DP7">
        <f t="shared" si="18"/>
        <v>6666.666666666667</v>
      </c>
      <c r="DQ7" s="55"/>
      <c r="DR7">
        <f>VLOOKUP(DK7,StarIdelRewards!A:I,9,FALSE)*BV7</f>
        <v>9600</v>
      </c>
      <c r="DS7">
        <f t="shared" si="19"/>
        <v>0</v>
      </c>
      <c r="DT7">
        <f>SUM($DR$5:DR7)</f>
        <v>24000</v>
      </c>
      <c r="DU7" s="47">
        <f t="shared" si="20"/>
        <v>-1</v>
      </c>
      <c r="DV7">
        <f t="shared" si="21"/>
        <v>0</v>
      </c>
      <c r="DX7">
        <f t="shared" si="22"/>
        <v>0</v>
      </c>
      <c r="DY7">
        <f t="shared" si="23"/>
        <v>0</v>
      </c>
      <c r="DZ7" s="55"/>
      <c r="EB7">
        <f t="shared" si="24"/>
        <v>0</v>
      </c>
      <c r="EC7">
        <f>B7*(3-1.333)*'Chest&amp;Cards&amp;Offer'!$J$70/100</f>
        <v>4.5009000000000006</v>
      </c>
      <c r="ED7">
        <f t="shared" si="25"/>
        <v>4.5009000000000006</v>
      </c>
      <c r="EE7">
        <f t="shared" si="26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7"/>
        <v>7</v>
      </c>
      <c r="ES7" s="7">
        <f>SUM(EH7:EO7)</f>
        <v>7</v>
      </c>
      <c r="EU7" s="52"/>
      <c r="GE7" t="s">
        <v>243</v>
      </c>
      <c r="GG7" t="s">
        <v>247</v>
      </c>
      <c r="GP7" t="s">
        <v>280</v>
      </c>
      <c r="GU7" s="2" t="s">
        <v>318</v>
      </c>
      <c r="GV7" s="2"/>
    </row>
    <row r="8" spans="1:242" ht="17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8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U8" s="2">
        <f t="shared" si="28"/>
        <v>6000</v>
      </c>
      <c r="AW8" s="41">
        <v>0</v>
      </c>
      <c r="AX8">
        <f t="shared" si="2"/>
        <v>6000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5"/>
        <v>80</v>
      </c>
      <c r="BV8">
        <f t="shared" si="6"/>
        <v>4800</v>
      </c>
      <c r="BW8">
        <f t="shared" si="7"/>
        <v>19200</v>
      </c>
      <c r="BX8">
        <f>SUM($BW$5:BW8)</f>
        <v>57600</v>
      </c>
      <c r="BY8">
        <f>SUM($AX$5:AX8)</f>
        <v>14400</v>
      </c>
      <c r="BZ8" s="47">
        <f t="shared" si="8"/>
        <v>3</v>
      </c>
      <c r="CG8">
        <f t="shared" si="9"/>
        <v>12</v>
      </c>
      <c r="CH8" s="56"/>
      <c r="CI8" s="44">
        <f t="shared" si="10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1"/>
        <v>90000</v>
      </c>
      <c r="CZ8">
        <f t="shared" si="29"/>
        <v>30000</v>
      </c>
      <c r="DA8" s="49">
        <v>0</v>
      </c>
      <c r="DB8" s="95">
        <f t="shared" si="12"/>
        <v>30000</v>
      </c>
      <c r="DC8">
        <f>SUM($DB$5:DB8)</f>
        <v>90000</v>
      </c>
      <c r="DD8" s="49">
        <v>0</v>
      </c>
      <c r="DE8" s="49">
        <f t="shared" si="13"/>
        <v>1</v>
      </c>
      <c r="DF8" s="98">
        <f t="shared" si="14"/>
        <v>0</v>
      </c>
      <c r="DG8">
        <f>SUM($DF$5:DF8)</f>
        <v>0</v>
      </c>
      <c r="DH8">
        <f t="shared" si="30"/>
        <v>0</v>
      </c>
      <c r="DI8">
        <f t="shared" si="15"/>
        <v>30000</v>
      </c>
      <c r="DJ8">
        <f>SUM($DI$5:DI8)</f>
        <v>90000</v>
      </c>
      <c r="DK8">
        <f t="shared" si="16"/>
        <v>12</v>
      </c>
      <c r="DL8">
        <f>SUM($BH$5:BH8)</f>
        <v>24</v>
      </c>
      <c r="DM8">
        <f t="shared" si="17"/>
        <v>18</v>
      </c>
      <c r="DN8" s="55"/>
      <c r="DO8" s="55"/>
      <c r="DP8">
        <f t="shared" si="18"/>
        <v>7500</v>
      </c>
      <c r="DQ8" s="55"/>
      <c r="DR8">
        <f>VLOOKUP(DK8,StarIdelRewards!A:I,9,FALSE)*BV8</f>
        <v>14400</v>
      </c>
      <c r="DS8">
        <f t="shared" si="19"/>
        <v>0</v>
      </c>
      <c r="DT8">
        <f>SUM($DR$5:DR8)</f>
        <v>38400</v>
      </c>
      <c r="DU8" s="47">
        <f t="shared" si="20"/>
        <v>-1</v>
      </c>
      <c r="DV8">
        <f t="shared" si="21"/>
        <v>0</v>
      </c>
      <c r="DX8">
        <f t="shared" si="22"/>
        <v>0</v>
      </c>
      <c r="DY8">
        <f t="shared" si="23"/>
        <v>0</v>
      </c>
      <c r="DZ8" s="55"/>
      <c r="EB8">
        <f t="shared" si="24"/>
        <v>0</v>
      </c>
      <c r="EC8">
        <f>B8*(3-1.333)*'Chest&amp;Cards&amp;Offer'!$J$70/100</f>
        <v>6.0011999999999999</v>
      </c>
      <c r="ED8">
        <f t="shared" si="25"/>
        <v>6.0011999999999999</v>
      </c>
      <c r="EE8">
        <f t="shared" si="26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7"/>
        <v>12</v>
      </c>
      <c r="ES8" s="7">
        <f>SUM(EH8:EO8)</f>
        <v>12</v>
      </c>
      <c r="EU8" s="52"/>
      <c r="GG8" t="s">
        <v>251</v>
      </c>
      <c r="GP8" t="s">
        <v>281</v>
      </c>
    </row>
    <row r="9" spans="1:24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8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U9" s="2">
        <f t="shared" si="28"/>
        <v>12000</v>
      </c>
      <c r="AW9" s="41">
        <v>0</v>
      </c>
      <c r="AX9">
        <f t="shared" si="2"/>
        <v>12000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5"/>
        <v>80</v>
      </c>
      <c r="BV9">
        <f t="shared" si="6"/>
        <v>4800</v>
      </c>
      <c r="BW9">
        <f t="shared" si="7"/>
        <v>19200</v>
      </c>
      <c r="BX9">
        <f>SUM($BW$5:BW9)</f>
        <v>76800</v>
      </c>
      <c r="BY9">
        <f>SUM($AX$5:AX9)</f>
        <v>26400</v>
      </c>
      <c r="BZ9" s="47">
        <f t="shared" si="8"/>
        <v>1.9090909090909092</v>
      </c>
      <c r="CG9">
        <f t="shared" si="9"/>
        <v>15</v>
      </c>
      <c r="CH9" s="56"/>
      <c r="CI9" s="44">
        <f t="shared" si="10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1"/>
        <v>135000</v>
      </c>
      <c r="CZ9">
        <f t="shared" si="29"/>
        <v>45000</v>
      </c>
      <c r="DA9" s="49">
        <v>0</v>
      </c>
      <c r="DB9" s="95">
        <f t="shared" si="12"/>
        <v>45000</v>
      </c>
      <c r="DC9">
        <f>SUM($DB$5:DB9)</f>
        <v>135000</v>
      </c>
      <c r="DD9" s="49">
        <v>0</v>
      </c>
      <c r="DE9" s="49">
        <f t="shared" si="13"/>
        <v>1</v>
      </c>
      <c r="DF9" s="98">
        <f t="shared" si="14"/>
        <v>0</v>
      </c>
      <c r="DG9">
        <f>SUM($DF$5:DF9)</f>
        <v>0</v>
      </c>
      <c r="DH9">
        <f t="shared" si="30"/>
        <v>0</v>
      </c>
      <c r="DI9">
        <f t="shared" si="15"/>
        <v>45000</v>
      </c>
      <c r="DJ9">
        <f>SUM($DI$5:DI9)</f>
        <v>135000</v>
      </c>
      <c r="DK9">
        <f t="shared" si="16"/>
        <v>15</v>
      </c>
      <c r="DL9">
        <f>SUM($BH$5:BH9)</f>
        <v>34</v>
      </c>
      <c r="DM9">
        <f t="shared" si="17"/>
        <v>25</v>
      </c>
      <c r="DN9" s="55"/>
      <c r="DO9" s="55"/>
      <c r="DP9">
        <f t="shared" si="18"/>
        <v>9000</v>
      </c>
      <c r="DQ9" s="55"/>
      <c r="DR9">
        <f>VLOOKUP(DK9,StarIdelRewards!A:I,9,FALSE)*BV9</f>
        <v>14400</v>
      </c>
      <c r="DS9">
        <f t="shared" si="19"/>
        <v>0</v>
      </c>
      <c r="DT9">
        <f>SUM($DR$5:DR9)</f>
        <v>52800</v>
      </c>
      <c r="DU9" s="47">
        <f t="shared" si="20"/>
        <v>-1</v>
      </c>
      <c r="DV9">
        <f t="shared" si="21"/>
        <v>0</v>
      </c>
      <c r="DX9">
        <f t="shared" si="22"/>
        <v>0</v>
      </c>
      <c r="DY9">
        <f t="shared" si="23"/>
        <v>0</v>
      </c>
      <c r="DZ9" s="55"/>
      <c r="EB9">
        <f t="shared" si="24"/>
        <v>0</v>
      </c>
      <c r="EC9">
        <f>B9*(3-1.333)*'Chest&amp;Cards&amp;Offer'!$J$70/100</f>
        <v>7.5015000000000009</v>
      </c>
      <c r="ED9">
        <f t="shared" si="25"/>
        <v>7.5015000000000009</v>
      </c>
      <c r="EE9">
        <f t="shared" si="26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7"/>
        <v>18</v>
      </c>
      <c r="ES9" s="7">
        <f>SUM(EH9:EO9)</f>
        <v>18</v>
      </c>
      <c r="EU9" s="52"/>
      <c r="GE9" t="s">
        <v>244</v>
      </c>
      <c r="GG9" t="s">
        <v>249</v>
      </c>
      <c r="GP9" t="s">
        <v>282</v>
      </c>
    </row>
    <row r="10" spans="1:24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8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U10" s="2">
        <f t="shared" si="28"/>
        <v>60000</v>
      </c>
      <c r="AW10" s="41">
        <v>0</v>
      </c>
      <c r="AX10">
        <f t="shared" si="2"/>
        <v>60000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5"/>
        <v>80</v>
      </c>
      <c r="BV10">
        <f t="shared" si="6"/>
        <v>4800</v>
      </c>
      <c r="BW10">
        <f t="shared" si="7"/>
        <v>24000</v>
      </c>
      <c r="BX10">
        <f>SUM($BW$5:BW10)</f>
        <v>100800</v>
      </c>
      <c r="BY10">
        <f>SUM($AX$5:AX10)</f>
        <v>86400</v>
      </c>
      <c r="BZ10" s="47">
        <f t="shared" si="8"/>
        <v>0.16666666666666666</v>
      </c>
      <c r="CG10">
        <f t="shared" si="9"/>
        <v>18</v>
      </c>
      <c r="CH10" s="56"/>
      <c r="CI10" s="44">
        <f t="shared" si="10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1"/>
        <v>225000</v>
      </c>
      <c r="CZ10">
        <f t="shared" si="29"/>
        <v>90000</v>
      </c>
      <c r="DA10" s="49">
        <v>0</v>
      </c>
      <c r="DB10" s="95">
        <f t="shared" si="12"/>
        <v>90000</v>
      </c>
      <c r="DC10">
        <f>SUM($DB$5:DB10)</f>
        <v>225000</v>
      </c>
      <c r="DD10" s="49">
        <v>0</v>
      </c>
      <c r="DE10" s="49">
        <f t="shared" si="13"/>
        <v>1</v>
      </c>
      <c r="DF10" s="98">
        <f t="shared" si="14"/>
        <v>0</v>
      </c>
      <c r="DG10">
        <f>SUM($DF$5:DF10)</f>
        <v>0</v>
      </c>
      <c r="DH10">
        <f t="shared" si="30"/>
        <v>0</v>
      </c>
      <c r="DI10">
        <f t="shared" si="15"/>
        <v>90000</v>
      </c>
      <c r="DJ10">
        <f>SUM($DI$5:DI10)</f>
        <v>225000</v>
      </c>
      <c r="DK10">
        <f t="shared" si="16"/>
        <v>18</v>
      </c>
      <c r="DL10">
        <f>SUM($BH$5:BH10)</f>
        <v>44</v>
      </c>
      <c r="DM10">
        <f t="shared" si="17"/>
        <v>31</v>
      </c>
      <c r="DN10" s="55"/>
      <c r="DO10" s="55"/>
      <c r="DP10">
        <f t="shared" si="18"/>
        <v>12500</v>
      </c>
      <c r="DQ10" s="55"/>
      <c r="DR10">
        <f>VLOOKUP(DK10,StarIdelRewards!A:I,9,FALSE)*BV10</f>
        <v>19200</v>
      </c>
      <c r="DS10">
        <f t="shared" si="19"/>
        <v>0</v>
      </c>
      <c r="DT10">
        <f>SUM($DR$5:DR10)</f>
        <v>72000</v>
      </c>
      <c r="DU10" s="47">
        <f t="shared" si="20"/>
        <v>-1</v>
      </c>
      <c r="DV10">
        <f t="shared" si="21"/>
        <v>0</v>
      </c>
      <c r="DX10">
        <f t="shared" si="22"/>
        <v>0</v>
      </c>
      <c r="DY10">
        <f t="shared" si="23"/>
        <v>0</v>
      </c>
      <c r="DZ10" s="55"/>
      <c r="EB10">
        <f t="shared" si="24"/>
        <v>0</v>
      </c>
      <c r="EC10">
        <f>B10*(3-1.333)*'Chest&amp;Cards&amp;Offer'!$J$70/100</f>
        <v>9.0018000000000011</v>
      </c>
      <c r="ED10">
        <f t="shared" si="25"/>
        <v>9.0018000000000011</v>
      </c>
      <c r="EE10">
        <f t="shared" si="26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7"/>
        <v>48</v>
      </c>
      <c r="ES10" s="7">
        <f>SUM(EH10:EO10)</f>
        <v>48</v>
      </c>
      <c r="EU10" s="52"/>
      <c r="GE10" t="s">
        <v>245</v>
      </c>
      <c r="GG10" t="s">
        <v>248</v>
      </c>
      <c r="GP10" t="s">
        <v>284</v>
      </c>
    </row>
    <row r="11" spans="1:24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8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U11" s="2">
        <f t="shared" si="28"/>
        <v>12000</v>
      </c>
      <c r="AW11" s="41">
        <v>0</v>
      </c>
      <c r="AX11">
        <f t="shared" si="2"/>
        <v>12000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5"/>
        <v>80</v>
      </c>
      <c r="BV11">
        <f t="shared" si="6"/>
        <v>4800</v>
      </c>
      <c r="BW11">
        <f t="shared" si="7"/>
        <v>24000</v>
      </c>
      <c r="BX11">
        <f>SUM($BW$5:BW11)</f>
        <v>124800</v>
      </c>
      <c r="BY11">
        <f>SUM($AX$5:AX11)</f>
        <v>98400</v>
      </c>
      <c r="BZ11" s="47">
        <f t="shared" si="8"/>
        <v>0.26829268292682928</v>
      </c>
      <c r="CG11">
        <f t="shared" si="9"/>
        <v>21</v>
      </c>
      <c r="CH11" s="56"/>
      <c r="CI11" s="44">
        <f t="shared" si="10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1"/>
        <v>270000</v>
      </c>
      <c r="CZ11">
        <f t="shared" si="29"/>
        <v>45000</v>
      </c>
      <c r="DA11" s="49">
        <v>0</v>
      </c>
      <c r="DB11" s="95">
        <f t="shared" si="12"/>
        <v>45000</v>
      </c>
      <c r="DC11">
        <f>SUM($DB$5:DB11)</f>
        <v>270000</v>
      </c>
      <c r="DD11" s="49">
        <v>0</v>
      </c>
      <c r="DE11" s="49">
        <f t="shared" si="13"/>
        <v>1</v>
      </c>
      <c r="DF11" s="98">
        <f t="shared" si="14"/>
        <v>0</v>
      </c>
      <c r="DG11">
        <f>SUM($DF$5:DF11)</f>
        <v>0</v>
      </c>
      <c r="DH11">
        <f t="shared" si="30"/>
        <v>0</v>
      </c>
      <c r="DI11">
        <f t="shared" si="15"/>
        <v>45000</v>
      </c>
      <c r="DJ11">
        <f>SUM($DI$5:DI11)</f>
        <v>270000</v>
      </c>
      <c r="DK11">
        <f t="shared" si="16"/>
        <v>21</v>
      </c>
      <c r="DL11">
        <f>SUM($BH$5:BH11)</f>
        <v>54</v>
      </c>
      <c r="DM11">
        <f t="shared" si="17"/>
        <v>38</v>
      </c>
      <c r="DN11" s="55"/>
      <c r="DO11" s="55"/>
      <c r="DP11">
        <f t="shared" si="18"/>
        <v>12857.142857142857</v>
      </c>
      <c r="DQ11" s="55"/>
      <c r="DR11">
        <f>VLOOKUP(DK11,StarIdelRewards!A:I,9,FALSE)*BV11</f>
        <v>19200</v>
      </c>
      <c r="DS11">
        <f t="shared" si="19"/>
        <v>0</v>
      </c>
      <c r="DT11">
        <f>SUM($DR$5:DR11)</f>
        <v>91200</v>
      </c>
      <c r="DU11" s="47">
        <f t="shared" si="20"/>
        <v>-1</v>
      </c>
      <c r="DV11">
        <f t="shared" si="21"/>
        <v>0</v>
      </c>
      <c r="DX11">
        <f t="shared" si="22"/>
        <v>0</v>
      </c>
      <c r="DY11">
        <f t="shared" si="23"/>
        <v>0</v>
      </c>
      <c r="DZ11" s="55"/>
      <c r="EB11">
        <f t="shared" si="24"/>
        <v>0</v>
      </c>
      <c r="EC11">
        <f>B11*(3-1.333)*'Chest&amp;Cards&amp;Offer'!$J$70/100</f>
        <v>10.5021</v>
      </c>
      <c r="ED11">
        <f t="shared" si="25"/>
        <v>10.5021</v>
      </c>
      <c r="EE11">
        <f t="shared" si="26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7"/>
        <v>54</v>
      </c>
      <c r="ES11" s="7">
        <f>SUM(EH11:EO11)</f>
        <v>54</v>
      </c>
      <c r="EU11" s="52"/>
      <c r="GE11" t="s">
        <v>246</v>
      </c>
    </row>
    <row r="12" spans="1:24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8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U12" s="2">
        <f t="shared" si="28"/>
        <v>60000</v>
      </c>
      <c r="AW12" s="41">
        <v>0</v>
      </c>
      <c r="AX12">
        <f t="shared" si="2"/>
        <v>60000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5"/>
        <v>80</v>
      </c>
      <c r="BV12">
        <f t="shared" si="6"/>
        <v>4800</v>
      </c>
      <c r="BW12">
        <f t="shared" si="7"/>
        <v>28800</v>
      </c>
      <c r="BX12">
        <f>SUM($BW$5:BW12)</f>
        <v>153600</v>
      </c>
      <c r="BY12">
        <f>SUM($AX$5:AX12)</f>
        <v>158400</v>
      </c>
      <c r="BZ12" s="47">
        <f t="shared" si="8"/>
        <v>-3.0303030303030304E-2</v>
      </c>
      <c r="CG12">
        <f t="shared" si="9"/>
        <v>24</v>
      </c>
      <c r="CH12" s="56"/>
      <c r="CI12" s="44">
        <f t="shared" si="10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1"/>
        <v>360000</v>
      </c>
      <c r="CZ12">
        <f t="shared" si="29"/>
        <v>90000</v>
      </c>
      <c r="DA12" s="49">
        <v>0</v>
      </c>
      <c r="DB12" s="95">
        <f t="shared" si="12"/>
        <v>90000</v>
      </c>
      <c r="DC12">
        <f>SUM($DB$5:DB12)</f>
        <v>360000</v>
      </c>
      <c r="DD12" s="49">
        <v>0</v>
      </c>
      <c r="DE12" s="49">
        <f t="shared" si="13"/>
        <v>1</v>
      </c>
      <c r="DF12" s="98">
        <f t="shared" si="14"/>
        <v>0</v>
      </c>
      <c r="DG12">
        <f>SUM($DF$5:DF12)</f>
        <v>0</v>
      </c>
      <c r="DH12">
        <f t="shared" si="30"/>
        <v>0</v>
      </c>
      <c r="DI12">
        <f t="shared" si="15"/>
        <v>90000</v>
      </c>
      <c r="DJ12">
        <f>SUM($DI$5:DI12)</f>
        <v>360000</v>
      </c>
      <c r="DK12">
        <f t="shared" si="16"/>
        <v>24</v>
      </c>
      <c r="DL12">
        <f>SUM($BH$5:BH12)</f>
        <v>64</v>
      </c>
      <c r="DM12">
        <f t="shared" si="17"/>
        <v>44</v>
      </c>
      <c r="DN12" s="55"/>
      <c r="DO12" s="55"/>
      <c r="DP12">
        <f t="shared" si="18"/>
        <v>15000</v>
      </c>
      <c r="DQ12" s="55"/>
      <c r="DR12">
        <f>VLOOKUP(DK12,StarIdelRewards!A:I,9,FALSE)*BV12</f>
        <v>24000</v>
      </c>
      <c r="DS12">
        <f t="shared" si="19"/>
        <v>0</v>
      </c>
      <c r="DT12">
        <f>SUM($DR$5:DR12)</f>
        <v>115200</v>
      </c>
      <c r="DU12" s="47">
        <f t="shared" si="20"/>
        <v>-1</v>
      </c>
      <c r="DV12">
        <f t="shared" si="21"/>
        <v>0</v>
      </c>
      <c r="DX12">
        <f t="shared" si="22"/>
        <v>0</v>
      </c>
      <c r="DY12">
        <f t="shared" si="23"/>
        <v>0</v>
      </c>
      <c r="DZ12" s="55"/>
      <c r="EB12">
        <f t="shared" si="24"/>
        <v>0</v>
      </c>
      <c r="EC12">
        <f>B12*(3-1.333)*'Chest&amp;Cards&amp;Offer'!$J$70/100</f>
        <v>12.0024</v>
      </c>
      <c r="ED12">
        <f t="shared" si="25"/>
        <v>12.0024</v>
      </c>
      <c r="EE12">
        <f t="shared" si="26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7"/>
        <v>84</v>
      </c>
      <c r="ES12" s="7">
        <f>SUM(EH12:EO12)</f>
        <v>100</v>
      </c>
      <c r="EU12" s="52"/>
      <c r="GG12" t="s">
        <v>250</v>
      </c>
      <c r="GU12" t="s">
        <v>319</v>
      </c>
    </row>
    <row r="13" spans="1:24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8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U13" s="2">
        <f t="shared" si="28"/>
        <v>12000</v>
      </c>
      <c r="AW13" s="41">
        <v>0</v>
      </c>
      <c r="AX13">
        <f t="shared" si="2"/>
        <v>12000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5"/>
        <v>80</v>
      </c>
      <c r="BV13">
        <f t="shared" si="6"/>
        <v>4800</v>
      </c>
      <c r="BW13">
        <f t="shared" si="7"/>
        <v>28800</v>
      </c>
      <c r="BX13">
        <f>SUM($BW$5:BW13)</f>
        <v>182400</v>
      </c>
      <c r="BY13">
        <f>SUM($AX$5:AX13)</f>
        <v>170400</v>
      </c>
      <c r="BZ13" s="47">
        <f t="shared" si="8"/>
        <v>7.0422535211267609E-2</v>
      </c>
      <c r="CG13">
        <f t="shared" si="9"/>
        <v>27</v>
      </c>
      <c r="CH13" s="56"/>
      <c r="CI13" s="44">
        <f t="shared" si="10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1"/>
        <v>420000</v>
      </c>
      <c r="CZ13">
        <f t="shared" si="29"/>
        <v>60000</v>
      </c>
      <c r="DA13" s="49">
        <v>0</v>
      </c>
      <c r="DB13" s="95">
        <f t="shared" si="12"/>
        <v>60000</v>
      </c>
      <c r="DC13">
        <f>SUM($DB$5:DB13)</f>
        <v>420000</v>
      </c>
      <c r="DD13" s="49">
        <v>0.5</v>
      </c>
      <c r="DE13" s="49">
        <f t="shared" si="13"/>
        <v>0.5</v>
      </c>
      <c r="DF13" s="98">
        <f t="shared" si="14"/>
        <v>30000</v>
      </c>
      <c r="DG13">
        <f>SUM($DF$5:DF13)</f>
        <v>30000</v>
      </c>
      <c r="DH13">
        <f t="shared" si="30"/>
        <v>30000</v>
      </c>
      <c r="DI13">
        <f t="shared" si="15"/>
        <v>30000</v>
      </c>
      <c r="DJ13">
        <f>SUM($DI$5:DI13)</f>
        <v>390000</v>
      </c>
      <c r="DK13">
        <f t="shared" si="16"/>
        <v>27</v>
      </c>
      <c r="DL13">
        <f>SUM($BH$5:BH13)</f>
        <v>70</v>
      </c>
      <c r="DM13">
        <f t="shared" si="17"/>
        <v>49</v>
      </c>
      <c r="DN13" s="55"/>
      <c r="DO13" s="55"/>
      <c r="DP13">
        <f t="shared" si="18"/>
        <v>14444.444444444445</v>
      </c>
      <c r="DQ13" s="55"/>
      <c r="DR13">
        <f>VLOOKUP(DK13,StarIdelRewards!A:I,9,FALSE)*BV13</f>
        <v>24000</v>
      </c>
      <c r="DS13">
        <f t="shared" si="19"/>
        <v>30000</v>
      </c>
      <c r="DT13">
        <f>SUM($DR$5:DR13)</f>
        <v>139200</v>
      </c>
      <c r="DU13" s="47">
        <f t="shared" si="20"/>
        <v>-0.78448275862068961</v>
      </c>
      <c r="DV13">
        <f t="shared" si="21"/>
        <v>6.25</v>
      </c>
      <c r="DX13">
        <f t="shared" si="22"/>
        <v>0</v>
      </c>
      <c r="DY13">
        <f t="shared" si="23"/>
        <v>0</v>
      </c>
      <c r="DZ13" s="55"/>
      <c r="EB13">
        <f t="shared" si="24"/>
        <v>0</v>
      </c>
      <c r="EC13">
        <f>B13*(3-1.333)*'Chest&amp;Cards&amp;Offer'!$J$70/100</f>
        <v>13.502699999999999</v>
      </c>
      <c r="ED13">
        <f t="shared" si="25"/>
        <v>13.502699999999999</v>
      </c>
      <c r="EE13">
        <f t="shared" si="26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7"/>
        <v>94</v>
      </c>
      <c r="ES13" s="7">
        <f>SUM(EH13:EO13)</f>
        <v>190</v>
      </c>
      <c r="EU13" s="52"/>
    </row>
    <row r="14" spans="1:242" ht="17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6" t="s">
        <v>183</v>
      </c>
      <c r="G14" t="str">
        <f t="shared" si="1"/>
        <v>紫1</v>
      </c>
      <c r="H14">
        <f>VLOOKUP(G14,Reference1!C:E,3,FALSE)</f>
        <v>579</v>
      </c>
      <c r="I14" s="58"/>
      <c r="K14" t="s">
        <v>164</v>
      </c>
      <c r="V14" s="2" t="s">
        <v>340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U14" s="2">
        <f t="shared" si="28"/>
        <v>12000</v>
      </c>
      <c r="AW14" s="41">
        <v>0</v>
      </c>
      <c r="AX14">
        <f t="shared" si="2"/>
        <v>12000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5"/>
        <v>80</v>
      </c>
      <c r="BV14">
        <f t="shared" si="6"/>
        <v>4800</v>
      </c>
      <c r="BW14">
        <f t="shared" si="7"/>
        <v>33600</v>
      </c>
      <c r="BX14">
        <f>SUM($BW$5:BW14)</f>
        <v>216000</v>
      </c>
      <c r="BY14">
        <f>SUM($AX$5:AX14)</f>
        <v>182400</v>
      </c>
      <c r="BZ14" s="47">
        <f t="shared" si="8"/>
        <v>0.18421052631578946</v>
      </c>
      <c r="CG14">
        <f t="shared" si="9"/>
        <v>30</v>
      </c>
      <c r="CH14" s="56"/>
      <c r="CI14" s="44">
        <f t="shared" si="10"/>
        <v>10</v>
      </c>
      <c r="CJ14" s="44">
        <f>CI14*'Chest&amp;Cards&amp;Offer'!$J$70</f>
        <v>900</v>
      </c>
      <c r="CK14" s="44"/>
      <c r="CL14" s="44" t="s">
        <v>467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1"/>
        <v>465000</v>
      </c>
      <c r="CZ14">
        <f t="shared" si="29"/>
        <v>45000</v>
      </c>
      <c r="DA14" s="49">
        <v>0</v>
      </c>
      <c r="DB14" s="95">
        <f t="shared" si="12"/>
        <v>45000</v>
      </c>
      <c r="DC14">
        <f>SUM($DB$5:DB14)</f>
        <v>465000</v>
      </c>
      <c r="DD14" s="49">
        <v>0.5</v>
      </c>
      <c r="DE14" s="49">
        <f t="shared" si="13"/>
        <v>0.5</v>
      </c>
      <c r="DF14" s="98">
        <f t="shared" si="14"/>
        <v>22500</v>
      </c>
      <c r="DG14">
        <f>SUM($DF$5:DF14)</f>
        <v>52500</v>
      </c>
      <c r="DH14">
        <f t="shared" si="30"/>
        <v>22500</v>
      </c>
      <c r="DI14">
        <f t="shared" si="15"/>
        <v>22500</v>
      </c>
      <c r="DJ14">
        <f>SUM($DI$5:DI14)</f>
        <v>412500</v>
      </c>
      <c r="DK14">
        <f t="shared" si="16"/>
        <v>30</v>
      </c>
      <c r="DL14">
        <f>SUM($BH$5:BH14)</f>
        <v>80</v>
      </c>
      <c r="DM14">
        <f t="shared" si="17"/>
        <v>55</v>
      </c>
      <c r="DN14" s="55"/>
      <c r="DO14" s="55"/>
      <c r="DP14">
        <f t="shared" si="18"/>
        <v>13750</v>
      </c>
      <c r="DQ14" s="55"/>
      <c r="DR14">
        <f>VLOOKUP(DK14,StarIdelRewards!A:I,9,FALSE)*BV14</f>
        <v>28800</v>
      </c>
      <c r="DS14">
        <f t="shared" si="19"/>
        <v>22500</v>
      </c>
      <c r="DT14">
        <f>SUM($DR$5:DR14)</f>
        <v>168000</v>
      </c>
      <c r="DU14" s="47">
        <f t="shared" si="20"/>
        <v>-0.6875</v>
      </c>
      <c r="DV14">
        <f t="shared" si="21"/>
        <v>4.6875</v>
      </c>
      <c r="DX14">
        <f t="shared" si="22"/>
        <v>0</v>
      </c>
      <c r="DY14">
        <f t="shared" si="23"/>
        <v>0</v>
      </c>
      <c r="DZ14" s="55"/>
      <c r="EB14">
        <f t="shared" si="24"/>
        <v>0</v>
      </c>
      <c r="EC14">
        <f>B14*(3-1.333)*'Chest&amp;Cards&amp;Offer'!$J$70/100</f>
        <v>15.003000000000002</v>
      </c>
      <c r="ED14">
        <f t="shared" si="25"/>
        <v>15.003000000000002</v>
      </c>
      <c r="EE14">
        <f t="shared" si="26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7"/>
        <v>100</v>
      </c>
      <c r="ES14" s="7">
        <f>SUM(EH14:EO14)</f>
        <v>356</v>
      </c>
    </row>
    <row r="15" spans="1:24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6"/>
      <c r="G15" t="str">
        <f t="shared" si="1"/>
        <v>紫2</v>
      </c>
      <c r="H15">
        <f>VLOOKUP(G15,Reference1!C:E,3,FALSE)</f>
        <v>521.1</v>
      </c>
      <c r="I15" s="58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U15" s="2">
        <f t="shared" si="28"/>
        <v>60000</v>
      </c>
      <c r="AW15" s="41">
        <v>0</v>
      </c>
      <c r="AX15">
        <f t="shared" si="2"/>
        <v>60000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5"/>
        <v>80</v>
      </c>
      <c r="BV15">
        <f t="shared" si="6"/>
        <v>4800</v>
      </c>
      <c r="BW15">
        <f t="shared" si="7"/>
        <v>33600</v>
      </c>
      <c r="BX15">
        <f>SUM($BW$5:BW15)</f>
        <v>249600</v>
      </c>
      <c r="BY15">
        <f>SUM($AX$5:AX15)</f>
        <v>242400</v>
      </c>
      <c r="BZ15" s="47">
        <f t="shared" si="8"/>
        <v>2.9702970297029702E-2</v>
      </c>
      <c r="CG15">
        <f t="shared" si="9"/>
        <v>33</v>
      </c>
      <c r="CH15" s="56"/>
      <c r="CI15" s="44">
        <f t="shared" si="10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1"/>
        <v>555000</v>
      </c>
      <c r="CZ15">
        <f t="shared" si="29"/>
        <v>90000</v>
      </c>
      <c r="DA15" s="49">
        <v>0</v>
      </c>
      <c r="DB15" s="95">
        <f t="shared" si="12"/>
        <v>90000</v>
      </c>
      <c r="DC15">
        <f>SUM($DB$5:DB15)</f>
        <v>555000</v>
      </c>
      <c r="DD15" s="49">
        <v>0.5</v>
      </c>
      <c r="DE15" s="49">
        <f t="shared" si="13"/>
        <v>0.5</v>
      </c>
      <c r="DF15" s="98">
        <f t="shared" si="14"/>
        <v>45000</v>
      </c>
      <c r="DG15">
        <f>SUM($DF$5:DF15)</f>
        <v>97500</v>
      </c>
      <c r="DH15">
        <f t="shared" si="30"/>
        <v>45000</v>
      </c>
      <c r="DI15">
        <f t="shared" si="15"/>
        <v>45000</v>
      </c>
      <c r="DJ15">
        <f>SUM($DI$5:DI15)</f>
        <v>457500</v>
      </c>
      <c r="DK15">
        <f t="shared" si="16"/>
        <v>33</v>
      </c>
      <c r="DL15">
        <f>SUM($BH$5:BH15)</f>
        <v>90</v>
      </c>
      <c r="DM15">
        <f t="shared" si="17"/>
        <v>62</v>
      </c>
      <c r="DN15" s="55"/>
      <c r="DO15" s="55"/>
      <c r="DP15">
        <f t="shared" si="18"/>
        <v>13863.636363636364</v>
      </c>
      <c r="DQ15" s="55"/>
      <c r="DR15">
        <f>VLOOKUP(DK15,StarIdelRewards!A:I,9,FALSE)*BV15</f>
        <v>28800</v>
      </c>
      <c r="DS15">
        <f t="shared" si="19"/>
        <v>45000</v>
      </c>
      <c r="DT15">
        <f>SUM($DR$5:DR15)</f>
        <v>196800</v>
      </c>
      <c r="DU15" s="47">
        <f t="shared" si="20"/>
        <v>-0.50457317073170727</v>
      </c>
      <c r="DV15">
        <f t="shared" si="21"/>
        <v>9.375</v>
      </c>
      <c r="DX15">
        <f t="shared" si="22"/>
        <v>0</v>
      </c>
      <c r="DY15">
        <f t="shared" si="23"/>
        <v>0</v>
      </c>
      <c r="DZ15" s="55"/>
      <c r="EB15">
        <f t="shared" si="24"/>
        <v>0</v>
      </c>
      <c r="EC15">
        <f>B15*(3-1.333)*'Chest&amp;Cards&amp;Offer'!$J$70/100</f>
        <v>16.503299999999999</v>
      </c>
      <c r="ED15">
        <f t="shared" si="25"/>
        <v>16.503299999999999</v>
      </c>
      <c r="EE15">
        <f t="shared" si="26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7"/>
        <v>130</v>
      </c>
      <c r="ES15" s="7">
        <f>SUM(EH15:EO15)</f>
        <v>386</v>
      </c>
      <c r="EX15" t="s">
        <v>301</v>
      </c>
    </row>
    <row r="16" spans="1:24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6"/>
      <c r="G16" t="str">
        <f t="shared" si="1"/>
        <v>紫3</v>
      </c>
      <c r="H16">
        <f>VLOOKUP(G16,Reference1!C:E,3,FALSE)</f>
        <v>463.20000000000005</v>
      </c>
      <c r="I16" s="58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U16" s="2">
        <f t="shared" si="28"/>
        <v>120000</v>
      </c>
      <c r="AW16" s="41">
        <v>0</v>
      </c>
      <c r="AX16">
        <f t="shared" si="2"/>
        <v>120000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5"/>
        <v>80</v>
      </c>
      <c r="BV16">
        <f t="shared" si="6"/>
        <v>4800</v>
      </c>
      <c r="BW16">
        <f t="shared" si="7"/>
        <v>38400</v>
      </c>
      <c r="BX16">
        <f>SUM($BW$5:BW16)</f>
        <v>288000</v>
      </c>
      <c r="BY16">
        <f>SUM($AX$5:AX16)</f>
        <v>362400</v>
      </c>
      <c r="BZ16" s="47">
        <f t="shared" si="8"/>
        <v>-0.20529801324503311</v>
      </c>
      <c r="CG16">
        <f t="shared" si="9"/>
        <v>36</v>
      </c>
      <c r="CH16" s="56"/>
      <c r="CI16" s="44">
        <f t="shared" si="10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1"/>
        <v>735000</v>
      </c>
      <c r="CZ16">
        <f t="shared" si="29"/>
        <v>180000</v>
      </c>
      <c r="DA16" s="49">
        <v>0</v>
      </c>
      <c r="DB16" s="95">
        <f t="shared" si="12"/>
        <v>180000</v>
      </c>
      <c r="DC16">
        <f>SUM($DB$5:DB16)</f>
        <v>735000</v>
      </c>
      <c r="DD16" s="49">
        <v>0.5</v>
      </c>
      <c r="DE16" s="49">
        <f t="shared" si="13"/>
        <v>0.5</v>
      </c>
      <c r="DF16" s="98">
        <f t="shared" si="14"/>
        <v>90000</v>
      </c>
      <c r="DG16">
        <f>SUM($DF$5:DF16)</f>
        <v>187500</v>
      </c>
      <c r="DH16">
        <f t="shared" si="30"/>
        <v>90000</v>
      </c>
      <c r="DI16">
        <f t="shared" si="15"/>
        <v>90000</v>
      </c>
      <c r="DJ16">
        <f>SUM($DI$5:DI16)</f>
        <v>547500</v>
      </c>
      <c r="DK16">
        <f t="shared" si="16"/>
        <v>36</v>
      </c>
      <c r="DL16">
        <f>SUM($BH$5:BH16)</f>
        <v>100</v>
      </c>
      <c r="DM16">
        <f t="shared" si="17"/>
        <v>68</v>
      </c>
      <c r="DN16" s="55"/>
      <c r="DO16" s="55"/>
      <c r="DP16">
        <f t="shared" si="18"/>
        <v>15208.333333333334</v>
      </c>
      <c r="DQ16" s="55"/>
      <c r="DR16">
        <f>VLOOKUP(DK16,StarIdelRewards!A:I,9,FALSE)*BV16</f>
        <v>33600</v>
      </c>
      <c r="DS16">
        <f t="shared" si="19"/>
        <v>90000</v>
      </c>
      <c r="DT16">
        <f>SUM($DR$5:DR16)</f>
        <v>230400</v>
      </c>
      <c r="DU16" s="47">
        <f t="shared" si="20"/>
        <v>-0.18619791666666666</v>
      </c>
      <c r="DV16">
        <f t="shared" si="21"/>
        <v>18.75</v>
      </c>
      <c r="DX16">
        <f t="shared" si="22"/>
        <v>0</v>
      </c>
      <c r="DY16">
        <f t="shared" si="23"/>
        <v>0</v>
      </c>
      <c r="DZ16" s="55"/>
      <c r="EB16">
        <f t="shared" si="24"/>
        <v>0</v>
      </c>
      <c r="EC16">
        <f>B16*(3-1.333)*'Chest&amp;Cards&amp;Offer'!$J$70/100</f>
        <v>18.003600000000002</v>
      </c>
      <c r="ED16">
        <f t="shared" si="25"/>
        <v>18.003600000000002</v>
      </c>
      <c r="EE16">
        <f t="shared" si="26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7"/>
        <v>190</v>
      </c>
      <c r="ES16" s="7">
        <f>SUM(EH16:EO16)</f>
        <v>446</v>
      </c>
    </row>
    <row r="17" spans="1:154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6"/>
      <c r="G17" t="str">
        <f t="shared" si="1"/>
        <v>紫1</v>
      </c>
      <c r="H17">
        <f>VLOOKUP(G17,Reference1!C:E,3,FALSE)</f>
        <v>579</v>
      </c>
      <c r="I17" s="58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U17" s="2">
        <f t="shared" si="28"/>
        <v>12000</v>
      </c>
      <c r="AW17" s="41">
        <v>0</v>
      </c>
      <c r="AX17">
        <f t="shared" si="2"/>
        <v>12000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5"/>
        <v>80</v>
      </c>
      <c r="BV17">
        <f t="shared" si="6"/>
        <v>4800</v>
      </c>
      <c r="BW17">
        <f t="shared" si="7"/>
        <v>38400</v>
      </c>
      <c r="BX17">
        <f>SUM($BW$5:BW17)</f>
        <v>326400</v>
      </c>
      <c r="BY17">
        <f>SUM($AX$5:AX17)</f>
        <v>374400</v>
      </c>
      <c r="BZ17" s="47">
        <f t="shared" si="8"/>
        <v>-0.12820512820512819</v>
      </c>
      <c r="CG17">
        <f t="shared" si="9"/>
        <v>39</v>
      </c>
      <c r="CH17" s="56"/>
      <c r="CI17" s="44">
        <f t="shared" si="10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1"/>
        <v>780000</v>
      </c>
      <c r="CZ17">
        <f t="shared" si="29"/>
        <v>45000</v>
      </c>
      <c r="DA17" s="49">
        <v>0</v>
      </c>
      <c r="DB17" s="95">
        <f t="shared" si="12"/>
        <v>45000</v>
      </c>
      <c r="DC17">
        <f>SUM($DB$5:DB17)</f>
        <v>780000</v>
      </c>
      <c r="DD17" s="49">
        <v>0.5</v>
      </c>
      <c r="DE17" s="49">
        <f t="shared" si="13"/>
        <v>0.5</v>
      </c>
      <c r="DF17" s="98">
        <f t="shared" si="14"/>
        <v>22500</v>
      </c>
      <c r="DG17">
        <f>SUM($DF$5:DF17)</f>
        <v>210000</v>
      </c>
      <c r="DH17">
        <f t="shared" si="30"/>
        <v>22500</v>
      </c>
      <c r="DI17">
        <f t="shared" si="15"/>
        <v>22500</v>
      </c>
      <c r="DJ17">
        <f>SUM($DI$5:DI17)</f>
        <v>570000</v>
      </c>
      <c r="DK17">
        <f t="shared" si="16"/>
        <v>39</v>
      </c>
      <c r="DL17">
        <f>SUM($BH$5:BH17)</f>
        <v>110</v>
      </c>
      <c r="DM17">
        <f t="shared" si="17"/>
        <v>75</v>
      </c>
      <c r="DN17" s="55"/>
      <c r="DO17" s="55"/>
      <c r="DP17">
        <f t="shared" si="18"/>
        <v>14615.384615384615</v>
      </c>
      <c r="DQ17" s="55"/>
      <c r="DR17">
        <f>VLOOKUP(DK17,StarIdelRewards!A:I,9,FALSE)*BV17</f>
        <v>33600</v>
      </c>
      <c r="DS17">
        <f t="shared" si="19"/>
        <v>22500</v>
      </c>
      <c r="DT17">
        <f>SUM($DR$5:DR17)</f>
        <v>264000</v>
      </c>
      <c r="DU17" s="47">
        <f t="shared" si="20"/>
        <v>-0.20454545454545456</v>
      </c>
      <c r="DV17">
        <f t="shared" si="21"/>
        <v>4.6875</v>
      </c>
      <c r="DX17">
        <f t="shared" si="22"/>
        <v>0</v>
      </c>
      <c r="DY17">
        <f t="shared" si="23"/>
        <v>0</v>
      </c>
      <c r="DZ17" s="55"/>
      <c r="EB17">
        <f t="shared" si="24"/>
        <v>0</v>
      </c>
      <c r="EC17">
        <f>B17*(3-1.333)*'Chest&amp;Cards&amp;Offer'!$J$70/100</f>
        <v>19.503899999999998</v>
      </c>
      <c r="ED17">
        <f t="shared" si="25"/>
        <v>19.503899999999998</v>
      </c>
      <c r="EE17">
        <f t="shared" si="26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7"/>
        <v>196</v>
      </c>
      <c r="ES17" s="7">
        <f>SUM(EH17:EO17)</f>
        <v>452</v>
      </c>
    </row>
    <row r="18" spans="1:154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6"/>
      <c r="G18" t="str">
        <f t="shared" si="1"/>
        <v>紫2</v>
      </c>
      <c r="H18">
        <f>VLOOKUP(G18,Reference1!C:E,3,FALSE)</f>
        <v>521.1</v>
      </c>
      <c r="I18" s="58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U18" s="2">
        <f t="shared" si="28"/>
        <v>60000</v>
      </c>
      <c r="AW18" s="41">
        <v>0</v>
      </c>
      <c r="AX18">
        <f t="shared" si="2"/>
        <v>60000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5"/>
        <v>80</v>
      </c>
      <c r="BV18">
        <f t="shared" si="6"/>
        <v>4800</v>
      </c>
      <c r="BW18">
        <f t="shared" si="7"/>
        <v>43200</v>
      </c>
      <c r="BX18">
        <f>SUM($BW$5:BW18)</f>
        <v>369600</v>
      </c>
      <c r="BY18">
        <f>SUM($AX$5:AX18)</f>
        <v>434400</v>
      </c>
      <c r="BZ18" s="47">
        <f t="shared" si="8"/>
        <v>-0.14917127071823205</v>
      </c>
      <c r="CG18">
        <f t="shared" si="9"/>
        <v>42</v>
      </c>
      <c r="CH18" s="56"/>
      <c r="CI18" s="44">
        <f t="shared" si="10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1"/>
        <v>870000</v>
      </c>
      <c r="CZ18">
        <f t="shared" si="29"/>
        <v>90000</v>
      </c>
      <c r="DA18" s="49">
        <v>0</v>
      </c>
      <c r="DB18" s="95">
        <f t="shared" si="12"/>
        <v>90000</v>
      </c>
      <c r="DC18">
        <f>SUM($DB$5:DB18)</f>
        <v>870000</v>
      </c>
      <c r="DD18" s="49">
        <v>0.5</v>
      </c>
      <c r="DE18" s="49">
        <f t="shared" si="13"/>
        <v>0.5</v>
      </c>
      <c r="DF18" s="98">
        <f t="shared" si="14"/>
        <v>45000</v>
      </c>
      <c r="DG18">
        <f>SUM($DF$5:DF18)</f>
        <v>255000</v>
      </c>
      <c r="DH18">
        <f t="shared" si="30"/>
        <v>45000</v>
      </c>
      <c r="DI18">
        <f t="shared" si="15"/>
        <v>45000</v>
      </c>
      <c r="DJ18">
        <f>SUM($DI$5:DI18)</f>
        <v>615000</v>
      </c>
      <c r="DK18">
        <f t="shared" si="16"/>
        <v>42</v>
      </c>
      <c r="DL18">
        <f>SUM($BH$5:BH18)</f>
        <v>120</v>
      </c>
      <c r="DM18">
        <f t="shared" si="17"/>
        <v>81</v>
      </c>
      <c r="DN18" s="55"/>
      <c r="DO18" s="55"/>
      <c r="DP18">
        <f t="shared" si="18"/>
        <v>14642.857142857143</v>
      </c>
      <c r="DQ18" s="55"/>
      <c r="DR18">
        <f>VLOOKUP(DK18,StarIdelRewards!A:I,9,FALSE)*BV18</f>
        <v>38400</v>
      </c>
      <c r="DS18">
        <f t="shared" si="19"/>
        <v>45000</v>
      </c>
      <c r="DT18">
        <f>SUM($DR$5:DR18)</f>
        <v>302400</v>
      </c>
      <c r="DU18" s="47">
        <f t="shared" si="20"/>
        <v>-0.15674603174603174</v>
      </c>
      <c r="DV18">
        <f t="shared" si="21"/>
        <v>9.375</v>
      </c>
      <c r="DX18">
        <f t="shared" si="22"/>
        <v>0</v>
      </c>
      <c r="DY18">
        <f t="shared" si="23"/>
        <v>0</v>
      </c>
      <c r="DZ18" s="55"/>
      <c r="EB18">
        <f t="shared" si="24"/>
        <v>0</v>
      </c>
      <c r="EC18">
        <f>B18*(3-1.333)*'Chest&amp;Cards&amp;Offer'!$J$70/100</f>
        <v>21.004200000000001</v>
      </c>
      <c r="ED18">
        <f t="shared" si="25"/>
        <v>21.004200000000001</v>
      </c>
      <c r="EE18">
        <f t="shared" si="26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7"/>
        <v>226</v>
      </c>
      <c r="ES18" s="7">
        <f>SUM(EH18:EO18)</f>
        <v>498</v>
      </c>
    </row>
    <row r="19" spans="1:154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6"/>
      <c r="G19" t="str">
        <f t="shared" si="1"/>
        <v>紫3</v>
      </c>
      <c r="H19">
        <f>VLOOKUP(G19,Reference1!C:E,3,FALSE)</f>
        <v>463.20000000000005</v>
      </c>
      <c r="I19" s="58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554400</v>
      </c>
      <c r="AU19" s="2">
        <f t="shared" si="28"/>
        <v>120000</v>
      </c>
      <c r="AW19" s="41">
        <v>0</v>
      </c>
      <c r="AX19">
        <f t="shared" si="2"/>
        <v>120000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5"/>
        <v>80</v>
      </c>
      <c r="BV19">
        <f t="shared" si="6"/>
        <v>4800</v>
      </c>
      <c r="BW19">
        <f t="shared" si="7"/>
        <v>43200</v>
      </c>
      <c r="BX19">
        <f>SUM($BW$5:BW19)</f>
        <v>412800</v>
      </c>
      <c r="BY19">
        <f>SUM($AX$5:AX19)</f>
        <v>554400</v>
      </c>
      <c r="BZ19" s="47">
        <f t="shared" si="8"/>
        <v>-0.25541125541125542</v>
      </c>
      <c r="CG19">
        <f t="shared" si="9"/>
        <v>45</v>
      </c>
      <c r="CH19" s="56"/>
      <c r="CI19" s="44">
        <f t="shared" si="10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1"/>
        <v>1050000</v>
      </c>
      <c r="CZ19">
        <f t="shared" si="29"/>
        <v>180000</v>
      </c>
      <c r="DA19" s="49">
        <v>0</v>
      </c>
      <c r="DB19" s="95">
        <f t="shared" si="12"/>
        <v>180000</v>
      </c>
      <c r="DC19">
        <f>SUM($DB$5:DB19)</f>
        <v>1050000</v>
      </c>
      <c r="DD19" s="49">
        <v>0.5</v>
      </c>
      <c r="DE19" s="49">
        <f t="shared" si="13"/>
        <v>0.5</v>
      </c>
      <c r="DF19" s="98">
        <f t="shared" si="14"/>
        <v>90000</v>
      </c>
      <c r="DG19">
        <f>SUM($DF$5:DF19)</f>
        <v>345000</v>
      </c>
      <c r="DH19">
        <f t="shared" si="30"/>
        <v>90000</v>
      </c>
      <c r="DI19">
        <f t="shared" si="15"/>
        <v>90000</v>
      </c>
      <c r="DJ19">
        <f>SUM($DI$5:DI19)</f>
        <v>705000</v>
      </c>
      <c r="DK19">
        <f t="shared" si="16"/>
        <v>45</v>
      </c>
      <c r="DL19">
        <f>SUM($BH$5:BH19)</f>
        <v>130</v>
      </c>
      <c r="DM19">
        <f t="shared" si="17"/>
        <v>88</v>
      </c>
      <c r="DN19" s="55"/>
      <c r="DO19" s="55"/>
      <c r="DP19">
        <f t="shared" si="18"/>
        <v>15666.666666666666</v>
      </c>
      <c r="DQ19" s="55"/>
      <c r="DR19">
        <f>VLOOKUP(DK19,StarIdelRewards!A:I,9,FALSE)*BV19</f>
        <v>38400</v>
      </c>
      <c r="DS19">
        <f t="shared" si="19"/>
        <v>90000</v>
      </c>
      <c r="DT19">
        <f>SUM($DR$5:DR19)</f>
        <v>340800</v>
      </c>
      <c r="DU19" s="47">
        <f t="shared" si="20"/>
        <v>1.232394366197183E-2</v>
      </c>
      <c r="DV19">
        <f t="shared" si="21"/>
        <v>18.75</v>
      </c>
      <c r="DX19">
        <f t="shared" si="22"/>
        <v>0</v>
      </c>
      <c r="DY19">
        <f t="shared" si="23"/>
        <v>0</v>
      </c>
      <c r="DZ19" s="55"/>
      <c r="EB19">
        <f t="shared" si="24"/>
        <v>0</v>
      </c>
      <c r="EC19">
        <f>B19*(3-1.333)*'Chest&amp;Cards&amp;Offer'!$J$70/100</f>
        <v>22.504499999999997</v>
      </c>
      <c r="ED19">
        <f t="shared" si="25"/>
        <v>22.504499999999997</v>
      </c>
      <c r="EE19">
        <f t="shared" si="26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7"/>
        <v>286</v>
      </c>
      <c r="ES19" s="7">
        <f>SUM(EH19:EO19)</f>
        <v>638</v>
      </c>
    </row>
    <row r="20" spans="1:154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8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566400</v>
      </c>
      <c r="AU20" s="2">
        <f t="shared" si="28"/>
        <v>12000</v>
      </c>
      <c r="AW20" s="41">
        <v>0</v>
      </c>
      <c r="AX20">
        <f t="shared" si="2"/>
        <v>12000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5"/>
        <v>80</v>
      </c>
      <c r="BV20">
        <f t="shared" si="6"/>
        <v>4800</v>
      </c>
      <c r="BW20">
        <f t="shared" si="7"/>
        <v>48000</v>
      </c>
      <c r="BX20">
        <f>SUM($BW$5:BW20)</f>
        <v>460800</v>
      </c>
      <c r="BY20">
        <f>SUM($AX$5:AX20)</f>
        <v>566400</v>
      </c>
      <c r="BZ20" s="47">
        <f t="shared" si="8"/>
        <v>-0.1864406779661017</v>
      </c>
      <c r="CG20">
        <f t="shared" si="9"/>
        <v>48</v>
      </c>
      <c r="CH20" s="56"/>
      <c r="CI20" s="44">
        <f t="shared" si="10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1"/>
        <v>1110000</v>
      </c>
      <c r="CZ20">
        <f t="shared" si="29"/>
        <v>60000</v>
      </c>
      <c r="DA20" s="49">
        <v>0</v>
      </c>
      <c r="DB20" s="95">
        <f t="shared" si="12"/>
        <v>60000</v>
      </c>
      <c r="DC20">
        <f>SUM($DB$5:DB20)</f>
        <v>1110000</v>
      </c>
      <c r="DD20" s="49">
        <v>0.5</v>
      </c>
      <c r="DE20" s="49">
        <f t="shared" si="13"/>
        <v>0.5</v>
      </c>
      <c r="DF20" s="98">
        <f t="shared" si="14"/>
        <v>30000</v>
      </c>
      <c r="DG20">
        <f>SUM($DF$5:DF20)</f>
        <v>375000</v>
      </c>
      <c r="DH20">
        <f t="shared" si="30"/>
        <v>30000</v>
      </c>
      <c r="DI20">
        <f t="shared" si="15"/>
        <v>30000</v>
      </c>
      <c r="DJ20">
        <f>SUM($DI$5:DI20)</f>
        <v>735000</v>
      </c>
      <c r="DK20">
        <f t="shared" si="16"/>
        <v>48</v>
      </c>
      <c r="DL20">
        <f>SUM($BH$5:BH20)</f>
        <v>136</v>
      </c>
      <c r="DM20">
        <f t="shared" si="17"/>
        <v>92</v>
      </c>
      <c r="DN20" s="55"/>
      <c r="DO20" s="55"/>
      <c r="DP20">
        <f t="shared" si="18"/>
        <v>15312.5</v>
      </c>
      <c r="DQ20" s="55"/>
      <c r="DR20">
        <f>VLOOKUP(DK20,StarIdelRewards!A:I,9,FALSE)*BV20</f>
        <v>43200</v>
      </c>
      <c r="DS20">
        <f t="shared" si="19"/>
        <v>30000</v>
      </c>
      <c r="DT20">
        <f>SUM($DR$5:DR20)</f>
        <v>384000</v>
      </c>
      <c r="DU20" s="47">
        <f t="shared" si="20"/>
        <v>-2.34375E-2</v>
      </c>
      <c r="DV20">
        <f t="shared" si="21"/>
        <v>6.25</v>
      </c>
      <c r="DX20">
        <f t="shared" si="22"/>
        <v>0</v>
      </c>
      <c r="DY20">
        <f t="shared" si="23"/>
        <v>0</v>
      </c>
      <c r="DZ20" s="55"/>
      <c r="EB20">
        <f t="shared" si="24"/>
        <v>0</v>
      </c>
      <c r="EC20">
        <f>B20*(3-1.333)*'Chest&amp;Cards&amp;Offer'!$J$70/100</f>
        <v>24.004799999999999</v>
      </c>
      <c r="ED20">
        <f t="shared" si="25"/>
        <v>24.004799999999999</v>
      </c>
      <c r="EE20">
        <f t="shared" si="26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7"/>
        <v>296</v>
      </c>
      <c r="ES20" s="7">
        <f>SUM(EH20:EO20)</f>
        <v>808</v>
      </c>
    </row>
    <row r="21" spans="1:154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8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686400</v>
      </c>
      <c r="AU21" s="2">
        <f t="shared" si="28"/>
        <v>120000</v>
      </c>
      <c r="AW21" s="41">
        <v>1</v>
      </c>
      <c r="AX21">
        <f t="shared" si="2"/>
        <v>0</v>
      </c>
      <c r="AY21">
        <f t="shared" si="3"/>
        <v>120000</v>
      </c>
      <c r="AZ21">
        <f>SUM($AY$5:AY21)</f>
        <v>120000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5"/>
        <v>80</v>
      </c>
      <c r="BV21">
        <f t="shared" si="6"/>
        <v>4800</v>
      </c>
      <c r="BW21">
        <f t="shared" si="7"/>
        <v>48000</v>
      </c>
      <c r="BX21">
        <f>SUM($BW$5:BW21)</f>
        <v>508800</v>
      </c>
      <c r="BY21">
        <f>SUM($AX$5:AX21)</f>
        <v>566400</v>
      </c>
      <c r="BZ21" s="47">
        <f t="shared" si="8"/>
        <v>-0.10169491525423729</v>
      </c>
      <c r="CG21">
        <f t="shared" si="9"/>
        <v>51</v>
      </c>
      <c r="CH21" s="56"/>
      <c r="CI21" s="44">
        <f t="shared" si="10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1"/>
        <v>1290000</v>
      </c>
      <c r="CZ21">
        <f t="shared" si="29"/>
        <v>180000</v>
      </c>
      <c r="DA21" s="49">
        <v>0</v>
      </c>
      <c r="DB21" s="95">
        <f t="shared" si="12"/>
        <v>180000</v>
      </c>
      <c r="DC21">
        <f>SUM($DB$5:DB21)</f>
        <v>1290000</v>
      </c>
      <c r="DD21" s="49">
        <v>0.5</v>
      </c>
      <c r="DE21" s="49">
        <f t="shared" si="13"/>
        <v>0.5</v>
      </c>
      <c r="DF21" s="98">
        <f t="shared" si="14"/>
        <v>90000</v>
      </c>
      <c r="DG21">
        <f>SUM($DF$5:DF21)</f>
        <v>465000</v>
      </c>
      <c r="DH21">
        <f t="shared" si="30"/>
        <v>90000</v>
      </c>
      <c r="DI21">
        <f t="shared" si="15"/>
        <v>90000</v>
      </c>
      <c r="DJ21">
        <f>SUM($DI$5:DI21)</f>
        <v>825000</v>
      </c>
      <c r="DK21">
        <f t="shared" si="16"/>
        <v>51</v>
      </c>
      <c r="DL21">
        <f>SUM($BH$5:BH21)</f>
        <v>146</v>
      </c>
      <c r="DM21">
        <f t="shared" si="17"/>
        <v>99</v>
      </c>
      <c r="DN21" s="55"/>
      <c r="DO21" s="55"/>
      <c r="DP21">
        <f t="shared" si="18"/>
        <v>16176.470588235294</v>
      </c>
      <c r="DQ21" s="55"/>
      <c r="DR21">
        <f>VLOOKUP(DK21,StarIdelRewards!A:I,9,FALSE)*BV21</f>
        <v>43200</v>
      </c>
      <c r="DS21">
        <f t="shared" si="19"/>
        <v>90000</v>
      </c>
      <c r="DT21">
        <f>SUM($DR$5:DR21)</f>
        <v>427200</v>
      </c>
      <c r="DU21" s="47">
        <f t="shared" si="20"/>
        <v>8.8483146067415724E-2</v>
      </c>
      <c r="DV21">
        <f t="shared" si="21"/>
        <v>18.75</v>
      </c>
      <c r="DX21">
        <f t="shared" si="22"/>
        <v>0</v>
      </c>
      <c r="DY21">
        <f t="shared" si="23"/>
        <v>5</v>
      </c>
      <c r="DZ21" s="55"/>
      <c r="EB21">
        <f t="shared" si="24"/>
        <v>5</v>
      </c>
      <c r="EC21">
        <f>B21*(3-1.333)*'Chest&amp;Cards&amp;Offer'!$J$70/100</f>
        <v>25.505100000000002</v>
      </c>
      <c r="ED21">
        <f t="shared" si="25"/>
        <v>30.505100000000002</v>
      </c>
      <c r="EE21">
        <f t="shared" si="26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7"/>
        <v>356</v>
      </c>
      <c r="ES21" s="7">
        <f>SUM(EH21:EO21)</f>
        <v>868</v>
      </c>
    </row>
    <row r="22" spans="1:154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8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806400</v>
      </c>
      <c r="AU22" s="2">
        <f t="shared" si="28"/>
        <v>120000</v>
      </c>
      <c r="AW22" s="41">
        <v>1</v>
      </c>
      <c r="AX22">
        <f t="shared" si="2"/>
        <v>0</v>
      </c>
      <c r="AY22">
        <f t="shared" si="3"/>
        <v>120000</v>
      </c>
      <c r="AZ22">
        <f>SUM($AY$5:AY22)</f>
        <v>240000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5"/>
        <v>80</v>
      </c>
      <c r="BV22">
        <f t="shared" si="6"/>
        <v>4800</v>
      </c>
      <c r="BW22">
        <f t="shared" si="7"/>
        <v>52800</v>
      </c>
      <c r="BX22">
        <f>SUM($BW$5:BW22)</f>
        <v>561600</v>
      </c>
      <c r="BY22">
        <f>SUM($AX$5:AX22)</f>
        <v>566400</v>
      </c>
      <c r="BZ22" s="47">
        <f t="shared" si="8"/>
        <v>-8.4745762711864406E-3</v>
      </c>
      <c r="CB22">
        <f>BF22</f>
        <v>10</v>
      </c>
      <c r="CC22">
        <f>CB22/2</f>
        <v>5</v>
      </c>
      <c r="CD22" t="s">
        <v>423</v>
      </c>
      <c r="CF22">
        <f>BJ22</f>
        <v>54</v>
      </c>
      <c r="CG22">
        <f>BJ22</f>
        <v>54</v>
      </c>
      <c r="CH22" s="56"/>
      <c r="CI22" s="44">
        <f t="shared" si="10"/>
        <v>18</v>
      </c>
      <c r="CJ22" s="44">
        <f>CI22*'Chest&amp;Cards&amp;Offer'!$J$70</f>
        <v>1620</v>
      </c>
      <c r="CK22" s="44">
        <f>CJ22+BE22/3</f>
        <v>1953.3333333333333</v>
      </c>
      <c r="CN22">
        <f>CK22*2</f>
        <v>3906.6666666666665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1"/>
        <v>1470000</v>
      </c>
      <c r="CZ22">
        <f t="shared" si="29"/>
        <v>180000</v>
      </c>
      <c r="DA22" s="49">
        <v>0</v>
      </c>
      <c r="DB22" s="95">
        <f t="shared" si="12"/>
        <v>180000</v>
      </c>
      <c r="DC22">
        <f>SUM($DB$5:DB22)</f>
        <v>1470000</v>
      </c>
      <c r="DD22" s="49">
        <v>0.5</v>
      </c>
      <c r="DE22" s="49">
        <f t="shared" si="13"/>
        <v>0.5</v>
      </c>
      <c r="DF22" s="98">
        <f t="shared" si="14"/>
        <v>90000</v>
      </c>
      <c r="DG22">
        <f>SUM($DF$5:DF22)</f>
        <v>555000</v>
      </c>
      <c r="DH22">
        <f t="shared" si="30"/>
        <v>90000</v>
      </c>
      <c r="DI22">
        <f t="shared" si="15"/>
        <v>90000</v>
      </c>
      <c r="DJ22">
        <f>SUM($DI$5:DI22)</f>
        <v>915000</v>
      </c>
      <c r="DK22">
        <f t="shared" si="16"/>
        <v>54</v>
      </c>
      <c r="DL22">
        <f>SUM($BH$5:BH22)</f>
        <v>156</v>
      </c>
      <c r="DM22">
        <f t="shared" si="17"/>
        <v>105</v>
      </c>
      <c r="DN22" s="55"/>
      <c r="DO22" s="55"/>
      <c r="DP22">
        <f t="shared" si="18"/>
        <v>16944.444444444445</v>
      </c>
      <c r="DQ22" s="55"/>
      <c r="DR22">
        <f>VLOOKUP(DK22,StarIdelRewards!A:I,9,FALSE)*BV22</f>
        <v>48000</v>
      </c>
      <c r="DS22">
        <f t="shared" si="19"/>
        <v>90000</v>
      </c>
      <c r="DT22">
        <f>SUM($DR$5:DR22)</f>
        <v>475200</v>
      </c>
      <c r="DU22" s="47">
        <f t="shared" si="20"/>
        <v>0.16792929292929293</v>
      </c>
      <c r="DV22">
        <f t="shared" si="21"/>
        <v>18.75</v>
      </c>
      <c r="DX22">
        <f t="shared" si="22"/>
        <v>0</v>
      </c>
      <c r="DY22">
        <f t="shared" si="23"/>
        <v>10</v>
      </c>
      <c r="DZ22" s="55"/>
      <c r="EB22">
        <f t="shared" si="24"/>
        <v>10</v>
      </c>
      <c r="EC22">
        <f>B22*(3-1.333)*'Chest&amp;Cards&amp;Offer'!$J$70/100</f>
        <v>27.005399999999998</v>
      </c>
      <c r="ED22">
        <f t="shared" si="25"/>
        <v>37.005399999999995</v>
      </c>
      <c r="EE22">
        <f t="shared" si="26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7"/>
        <v>416</v>
      </c>
      <c r="ES22" s="7">
        <f>SUM(EH22:EO22)</f>
        <v>928</v>
      </c>
    </row>
    <row r="23" spans="1:154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1">C23&amp;" - " &amp;"Lv"&amp;D23</f>
        <v>橙1 - Lv4</v>
      </c>
      <c r="G23" t="str">
        <f t="shared" ref="G23:G39" si="32">TEXT(SUBSTITUTE(C23,RIGHT(C23,1),"")&amp;D23,0)</f>
        <v>橙4</v>
      </c>
      <c r="H23">
        <f>VLOOKUP(G23,Reference1!C:E,3,FALSE)</f>
        <v>793</v>
      </c>
      <c r="I23" s="59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830400</v>
      </c>
      <c r="AU23" s="11">
        <f t="shared" si="28"/>
        <v>24000</v>
      </c>
      <c r="AW23" s="42">
        <v>0.3</v>
      </c>
      <c r="AX23">
        <f t="shared" si="2"/>
        <v>16800</v>
      </c>
      <c r="AY23">
        <f t="shared" si="3"/>
        <v>7200</v>
      </c>
      <c r="AZ23">
        <f>SUM($AY$5:AY23)</f>
        <v>247200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5"/>
        <v>160</v>
      </c>
      <c r="BV23">
        <f t="shared" si="6"/>
        <v>9600</v>
      </c>
      <c r="BW23">
        <f t="shared" si="7"/>
        <v>105600</v>
      </c>
      <c r="BX23">
        <f>SUM($BW$5:BW23)</f>
        <v>667200</v>
      </c>
      <c r="BY23">
        <f>SUM($AX$5:AX23)</f>
        <v>583200</v>
      </c>
      <c r="BZ23" s="47">
        <f t="shared" si="8"/>
        <v>0.1440329218106996</v>
      </c>
      <c r="CC23" t="s">
        <v>425</v>
      </c>
      <c r="CG23">
        <f t="shared" si="9"/>
        <v>57</v>
      </c>
      <c r="CH23" s="55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1"/>
        <v>1590000</v>
      </c>
      <c r="CZ23">
        <f t="shared" si="29"/>
        <v>120000</v>
      </c>
      <c r="DA23" s="49">
        <v>0.4</v>
      </c>
      <c r="DB23" s="95">
        <f t="shared" si="12"/>
        <v>72000</v>
      </c>
      <c r="DC23">
        <f>SUM($DB$5:DB23)</f>
        <v>1542000</v>
      </c>
      <c r="DD23" s="49">
        <v>0.5</v>
      </c>
      <c r="DE23" s="49">
        <f t="shared" ref="DE23:DE62" si="33">1-DD23</f>
        <v>0.5</v>
      </c>
      <c r="DF23" s="98">
        <f t="shared" si="14"/>
        <v>36000</v>
      </c>
      <c r="DG23">
        <f>SUM($DF$5:DF23)</f>
        <v>591000</v>
      </c>
      <c r="DH23">
        <f t="shared" si="30"/>
        <v>36000</v>
      </c>
      <c r="DI23">
        <f t="shared" si="15"/>
        <v>36000</v>
      </c>
      <c r="DJ23">
        <f>SUM($DI$5:DI23)</f>
        <v>951000</v>
      </c>
      <c r="DK23">
        <f t="shared" si="16"/>
        <v>57</v>
      </c>
      <c r="DL23">
        <f>SUM($BH$5:BH23)</f>
        <v>164</v>
      </c>
      <c r="DM23">
        <f t="shared" si="17"/>
        <v>111</v>
      </c>
      <c r="DN23" s="55">
        <f>SUM(DI23:DI40)</f>
        <v>1986000</v>
      </c>
      <c r="DO23" s="55">
        <f>DK40-DK22</f>
        <v>66</v>
      </c>
      <c r="DP23">
        <f t="shared" si="18"/>
        <v>16684.21052631579</v>
      </c>
      <c r="DQ23" s="55">
        <f>DN23/DO23</f>
        <v>30090.909090909092</v>
      </c>
      <c r="DR23">
        <f>VLOOKUP(DK23,StarIdelRewards!A:I,9,FALSE)*BV23</f>
        <v>96000</v>
      </c>
      <c r="DS23">
        <f t="shared" si="19"/>
        <v>36000</v>
      </c>
      <c r="DT23">
        <f>SUM($DR$5:DR23)</f>
        <v>571200</v>
      </c>
      <c r="DU23" s="47">
        <f t="shared" si="20"/>
        <v>3.4663865546218489E-2</v>
      </c>
      <c r="DV23">
        <f t="shared" si="21"/>
        <v>3.75</v>
      </c>
      <c r="DX23">
        <f t="shared" si="22"/>
        <v>48000</v>
      </c>
      <c r="DY23">
        <f t="shared" si="23"/>
        <v>10.3</v>
      </c>
      <c r="DZ23" s="55"/>
      <c r="EB23">
        <f t="shared" si="24"/>
        <v>10.3</v>
      </c>
      <c r="EC23">
        <f>B23*(3-1.333)*'Chest&amp;Cards&amp;Offer'!$J$70/100</f>
        <v>28.505700000000001</v>
      </c>
      <c r="ED23">
        <f t="shared" si="25"/>
        <v>38.805700000000002</v>
      </c>
      <c r="EE23">
        <f t="shared" si="26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7"/>
        <v>436</v>
      </c>
      <c r="ES23" s="7">
        <f>SUM(EH23:EO23)</f>
        <v>948</v>
      </c>
      <c r="EX23" s="11" t="s">
        <v>303</v>
      </c>
    </row>
    <row r="24" spans="1:154" ht="16" customHeight="1">
      <c r="A24" s="11">
        <v>20</v>
      </c>
      <c r="B24">
        <v>20</v>
      </c>
      <c r="C24" s="13" t="s">
        <v>50</v>
      </c>
      <c r="D24" s="7">
        <v>4</v>
      </c>
      <c r="E24" t="str">
        <f t="shared" si="31"/>
        <v>橙2 - Lv4</v>
      </c>
      <c r="G24" t="str">
        <f t="shared" si="32"/>
        <v>橙4</v>
      </c>
      <c r="H24">
        <f>VLOOKUP(G24,Reference1!C:E,3,FALSE)</f>
        <v>793</v>
      </c>
      <c r="I24" s="59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854400</v>
      </c>
      <c r="AU24" s="11">
        <f t="shared" si="28"/>
        <v>24000</v>
      </c>
      <c r="AW24" s="42">
        <v>0.3</v>
      </c>
      <c r="AX24">
        <f>AU24*(1-AW24)</f>
        <v>16800</v>
      </c>
      <c r="AY24">
        <f t="shared" si="3"/>
        <v>7200</v>
      </c>
      <c r="AZ24">
        <f>SUM($AY$5:AY24)</f>
        <v>254400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5"/>
        <v>160</v>
      </c>
      <c r="BV24">
        <f t="shared" si="6"/>
        <v>9600</v>
      </c>
      <c r="BW24">
        <f t="shared" si="7"/>
        <v>115200</v>
      </c>
      <c r="BX24">
        <f>SUM($BW$5:BW24)</f>
        <v>782400</v>
      </c>
      <c r="BY24">
        <f>SUM($AX$5:AX24)</f>
        <v>600000</v>
      </c>
      <c r="BZ24" s="47">
        <f t="shared" si="8"/>
        <v>0.30399999999999999</v>
      </c>
      <c r="CG24">
        <f t="shared" si="9"/>
        <v>60</v>
      </c>
      <c r="CH24" s="55"/>
      <c r="CI24" s="44">
        <f t="shared" ref="CI24:CJ64" si="34">CI6</f>
        <v>2</v>
      </c>
      <c r="CJ24" s="44">
        <f t="shared" si="34"/>
        <v>180</v>
      </c>
      <c r="CK24" s="43"/>
      <c r="CL24" s="44" t="s">
        <v>470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1"/>
        <v>1710000</v>
      </c>
      <c r="CZ24">
        <f t="shared" si="29"/>
        <v>120000</v>
      </c>
      <c r="DA24" s="49">
        <v>0.4</v>
      </c>
      <c r="DB24" s="95">
        <f t="shared" si="12"/>
        <v>72000</v>
      </c>
      <c r="DC24">
        <f>SUM($DB$5:DB24)</f>
        <v>1614000</v>
      </c>
      <c r="DD24" s="49">
        <v>0.5</v>
      </c>
      <c r="DE24" s="49">
        <f t="shared" si="33"/>
        <v>0.5</v>
      </c>
      <c r="DF24" s="98">
        <f t="shared" si="14"/>
        <v>36000</v>
      </c>
      <c r="DG24">
        <f>SUM($DF$5:DF24)</f>
        <v>627000</v>
      </c>
      <c r="DH24">
        <f t="shared" si="30"/>
        <v>36000</v>
      </c>
      <c r="DI24">
        <f t="shared" si="15"/>
        <v>36000</v>
      </c>
      <c r="DJ24">
        <f>SUM($DI$5:DI24)</f>
        <v>987000</v>
      </c>
      <c r="DK24">
        <f t="shared" si="16"/>
        <v>60</v>
      </c>
      <c r="DL24">
        <f>SUM($BH$5:BH24)</f>
        <v>172</v>
      </c>
      <c r="DM24">
        <f t="shared" si="17"/>
        <v>116</v>
      </c>
      <c r="DN24" s="55"/>
      <c r="DO24" s="55"/>
      <c r="DP24">
        <f t="shared" si="18"/>
        <v>16450</v>
      </c>
      <c r="DQ24" s="55"/>
      <c r="DR24">
        <f>VLOOKUP(DK24,StarIdelRewards!A:I,9,FALSE)*BV24</f>
        <v>105600</v>
      </c>
      <c r="DS24">
        <f t="shared" si="19"/>
        <v>36000</v>
      </c>
      <c r="DT24">
        <f>SUM($DR$5:DR24)</f>
        <v>676800</v>
      </c>
      <c r="DU24" s="47">
        <f t="shared" si="20"/>
        <v>-7.3581560283687938E-2</v>
      </c>
      <c r="DV24">
        <f t="shared" si="21"/>
        <v>3.75</v>
      </c>
      <c r="DX24">
        <f t="shared" si="22"/>
        <v>48000</v>
      </c>
      <c r="DY24">
        <f t="shared" si="23"/>
        <v>10.6</v>
      </c>
      <c r="DZ24" s="55"/>
      <c r="EB24">
        <f t="shared" si="24"/>
        <v>10.6</v>
      </c>
      <c r="EC24">
        <f>B24*(3-1.333)*'Chest&amp;Cards&amp;Offer'!$J$70/100</f>
        <v>30.006000000000004</v>
      </c>
      <c r="ED24">
        <f t="shared" si="25"/>
        <v>40.606000000000002</v>
      </c>
      <c r="EE24">
        <f t="shared" si="26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7"/>
        <v>456</v>
      </c>
      <c r="ES24" s="7">
        <f>SUM(EH24:EO24)</f>
        <v>968</v>
      </c>
      <c r="EX24" t="s">
        <v>304</v>
      </c>
    </row>
    <row r="25" spans="1:154">
      <c r="A25" s="11">
        <v>21</v>
      </c>
      <c r="B25">
        <v>21</v>
      </c>
      <c r="C25" s="13" t="s">
        <v>49</v>
      </c>
      <c r="D25" s="7">
        <v>5</v>
      </c>
      <c r="E25" t="str">
        <f t="shared" si="31"/>
        <v>橙1 - Lv5</v>
      </c>
      <c r="G25" t="str">
        <f t="shared" si="32"/>
        <v>橙5</v>
      </c>
      <c r="H25">
        <f>VLOOKUP(G25,Reference1!C:E,3,FALSE)</f>
        <v>713.7</v>
      </c>
      <c r="I25" s="59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890400</v>
      </c>
      <c r="AU25" s="11">
        <f t="shared" si="28"/>
        <v>36000</v>
      </c>
      <c r="AW25" s="42">
        <v>0.3</v>
      </c>
      <c r="AX25">
        <f>AU25*(1-AW25)</f>
        <v>25200</v>
      </c>
      <c r="AY25">
        <f t="shared" si="3"/>
        <v>10800</v>
      </c>
      <c r="AZ25">
        <f>SUM($AY$5:AY25)</f>
        <v>265200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5"/>
        <v>160</v>
      </c>
      <c r="BV25">
        <f t="shared" si="6"/>
        <v>9600</v>
      </c>
      <c r="BW25">
        <f t="shared" si="7"/>
        <v>115200</v>
      </c>
      <c r="BX25">
        <f>SUM($BW$5:BW25)</f>
        <v>897600</v>
      </c>
      <c r="BY25">
        <f>SUM($AX$5:AX25)</f>
        <v>625200</v>
      </c>
      <c r="BZ25" s="47">
        <f t="shared" si="8"/>
        <v>0.43570057581573896</v>
      </c>
      <c r="CG25">
        <f t="shared" si="9"/>
        <v>63</v>
      </c>
      <c r="CH25" s="55"/>
      <c r="CI25" s="44">
        <f t="shared" si="34"/>
        <v>3</v>
      </c>
      <c r="CJ25" s="44">
        <f t="shared" si="34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1"/>
        <v>2060000</v>
      </c>
      <c r="CZ25">
        <f t="shared" si="29"/>
        <v>350000</v>
      </c>
      <c r="DA25" s="49">
        <v>0.4</v>
      </c>
      <c r="DB25" s="95">
        <f t="shared" si="12"/>
        <v>210000</v>
      </c>
      <c r="DC25">
        <f>SUM($DB$5:DB25)</f>
        <v>1824000</v>
      </c>
      <c r="DD25" s="49">
        <v>0.5</v>
      </c>
      <c r="DE25" s="49">
        <f t="shared" si="33"/>
        <v>0.5</v>
      </c>
      <c r="DF25" s="98">
        <f t="shared" si="14"/>
        <v>105000</v>
      </c>
      <c r="DG25">
        <f>SUM($DF$5:DF25)</f>
        <v>732000</v>
      </c>
      <c r="DH25">
        <f t="shared" si="30"/>
        <v>105000</v>
      </c>
      <c r="DI25">
        <f t="shared" si="15"/>
        <v>105000</v>
      </c>
      <c r="DJ25">
        <f>SUM($DI$5:DI25)</f>
        <v>1092000</v>
      </c>
      <c r="DK25">
        <f t="shared" si="16"/>
        <v>63</v>
      </c>
      <c r="DL25">
        <f>SUM($BH$5:BH25)</f>
        <v>180</v>
      </c>
      <c r="DM25">
        <f t="shared" si="17"/>
        <v>122</v>
      </c>
      <c r="DN25" s="55"/>
      <c r="DO25" s="55"/>
      <c r="DP25">
        <f t="shared" si="18"/>
        <v>17333.333333333332</v>
      </c>
      <c r="DQ25" s="55"/>
      <c r="DR25">
        <f>VLOOKUP(DK25,StarIdelRewards!A:I,9,FALSE)*BV25</f>
        <v>105600</v>
      </c>
      <c r="DS25">
        <f t="shared" si="19"/>
        <v>105000</v>
      </c>
      <c r="DT25">
        <f>SUM($DR$5:DR25)</f>
        <v>782400</v>
      </c>
      <c r="DU25" s="47">
        <f t="shared" si="20"/>
        <v>-6.4417177914110432E-2</v>
      </c>
      <c r="DV25">
        <f t="shared" si="21"/>
        <v>10.9375</v>
      </c>
      <c r="DX25">
        <f t="shared" si="22"/>
        <v>140000</v>
      </c>
      <c r="DY25">
        <f t="shared" si="23"/>
        <v>11.05</v>
      </c>
      <c r="DZ25" s="55"/>
      <c r="EB25">
        <f t="shared" si="24"/>
        <v>11.05</v>
      </c>
      <c r="EC25">
        <f>B25*(3-1.333)*'Chest&amp;Cards&amp;Offer'!$J$70/100</f>
        <v>31.506299999999996</v>
      </c>
      <c r="ED25">
        <f t="shared" si="25"/>
        <v>42.556299999999993</v>
      </c>
      <c r="EE25">
        <f t="shared" si="26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7"/>
        <v>486</v>
      </c>
      <c r="ES25" s="7">
        <f>SUM(EH25:EO25)</f>
        <v>998</v>
      </c>
    </row>
    <row r="26" spans="1:154">
      <c r="A26" s="11">
        <v>22</v>
      </c>
      <c r="B26">
        <v>22</v>
      </c>
      <c r="C26" s="13" t="s">
        <v>50</v>
      </c>
      <c r="D26" s="7">
        <v>5</v>
      </c>
      <c r="E26" t="str">
        <f t="shared" si="31"/>
        <v>橙2 - Lv5</v>
      </c>
      <c r="G26" t="str">
        <f t="shared" si="32"/>
        <v>橙5</v>
      </c>
      <c r="H26">
        <f>VLOOKUP(G26,Reference1!C:E,3,FALSE)</f>
        <v>713.7</v>
      </c>
      <c r="I26" s="59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926400</v>
      </c>
      <c r="AU26" s="11">
        <f t="shared" si="28"/>
        <v>36000</v>
      </c>
      <c r="AW26" s="42">
        <v>0.3</v>
      </c>
      <c r="AX26">
        <f t="shared" si="2"/>
        <v>25200</v>
      </c>
      <c r="AY26">
        <f t="shared" si="3"/>
        <v>10800</v>
      </c>
      <c r="AZ26">
        <f>SUM($AY$5:AY26)</f>
        <v>276000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5"/>
        <v>160</v>
      </c>
      <c r="BV26">
        <f t="shared" si="6"/>
        <v>9600</v>
      </c>
      <c r="BW26">
        <f t="shared" si="7"/>
        <v>124800</v>
      </c>
      <c r="BX26">
        <f>SUM($BW$5:BW26)</f>
        <v>1022400</v>
      </c>
      <c r="BY26">
        <f>SUM($AX$5:AX26)</f>
        <v>650400</v>
      </c>
      <c r="BZ26" s="47">
        <f t="shared" si="8"/>
        <v>0.5719557195571956</v>
      </c>
      <c r="CG26">
        <f t="shared" si="9"/>
        <v>66</v>
      </c>
      <c r="CH26" s="55"/>
      <c r="CI26" s="44">
        <f t="shared" si="34"/>
        <v>4</v>
      </c>
      <c r="CJ26" s="44">
        <f t="shared" si="34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1"/>
        <v>2410000</v>
      </c>
      <c r="CZ26">
        <f t="shared" si="29"/>
        <v>350000</v>
      </c>
      <c r="DA26" s="49">
        <v>0.4</v>
      </c>
      <c r="DB26" s="95">
        <f t="shared" si="12"/>
        <v>210000</v>
      </c>
      <c r="DC26">
        <f>SUM($DB$5:DB26)</f>
        <v>2034000</v>
      </c>
      <c r="DD26" s="49">
        <v>0.5</v>
      </c>
      <c r="DE26" s="49">
        <f t="shared" si="33"/>
        <v>0.5</v>
      </c>
      <c r="DF26" s="98">
        <f t="shared" si="14"/>
        <v>105000</v>
      </c>
      <c r="DG26">
        <f>SUM($DF$5:DF26)</f>
        <v>837000</v>
      </c>
      <c r="DH26">
        <f t="shared" si="30"/>
        <v>105000</v>
      </c>
      <c r="DI26">
        <f t="shared" si="15"/>
        <v>105000</v>
      </c>
      <c r="DJ26">
        <f>SUM($DI$5:DI26)</f>
        <v>1197000</v>
      </c>
      <c r="DK26">
        <f t="shared" si="16"/>
        <v>66</v>
      </c>
      <c r="DL26">
        <f>SUM($BH$5:BH26)</f>
        <v>188</v>
      </c>
      <c r="DM26">
        <f t="shared" si="17"/>
        <v>127</v>
      </c>
      <c r="DN26" s="55"/>
      <c r="DO26" s="55"/>
      <c r="DP26">
        <f t="shared" si="18"/>
        <v>18136.363636363636</v>
      </c>
      <c r="DQ26" s="55"/>
      <c r="DR26">
        <f>VLOOKUP(DK26,StarIdelRewards!A:I,9,FALSE)*BV26</f>
        <v>115200</v>
      </c>
      <c r="DS26">
        <f t="shared" si="19"/>
        <v>105000</v>
      </c>
      <c r="DT26">
        <f>SUM($DR$5:DR26)</f>
        <v>897600</v>
      </c>
      <c r="DU26" s="47">
        <f t="shared" si="20"/>
        <v>-6.7513368983957225E-2</v>
      </c>
      <c r="DV26">
        <f t="shared" si="21"/>
        <v>10.9375</v>
      </c>
      <c r="DX26">
        <f t="shared" si="22"/>
        <v>140000</v>
      </c>
      <c r="DY26">
        <f t="shared" si="23"/>
        <v>11.5</v>
      </c>
      <c r="DZ26" s="55"/>
      <c r="EB26">
        <f t="shared" si="24"/>
        <v>11.5</v>
      </c>
      <c r="EC26">
        <f>B26*(3-1.333)*'Chest&amp;Cards&amp;Offer'!$J$70/100</f>
        <v>33.006599999999999</v>
      </c>
      <c r="ED26">
        <f t="shared" si="25"/>
        <v>44.506599999999999</v>
      </c>
      <c r="EE26">
        <f t="shared" si="26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7"/>
        <v>516</v>
      </c>
      <c r="ES26" s="7">
        <f>SUM(EH26:EO26)</f>
        <v>1028</v>
      </c>
      <c r="EX26" t="s">
        <v>305</v>
      </c>
    </row>
    <row r="27" spans="1:154">
      <c r="A27" s="11">
        <v>23</v>
      </c>
      <c r="B27">
        <v>23</v>
      </c>
      <c r="C27" s="14" t="s">
        <v>51</v>
      </c>
      <c r="D27" s="7">
        <v>4</v>
      </c>
      <c r="E27" t="str">
        <f t="shared" si="31"/>
        <v>紫1 - Lv4</v>
      </c>
      <c r="G27" t="str">
        <f t="shared" si="32"/>
        <v>紫4</v>
      </c>
      <c r="H27">
        <f>VLOOKUP(G27,Reference1!C:E,3,FALSE)</f>
        <v>1179</v>
      </c>
      <c r="I27" s="59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1166400</v>
      </c>
      <c r="AU27" s="11">
        <f t="shared" si="28"/>
        <v>240000</v>
      </c>
      <c r="AW27" s="42">
        <v>0.3</v>
      </c>
      <c r="AX27">
        <f t="shared" si="2"/>
        <v>168000</v>
      </c>
      <c r="AY27">
        <f t="shared" si="3"/>
        <v>72000</v>
      </c>
      <c r="AZ27">
        <f>SUM($AY$5:AY27)</f>
        <v>348000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5"/>
        <v>160</v>
      </c>
      <c r="BV27">
        <f t="shared" si="6"/>
        <v>9600</v>
      </c>
      <c r="BW27">
        <f t="shared" si="7"/>
        <v>134400</v>
      </c>
      <c r="BX27">
        <f>SUM($BW$5:BW27)</f>
        <v>1156800</v>
      </c>
      <c r="BY27">
        <f>SUM($AX$5:AX27)</f>
        <v>818400</v>
      </c>
      <c r="BZ27" s="47">
        <f t="shared" si="8"/>
        <v>0.41348973607038125</v>
      </c>
      <c r="CG27">
        <f t="shared" si="9"/>
        <v>70</v>
      </c>
      <c r="CH27" s="55"/>
      <c r="CI27" s="44">
        <f t="shared" si="34"/>
        <v>5</v>
      </c>
      <c r="CJ27" s="44">
        <f t="shared" si="34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1"/>
        <v>2680000</v>
      </c>
      <c r="CZ27">
        <f t="shared" si="29"/>
        <v>270000</v>
      </c>
      <c r="DA27" s="49">
        <v>0.4</v>
      </c>
      <c r="DB27" s="95">
        <f t="shared" si="12"/>
        <v>162000</v>
      </c>
      <c r="DC27">
        <f>SUM($DB$5:DB27)</f>
        <v>2196000</v>
      </c>
      <c r="DD27" s="49">
        <v>0.5</v>
      </c>
      <c r="DE27" s="49">
        <f t="shared" si="33"/>
        <v>0.5</v>
      </c>
      <c r="DF27" s="98">
        <f t="shared" si="14"/>
        <v>81000</v>
      </c>
      <c r="DG27">
        <f>SUM($DF$5:DF27)</f>
        <v>918000</v>
      </c>
      <c r="DH27">
        <f t="shared" si="30"/>
        <v>81000</v>
      </c>
      <c r="DI27">
        <f t="shared" si="15"/>
        <v>81000</v>
      </c>
      <c r="DJ27">
        <f>SUM($DI$5:DI27)</f>
        <v>1278000</v>
      </c>
      <c r="DK27">
        <f t="shared" si="16"/>
        <v>70</v>
      </c>
      <c r="DL27">
        <f>SUM($BH$5:BH27)</f>
        <v>200</v>
      </c>
      <c r="DM27">
        <f t="shared" si="17"/>
        <v>135</v>
      </c>
      <c r="DN27" s="55"/>
      <c r="DO27" s="55"/>
      <c r="DP27">
        <f t="shared" si="18"/>
        <v>18257.142857142859</v>
      </c>
      <c r="DQ27" s="55"/>
      <c r="DR27">
        <f>VLOOKUP(DK27,StarIdelRewards!A:I,9,FALSE)*BV27</f>
        <v>124800</v>
      </c>
      <c r="DS27">
        <f t="shared" si="19"/>
        <v>81000</v>
      </c>
      <c r="DT27">
        <f>SUM($DR$5:DR27)</f>
        <v>1022400</v>
      </c>
      <c r="DU27" s="47">
        <f t="shared" si="20"/>
        <v>-0.10211267605633803</v>
      </c>
      <c r="DV27">
        <f t="shared" si="21"/>
        <v>8.4375</v>
      </c>
      <c r="DX27">
        <f t="shared" si="22"/>
        <v>108000</v>
      </c>
      <c r="DY27">
        <f t="shared" si="23"/>
        <v>14.5</v>
      </c>
      <c r="DZ27" s="55"/>
      <c r="EB27">
        <f t="shared" si="24"/>
        <v>14.5</v>
      </c>
      <c r="EC27">
        <f>B27*(3-1.333)*'Chest&amp;Cards&amp;Offer'!$J$70/100</f>
        <v>34.506900000000002</v>
      </c>
      <c r="ED27">
        <f t="shared" si="25"/>
        <v>49.006900000000002</v>
      </c>
      <c r="EE27">
        <f t="shared" si="26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7"/>
        <v>636</v>
      </c>
      <c r="ES27" s="7">
        <f>SUM(EH27:EO27)</f>
        <v>1148</v>
      </c>
      <c r="EX27" t="s">
        <v>306</v>
      </c>
    </row>
    <row r="28" spans="1:154">
      <c r="A28" s="11">
        <v>24</v>
      </c>
      <c r="B28">
        <v>24</v>
      </c>
      <c r="C28" s="14" t="s">
        <v>51</v>
      </c>
      <c r="D28" s="7">
        <v>5</v>
      </c>
      <c r="E28" t="str">
        <f t="shared" si="31"/>
        <v>紫1 - Lv5</v>
      </c>
      <c r="G28" t="str">
        <f t="shared" si="32"/>
        <v>紫5</v>
      </c>
      <c r="H28">
        <f>VLOOKUP(G28,Reference1!C:E,3,FALSE)</f>
        <v>1061.1000000000001</v>
      </c>
      <c r="I28" s="59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1526400</v>
      </c>
      <c r="AU28" s="11">
        <f t="shared" si="28"/>
        <v>360000</v>
      </c>
      <c r="AW28" s="42">
        <v>0.3</v>
      </c>
      <c r="AX28">
        <f t="shared" si="2"/>
        <v>251999.99999999997</v>
      </c>
      <c r="AY28">
        <f t="shared" si="3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5"/>
        <v>160</v>
      </c>
      <c r="BV28">
        <f t="shared" si="6"/>
        <v>9600</v>
      </c>
      <c r="BW28">
        <f t="shared" si="7"/>
        <v>134400</v>
      </c>
      <c r="BX28">
        <f>SUM($BW$5:BW28)</f>
        <v>1291200</v>
      </c>
      <c r="BY28">
        <f>SUM($AX$5:AX28)</f>
        <v>1070400</v>
      </c>
      <c r="BZ28" s="47">
        <f t="shared" si="8"/>
        <v>0.20627802690582961</v>
      </c>
      <c r="CG28">
        <f t="shared" si="9"/>
        <v>74</v>
      </c>
      <c r="CH28" s="55"/>
      <c r="CI28" s="44">
        <f t="shared" si="34"/>
        <v>6</v>
      </c>
      <c r="CJ28" s="44">
        <f t="shared" si="34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1"/>
        <v>3030000</v>
      </c>
      <c r="CZ28">
        <f t="shared" si="29"/>
        <v>350000</v>
      </c>
      <c r="DA28" s="49">
        <v>0.4</v>
      </c>
      <c r="DB28" s="95">
        <f t="shared" si="12"/>
        <v>210000</v>
      </c>
      <c r="DC28">
        <f>SUM($DB$5:DB28)</f>
        <v>2406000</v>
      </c>
      <c r="DD28" s="49">
        <v>0.5</v>
      </c>
      <c r="DE28" s="49">
        <f t="shared" si="33"/>
        <v>0.5</v>
      </c>
      <c r="DF28" s="98">
        <f t="shared" si="14"/>
        <v>105000</v>
      </c>
      <c r="DG28">
        <f>SUM($DF$5:DF28)</f>
        <v>1023000</v>
      </c>
      <c r="DH28">
        <f t="shared" si="30"/>
        <v>105000</v>
      </c>
      <c r="DI28">
        <f t="shared" si="15"/>
        <v>105000</v>
      </c>
      <c r="DJ28">
        <f>SUM($DI$5:DI28)</f>
        <v>1383000</v>
      </c>
      <c r="DK28">
        <f t="shared" si="16"/>
        <v>74</v>
      </c>
      <c r="DL28">
        <f>SUM($BH$5:BH28)</f>
        <v>212</v>
      </c>
      <c r="DM28">
        <f t="shared" si="17"/>
        <v>143</v>
      </c>
      <c r="DN28" s="55"/>
      <c r="DO28" s="55"/>
      <c r="DP28">
        <f t="shared" si="18"/>
        <v>18689.18918918919</v>
      </c>
      <c r="DQ28" s="55"/>
      <c r="DR28">
        <f>VLOOKUP(DK28,StarIdelRewards!A:I,9,FALSE)*BV28</f>
        <v>124800</v>
      </c>
      <c r="DS28">
        <f t="shared" si="19"/>
        <v>105000</v>
      </c>
      <c r="DT28">
        <f>SUM($DR$5:DR28)</f>
        <v>1147200</v>
      </c>
      <c r="DU28" s="47">
        <f t="shared" si="20"/>
        <v>-0.10826359832635983</v>
      </c>
      <c r="DV28">
        <f t="shared" si="21"/>
        <v>10.9375</v>
      </c>
      <c r="DX28">
        <f t="shared" si="22"/>
        <v>140000</v>
      </c>
      <c r="DY28">
        <f t="shared" si="23"/>
        <v>19</v>
      </c>
      <c r="DZ28" s="55"/>
      <c r="EB28">
        <f t="shared" si="24"/>
        <v>19</v>
      </c>
      <c r="EC28">
        <f>B28*(3-1.333)*'Chest&amp;Cards&amp;Offer'!$J$70/100</f>
        <v>36.007200000000005</v>
      </c>
      <c r="ED28">
        <f t="shared" si="25"/>
        <v>55.007200000000005</v>
      </c>
      <c r="EE28">
        <f t="shared" si="26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7"/>
        <v>816</v>
      </c>
      <c r="ES28" s="7">
        <f>SUM(EH28:EO28)</f>
        <v>1328</v>
      </c>
      <c r="EX28" t="s">
        <v>307</v>
      </c>
    </row>
    <row r="29" spans="1:154">
      <c r="A29" s="11">
        <v>25</v>
      </c>
      <c r="B29">
        <v>25</v>
      </c>
      <c r="C29" s="14" t="s">
        <v>104</v>
      </c>
      <c r="D29" s="7">
        <v>4</v>
      </c>
      <c r="E29" t="str">
        <f t="shared" si="31"/>
        <v>紫2 - Lv4</v>
      </c>
      <c r="G29" t="str">
        <f t="shared" si="32"/>
        <v>紫4</v>
      </c>
      <c r="H29">
        <f>VLOOKUP(G29,Reference1!C:E,3,FALSE)</f>
        <v>1179</v>
      </c>
      <c r="I29" s="59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1766400</v>
      </c>
      <c r="AU29" s="11">
        <f t="shared" si="28"/>
        <v>240000</v>
      </c>
      <c r="AW29" s="42">
        <v>0.4</v>
      </c>
      <c r="AX29">
        <f t="shared" si="2"/>
        <v>144000</v>
      </c>
      <c r="AY29">
        <f t="shared" si="3"/>
        <v>96000</v>
      </c>
      <c r="AZ29">
        <f>SUM($AY$5:AY29)</f>
        <v>552000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5"/>
        <v>160</v>
      </c>
      <c r="BV29">
        <f t="shared" si="6"/>
        <v>9600</v>
      </c>
      <c r="BW29">
        <f t="shared" si="7"/>
        <v>144000</v>
      </c>
      <c r="BX29">
        <f>SUM($BW$5:BW29)</f>
        <v>1435200</v>
      </c>
      <c r="BY29">
        <f>SUM($AX$5:AX29)</f>
        <v>1214400</v>
      </c>
      <c r="BZ29" s="47">
        <f t="shared" si="8"/>
        <v>0.18181818181818182</v>
      </c>
      <c r="CG29">
        <f t="shared" si="9"/>
        <v>78</v>
      </c>
      <c r="CH29" s="55"/>
      <c r="CI29" s="44">
        <f t="shared" si="34"/>
        <v>7</v>
      </c>
      <c r="CJ29" s="44">
        <f t="shared" si="34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1"/>
        <v>3300000</v>
      </c>
      <c r="CZ29">
        <f t="shared" si="29"/>
        <v>270000</v>
      </c>
      <c r="DA29" s="49">
        <v>0.4</v>
      </c>
      <c r="DB29" s="95">
        <f t="shared" si="12"/>
        <v>162000</v>
      </c>
      <c r="DC29">
        <f>SUM($DB$5:DB29)</f>
        <v>2568000</v>
      </c>
      <c r="DD29" s="49">
        <v>0.5</v>
      </c>
      <c r="DE29" s="49">
        <f t="shared" si="33"/>
        <v>0.5</v>
      </c>
      <c r="DF29" s="98">
        <f t="shared" si="14"/>
        <v>81000</v>
      </c>
      <c r="DG29">
        <f>SUM($DF$5:DF29)</f>
        <v>1104000</v>
      </c>
      <c r="DH29">
        <f t="shared" si="30"/>
        <v>81000</v>
      </c>
      <c r="DI29">
        <f t="shared" si="15"/>
        <v>81000</v>
      </c>
      <c r="DJ29">
        <f>SUM($DI$5:DI29)</f>
        <v>1464000</v>
      </c>
      <c r="DK29">
        <f t="shared" si="16"/>
        <v>78</v>
      </c>
      <c r="DL29">
        <f>SUM($BH$5:BH29)</f>
        <v>224</v>
      </c>
      <c r="DM29">
        <f t="shared" si="17"/>
        <v>151</v>
      </c>
      <c r="DN29" s="55"/>
      <c r="DO29" s="55"/>
      <c r="DP29">
        <f t="shared" si="18"/>
        <v>18769.23076923077</v>
      </c>
      <c r="DQ29" s="55"/>
      <c r="DR29">
        <f>VLOOKUP(DK29,StarIdelRewards!A:I,9,FALSE)*BV29</f>
        <v>134400</v>
      </c>
      <c r="DS29">
        <f t="shared" si="19"/>
        <v>81000</v>
      </c>
      <c r="DT29">
        <f>SUM($DR$5:DR29)</f>
        <v>1281600</v>
      </c>
      <c r="DU29" s="47">
        <f t="shared" si="20"/>
        <v>-0.13857677902621723</v>
      </c>
      <c r="DV29">
        <f t="shared" si="21"/>
        <v>8.4375</v>
      </c>
      <c r="DX29">
        <f t="shared" si="22"/>
        <v>108000</v>
      </c>
      <c r="DY29">
        <f t="shared" si="23"/>
        <v>23</v>
      </c>
      <c r="DZ29" s="55"/>
      <c r="EB29">
        <f t="shared" si="24"/>
        <v>23</v>
      </c>
      <c r="EC29">
        <f>B29*(3-1.333)*'Chest&amp;Cards&amp;Offer'!$J$70/100</f>
        <v>37.507500000000007</v>
      </c>
      <c r="ED29">
        <f t="shared" si="25"/>
        <v>60.507500000000007</v>
      </c>
      <c r="EE29">
        <f t="shared" si="26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7"/>
        <v>936</v>
      </c>
      <c r="ES29" s="7">
        <f>SUM(EH29:EO29)</f>
        <v>1448</v>
      </c>
      <c r="EX29" t="s">
        <v>308</v>
      </c>
    </row>
    <row r="30" spans="1:154">
      <c r="A30" s="11">
        <v>26</v>
      </c>
      <c r="B30">
        <v>26</v>
      </c>
      <c r="C30" s="14" t="s">
        <v>104</v>
      </c>
      <c r="D30" s="7">
        <v>5</v>
      </c>
      <c r="E30" t="str">
        <f t="shared" si="31"/>
        <v>紫2 - Lv5</v>
      </c>
      <c r="G30" t="str">
        <f t="shared" si="32"/>
        <v>紫5</v>
      </c>
      <c r="H30">
        <f>VLOOKUP(G30,Reference1!C:E,3,FALSE)</f>
        <v>1061.1000000000001</v>
      </c>
      <c r="I30" s="5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2126400</v>
      </c>
      <c r="AU30" s="11">
        <f t="shared" si="28"/>
        <v>360000</v>
      </c>
      <c r="AW30" s="42">
        <v>0.4</v>
      </c>
      <c r="AX30">
        <f t="shared" si="2"/>
        <v>216000</v>
      </c>
      <c r="AY30">
        <f t="shared" si="3"/>
        <v>144000</v>
      </c>
      <c r="AZ30">
        <f>SUM($AY$5:AY30)</f>
        <v>696000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5"/>
        <v>160</v>
      </c>
      <c r="BV30">
        <f t="shared" si="6"/>
        <v>9600</v>
      </c>
      <c r="BW30">
        <f t="shared" si="7"/>
        <v>153600</v>
      </c>
      <c r="BX30">
        <f>SUM($BW$5:BW30)</f>
        <v>1588800</v>
      </c>
      <c r="BY30">
        <f>SUM($AX$5:AX30)</f>
        <v>1430400</v>
      </c>
      <c r="BZ30" s="47">
        <f t="shared" si="8"/>
        <v>0.11073825503355705</v>
      </c>
      <c r="CG30">
        <f t="shared" si="9"/>
        <v>82</v>
      </c>
      <c r="CH30" s="55"/>
      <c r="CI30" s="44">
        <f t="shared" si="34"/>
        <v>8</v>
      </c>
      <c r="CJ30" s="44">
        <f t="shared" si="34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1"/>
        <v>3650000</v>
      </c>
      <c r="CZ30">
        <f t="shared" si="29"/>
        <v>350000</v>
      </c>
      <c r="DA30" s="49">
        <v>0.4</v>
      </c>
      <c r="DB30" s="95">
        <f t="shared" si="12"/>
        <v>210000</v>
      </c>
      <c r="DC30">
        <f>SUM($DB$5:DB30)</f>
        <v>2778000</v>
      </c>
      <c r="DD30" s="49">
        <v>0.5</v>
      </c>
      <c r="DE30" s="49">
        <f t="shared" si="33"/>
        <v>0.5</v>
      </c>
      <c r="DF30" s="98">
        <f t="shared" si="14"/>
        <v>105000</v>
      </c>
      <c r="DG30">
        <f>SUM($DF$5:DF30)</f>
        <v>1209000</v>
      </c>
      <c r="DH30">
        <f t="shared" si="30"/>
        <v>105000</v>
      </c>
      <c r="DI30">
        <f t="shared" si="15"/>
        <v>105000</v>
      </c>
      <c r="DJ30">
        <f>SUM($DI$5:DI30)</f>
        <v>1569000</v>
      </c>
      <c r="DK30">
        <f t="shared" si="16"/>
        <v>82</v>
      </c>
      <c r="DL30">
        <f>SUM($BH$5:BH30)</f>
        <v>236</v>
      </c>
      <c r="DM30">
        <f t="shared" si="17"/>
        <v>159</v>
      </c>
      <c r="DN30" s="55"/>
      <c r="DO30" s="55"/>
      <c r="DP30">
        <f t="shared" si="18"/>
        <v>19134.146341463416</v>
      </c>
      <c r="DQ30" s="55"/>
      <c r="DR30">
        <f>VLOOKUP(DK30,StarIdelRewards!A:I,9,FALSE)*BV30</f>
        <v>144000</v>
      </c>
      <c r="DS30">
        <f t="shared" si="19"/>
        <v>105000</v>
      </c>
      <c r="DT30">
        <f>SUM($DR$5:DR30)</f>
        <v>1425600</v>
      </c>
      <c r="DU30" s="47">
        <f t="shared" si="20"/>
        <v>-0.15193602693602692</v>
      </c>
      <c r="DV30">
        <f t="shared" si="21"/>
        <v>10.9375</v>
      </c>
      <c r="DX30">
        <f t="shared" si="22"/>
        <v>140000</v>
      </c>
      <c r="DY30">
        <f t="shared" si="23"/>
        <v>29</v>
      </c>
      <c r="DZ30" s="55"/>
      <c r="EB30">
        <f t="shared" si="24"/>
        <v>29</v>
      </c>
      <c r="EC30">
        <f>B30*(3-1.333)*'Chest&amp;Cards&amp;Offer'!$J$70/100</f>
        <v>39.007799999999996</v>
      </c>
      <c r="ED30">
        <f t="shared" si="25"/>
        <v>68.007800000000003</v>
      </c>
      <c r="EE30">
        <f t="shared" si="26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7"/>
        <v>1116</v>
      </c>
      <c r="ES30" s="7">
        <f>SUM(EH30:EO30)</f>
        <v>1948</v>
      </c>
      <c r="EX30" t="s">
        <v>309</v>
      </c>
    </row>
    <row r="31" spans="1:154">
      <c r="A31" s="11">
        <v>27</v>
      </c>
      <c r="B31">
        <v>27</v>
      </c>
      <c r="C31" s="14" t="s">
        <v>112</v>
      </c>
      <c r="D31" s="7">
        <v>4</v>
      </c>
      <c r="E31" t="str">
        <f t="shared" si="31"/>
        <v>紫3 - Lv4</v>
      </c>
      <c r="G31" t="str">
        <f t="shared" si="32"/>
        <v>紫4</v>
      </c>
      <c r="H31">
        <f>VLOOKUP(G31,Reference1!C:E,3,FALSE)</f>
        <v>1179</v>
      </c>
      <c r="I31" s="59"/>
      <c r="K31" t="s">
        <v>169</v>
      </c>
      <c r="M31" s="5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341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2366400</v>
      </c>
      <c r="AU31" s="11">
        <f t="shared" si="28"/>
        <v>240000</v>
      </c>
      <c r="AW31" s="42">
        <v>0.4</v>
      </c>
      <c r="AX31">
        <f t="shared" si="2"/>
        <v>144000</v>
      </c>
      <c r="AY31">
        <f t="shared" si="3"/>
        <v>96000</v>
      </c>
      <c r="AZ31">
        <f>SUM($AY$5:AY31)</f>
        <v>792000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5"/>
        <v>160</v>
      </c>
      <c r="BV31">
        <f t="shared" si="6"/>
        <v>9600</v>
      </c>
      <c r="BW31">
        <f t="shared" si="7"/>
        <v>153600</v>
      </c>
      <c r="BX31">
        <f>SUM($BW$5:BW31)</f>
        <v>1742400</v>
      </c>
      <c r="BY31">
        <f>SUM($AX$5:AX31)</f>
        <v>1574400</v>
      </c>
      <c r="BZ31" s="47">
        <f t="shared" si="8"/>
        <v>0.10670731707317073</v>
      </c>
      <c r="CG31">
        <f t="shared" si="9"/>
        <v>86</v>
      </c>
      <c r="CH31" s="55"/>
      <c r="CI31" s="44">
        <f t="shared" si="34"/>
        <v>9</v>
      </c>
      <c r="CJ31" s="44">
        <f t="shared" si="34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1"/>
        <v>3920000</v>
      </c>
      <c r="CZ31">
        <f t="shared" si="29"/>
        <v>270000</v>
      </c>
      <c r="DA31" s="49">
        <v>0.4</v>
      </c>
      <c r="DB31" s="95">
        <f t="shared" si="12"/>
        <v>162000</v>
      </c>
      <c r="DC31">
        <f>SUM($DB$5:DB31)</f>
        <v>2940000</v>
      </c>
      <c r="DD31" s="49">
        <v>0.5</v>
      </c>
      <c r="DE31" s="49">
        <f t="shared" si="33"/>
        <v>0.5</v>
      </c>
      <c r="DF31" s="98">
        <f t="shared" si="14"/>
        <v>81000</v>
      </c>
      <c r="DG31">
        <f>SUM($DF$5:DF31)</f>
        <v>1290000</v>
      </c>
      <c r="DH31">
        <f t="shared" si="30"/>
        <v>81000</v>
      </c>
      <c r="DI31">
        <f t="shared" si="15"/>
        <v>81000</v>
      </c>
      <c r="DJ31">
        <f>SUM($DI$5:DI31)</f>
        <v>1650000</v>
      </c>
      <c r="DK31">
        <f t="shared" si="16"/>
        <v>86</v>
      </c>
      <c r="DL31">
        <f>SUM($BH$5:BH31)</f>
        <v>248</v>
      </c>
      <c r="DM31">
        <f t="shared" si="17"/>
        <v>167</v>
      </c>
      <c r="DN31" s="55"/>
      <c r="DO31" s="55"/>
      <c r="DP31">
        <f t="shared" si="18"/>
        <v>19186.046511627908</v>
      </c>
      <c r="DQ31" s="55"/>
      <c r="DR31">
        <f>VLOOKUP(DK31,StarIdelRewards!A:I,9,FALSE)*BV31</f>
        <v>144000</v>
      </c>
      <c r="DS31">
        <f t="shared" si="19"/>
        <v>81000</v>
      </c>
      <c r="DT31">
        <f>SUM($DR$5:DR31)</f>
        <v>1569600</v>
      </c>
      <c r="DU31" s="47">
        <f t="shared" si="20"/>
        <v>-0.17813455657492355</v>
      </c>
      <c r="DV31">
        <f t="shared" si="21"/>
        <v>8.4375</v>
      </c>
      <c r="DX31">
        <f t="shared" si="22"/>
        <v>108000</v>
      </c>
      <c r="DY31">
        <f t="shared" si="23"/>
        <v>33</v>
      </c>
      <c r="DZ31" s="55"/>
      <c r="EB31">
        <f t="shared" si="24"/>
        <v>33</v>
      </c>
      <c r="EC31">
        <f>B31*(3-1.333)*'Chest&amp;Cards&amp;Offer'!$J$70/100</f>
        <v>40.508099999999999</v>
      </c>
      <c r="ED31">
        <f t="shared" si="25"/>
        <v>73.508099999999999</v>
      </c>
      <c r="EE31">
        <f t="shared" si="26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7"/>
        <v>1236</v>
      </c>
      <c r="ES31" s="7">
        <f>SUM(EH31:EO31)</f>
        <v>2548</v>
      </c>
    </row>
    <row r="32" spans="1:154">
      <c r="A32" s="11">
        <v>28</v>
      </c>
      <c r="B32">
        <v>28</v>
      </c>
      <c r="C32" s="14" t="s">
        <v>112</v>
      </c>
      <c r="D32">
        <v>5</v>
      </c>
      <c r="E32" t="str">
        <f t="shared" si="31"/>
        <v>紫3 - Lv5</v>
      </c>
      <c r="G32" t="str">
        <f t="shared" si="32"/>
        <v>紫5</v>
      </c>
      <c r="H32">
        <f>VLOOKUP(G32,Reference1!C:E,3,FALSE)</f>
        <v>1061.1000000000001</v>
      </c>
      <c r="I32" s="59"/>
      <c r="K32" t="s">
        <v>170</v>
      </c>
      <c r="M32" s="5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2726400</v>
      </c>
      <c r="AU32" s="11">
        <f t="shared" si="28"/>
        <v>360000</v>
      </c>
      <c r="AW32" s="42">
        <v>0.4</v>
      </c>
      <c r="AX32">
        <f t="shared" si="2"/>
        <v>216000</v>
      </c>
      <c r="AY32">
        <f t="shared" si="3"/>
        <v>144000</v>
      </c>
      <c r="AZ32">
        <f>SUM($AY$5:AY32)</f>
        <v>936000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5"/>
        <v>160</v>
      </c>
      <c r="BV32">
        <f t="shared" si="6"/>
        <v>9600</v>
      </c>
      <c r="BW32">
        <f t="shared" si="7"/>
        <v>163200</v>
      </c>
      <c r="BX32">
        <f>SUM($BW$5:BW32)</f>
        <v>1905600</v>
      </c>
      <c r="BY32">
        <f>SUM($AX$5:AX32)</f>
        <v>1790400</v>
      </c>
      <c r="BZ32" s="47">
        <f t="shared" si="8"/>
        <v>6.4343163538873996E-2</v>
      </c>
      <c r="CG32">
        <f t="shared" si="9"/>
        <v>90</v>
      </c>
      <c r="CH32" s="55"/>
      <c r="CI32" s="44">
        <f t="shared" si="34"/>
        <v>10</v>
      </c>
      <c r="CJ32" s="44">
        <f t="shared" si="34"/>
        <v>900</v>
      </c>
      <c r="CK32" s="43"/>
      <c r="CL32" t="s">
        <v>469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1"/>
        <v>4270000</v>
      </c>
      <c r="CZ32">
        <f t="shared" si="29"/>
        <v>350000</v>
      </c>
      <c r="DA32" s="49">
        <v>0.4</v>
      </c>
      <c r="DB32" s="95">
        <f t="shared" si="12"/>
        <v>210000</v>
      </c>
      <c r="DC32">
        <f>SUM($DB$5:DB32)</f>
        <v>3150000</v>
      </c>
      <c r="DD32" s="49">
        <v>0.5</v>
      </c>
      <c r="DE32" s="49">
        <f t="shared" si="33"/>
        <v>0.5</v>
      </c>
      <c r="DF32" s="98">
        <f t="shared" si="14"/>
        <v>105000</v>
      </c>
      <c r="DG32">
        <f>SUM($DF$5:DF32)</f>
        <v>1395000</v>
      </c>
      <c r="DH32">
        <f t="shared" si="30"/>
        <v>105000</v>
      </c>
      <c r="DI32">
        <f t="shared" si="15"/>
        <v>105000</v>
      </c>
      <c r="DJ32">
        <f>SUM($DI$5:DI32)</f>
        <v>1755000</v>
      </c>
      <c r="DK32">
        <f t="shared" si="16"/>
        <v>90</v>
      </c>
      <c r="DL32">
        <f>SUM($BH$5:BH32)</f>
        <v>260</v>
      </c>
      <c r="DM32">
        <f t="shared" si="17"/>
        <v>175</v>
      </c>
      <c r="DN32" s="55"/>
      <c r="DO32" s="55"/>
      <c r="DP32">
        <f t="shared" si="18"/>
        <v>19500</v>
      </c>
      <c r="DQ32" s="55"/>
      <c r="DR32">
        <f>VLOOKUP(DK32,StarIdelRewards!A:I,9,FALSE)*BV32</f>
        <v>153600</v>
      </c>
      <c r="DS32">
        <f t="shared" si="19"/>
        <v>105000</v>
      </c>
      <c r="DT32">
        <f>SUM($DR$5:DR32)</f>
        <v>1723200</v>
      </c>
      <c r="DU32" s="47">
        <f t="shared" si="20"/>
        <v>-0.19045961002785516</v>
      </c>
      <c r="DV32">
        <f t="shared" si="21"/>
        <v>10.9375</v>
      </c>
      <c r="DX32">
        <f>CZ32*DA32</f>
        <v>140000</v>
      </c>
      <c r="DY32">
        <f t="shared" si="23"/>
        <v>39</v>
      </c>
      <c r="DZ32" s="55"/>
      <c r="EB32">
        <f t="shared" si="24"/>
        <v>39</v>
      </c>
      <c r="EC32">
        <f>B32*(3-1.333)*'Chest&amp;Cards&amp;Offer'!$J$70/100</f>
        <v>42.008400000000002</v>
      </c>
      <c r="ED32">
        <f t="shared" si="25"/>
        <v>81.008399999999995</v>
      </c>
      <c r="EE32">
        <f t="shared" si="26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7"/>
        <v>1416</v>
      </c>
      <c r="ES32" s="7">
        <f>SUM(EH32:EO32)</f>
        <v>3528</v>
      </c>
    </row>
    <row r="33" spans="1:191">
      <c r="A33" s="11">
        <v>29</v>
      </c>
      <c r="B33">
        <v>29</v>
      </c>
      <c r="C33" s="14" t="s">
        <v>113</v>
      </c>
      <c r="D33">
        <v>4</v>
      </c>
      <c r="E33" t="str">
        <f t="shared" si="31"/>
        <v>紫4 - Lv4</v>
      </c>
      <c r="G33" t="str">
        <f t="shared" si="32"/>
        <v>紫4</v>
      </c>
      <c r="H33">
        <f>VLOOKUP(G33,Reference1!C:E,3,FALSE)</f>
        <v>1179</v>
      </c>
      <c r="I33" s="59"/>
      <c r="M33" s="5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2966400</v>
      </c>
      <c r="AU33" s="11">
        <f t="shared" si="28"/>
        <v>240000</v>
      </c>
      <c r="AW33" s="42">
        <v>0.4</v>
      </c>
      <c r="AX33">
        <f t="shared" si="2"/>
        <v>144000</v>
      </c>
      <c r="AY33">
        <f t="shared" si="3"/>
        <v>96000</v>
      </c>
      <c r="AZ33">
        <f>SUM($AY$5:AY33)</f>
        <v>1032000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5"/>
        <v>160</v>
      </c>
      <c r="BV33">
        <f t="shared" si="6"/>
        <v>9600</v>
      </c>
      <c r="BW33">
        <f t="shared" si="7"/>
        <v>172800</v>
      </c>
      <c r="BX33">
        <f>SUM($BW$5:BW33)</f>
        <v>2078400</v>
      </c>
      <c r="BY33">
        <f>SUM($AX$5:AX33)</f>
        <v>1934400</v>
      </c>
      <c r="BZ33" s="47">
        <f t="shared" si="8"/>
        <v>7.4441687344913146E-2</v>
      </c>
      <c r="CG33">
        <f t="shared" si="9"/>
        <v>94</v>
      </c>
      <c r="CH33" s="55"/>
      <c r="CI33" s="44">
        <f t="shared" si="34"/>
        <v>11</v>
      </c>
      <c r="CJ33" s="44">
        <f t="shared" si="34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1"/>
        <v>4540000</v>
      </c>
      <c r="CZ33">
        <f t="shared" si="29"/>
        <v>270000</v>
      </c>
      <c r="DA33" s="49">
        <v>0.4</v>
      </c>
      <c r="DB33" s="95">
        <f t="shared" si="12"/>
        <v>162000</v>
      </c>
      <c r="DC33">
        <f>SUM($DB$5:DB33)</f>
        <v>3312000</v>
      </c>
      <c r="DD33" s="49">
        <v>0.5</v>
      </c>
      <c r="DE33" s="49">
        <f t="shared" si="33"/>
        <v>0.5</v>
      </c>
      <c r="DF33" s="98">
        <f t="shared" si="14"/>
        <v>81000</v>
      </c>
      <c r="DG33">
        <f>SUM($DF$5:DF33)</f>
        <v>1476000</v>
      </c>
      <c r="DH33">
        <f t="shared" si="30"/>
        <v>81000</v>
      </c>
      <c r="DI33">
        <f t="shared" si="15"/>
        <v>81000</v>
      </c>
      <c r="DJ33">
        <f>SUM($DI$5:DI33)</f>
        <v>1836000</v>
      </c>
      <c r="DK33">
        <f t="shared" si="16"/>
        <v>94</v>
      </c>
      <c r="DL33">
        <f>SUM($BH$5:BH33)</f>
        <v>272</v>
      </c>
      <c r="DM33">
        <f t="shared" si="17"/>
        <v>183</v>
      </c>
      <c r="DN33" s="55"/>
      <c r="DO33" s="55"/>
      <c r="DP33">
        <f t="shared" si="18"/>
        <v>19531.91489361702</v>
      </c>
      <c r="DQ33" s="55"/>
      <c r="DR33">
        <f>VLOOKUP(DK33,StarIdelRewards!A:I,9,FALSE)*BV33</f>
        <v>163200</v>
      </c>
      <c r="DS33">
        <f t="shared" si="19"/>
        <v>81000</v>
      </c>
      <c r="DT33">
        <f>SUM($DR$5:DR33)</f>
        <v>1886400</v>
      </c>
      <c r="DU33" s="47">
        <f t="shared" si="20"/>
        <v>-0.21755725190839695</v>
      </c>
      <c r="DV33">
        <f t="shared" si="21"/>
        <v>8.4375</v>
      </c>
      <c r="DX33">
        <f t="shared" si="22"/>
        <v>108000</v>
      </c>
      <c r="DY33">
        <f t="shared" si="23"/>
        <v>43</v>
      </c>
      <c r="DZ33" s="55"/>
      <c r="EB33">
        <f>BB33</f>
        <v>43</v>
      </c>
      <c r="EC33">
        <f>B33*(3-1.333)*'Chest&amp;Cards&amp;Offer'!$J$70/100</f>
        <v>43.508699999999997</v>
      </c>
      <c r="ED33">
        <f t="shared" si="25"/>
        <v>86.508700000000005</v>
      </c>
      <c r="EE33">
        <f t="shared" si="26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7"/>
        <v>1536</v>
      </c>
      <c r="ES33" s="7">
        <f>SUM(EH33:EO33)</f>
        <v>3648</v>
      </c>
    </row>
    <row r="34" spans="1:191">
      <c r="A34" s="11">
        <v>30</v>
      </c>
      <c r="B34">
        <v>30</v>
      </c>
      <c r="C34" s="14" t="s">
        <v>113</v>
      </c>
      <c r="D34">
        <v>5</v>
      </c>
      <c r="E34" t="str">
        <f t="shared" si="31"/>
        <v>紫4 - Lv5</v>
      </c>
      <c r="G34" t="str">
        <f t="shared" si="32"/>
        <v>紫5</v>
      </c>
      <c r="H34">
        <f>VLOOKUP(G34,Reference1!C:E,3,FALSE)</f>
        <v>1061.1000000000001</v>
      </c>
      <c r="I34" s="59"/>
      <c r="M34" s="5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3326400</v>
      </c>
      <c r="AU34" s="11">
        <f t="shared" si="28"/>
        <v>360000</v>
      </c>
      <c r="AW34" s="42">
        <v>0.4</v>
      </c>
      <c r="AX34">
        <f t="shared" si="2"/>
        <v>216000</v>
      </c>
      <c r="AY34">
        <f t="shared" si="3"/>
        <v>144000</v>
      </c>
      <c r="AZ34">
        <f>SUM($AY$5:AY34)</f>
        <v>1176000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5"/>
        <v>160</v>
      </c>
      <c r="BV34">
        <f t="shared" si="6"/>
        <v>9600</v>
      </c>
      <c r="BW34">
        <f t="shared" si="7"/>
        <v>172800</v>
      </c>
      <c r="BX34">
        <f>SUM($BW$5:BW34)</f>
        <v>2251200</v>
      </c>
      <c r="BY34">
        <f>SUM($AX$5:AX34)</f>
        <v>2150400</v>
      </c>
      <c r="BZ34" s="47">
        <f t="shared" si="8"/>
        <v>4.6875E-2</v>
      </c>
      <c r="CG34">
        <f t="shared" si="9"/>
        <v>98</v>
      </c>
      <c r="CH34" s="55"/>
      <c r="CI34" s="44">
        <f t="shared" si="34"/>
        <v>12</v>
      </c>
      <c r="CJ34" s="44">
        <f t="shared" si="34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1"/>
        <v>4890000</v>
      </c>
      <c r="CZ34">
        <f t="shared" si="29"/>
        <v>350000</v>
      </c>
      <c r="DA34" s="49">
        <v>0.4</v>
      </c>
      <c r="DB34" s="95">
        <f t="shared" si="12"/>
        <v>210000</v>
      </c>
      <c r="DC34">
        <f>SUM($DB$5:DB34)</f>
        <v>3522000</v>
      </c>
      <c r="DD34" s="49">
        <v>0.5</v>
      </c>
      <c r="DE34" s="49">
        <f t="shared" si="33"/>
        <v>0.5</v>
      </c>
      <c r="DF34" s="98">
        <f t="shared" si="14"/>
        <v>105000</v>
      </c>
      <c r="DG34">
        <f>SUM($DF$5:DF34)</f>
        <v>1581000</v>
      </c>
      <c r="DH34">
        <f t="shared" si="30"/>
        <v>105000</v>
      </c>
      <c r="DI34">
        <f t="shared" si="15"/>
        <v>105000</v>
      </c>
      <c r="DJ34">
        <f>SUM($DI$5:DI34)</f>
        <v>1941000</v>
      </c>
      <c r="DK34">
        <f t="shared" si="16"/>
        <v>98</v>
      </c>
      <c r="DL34">
        <f>SUM($BH$5:BH34)</f>
        <v>284</v>
      </c>
      <c r="DM34">
        <f t="shared" si="17"/>
        <v>191</v>
      </c>
      <c r="DN34" s="55"/>
      <c r="DO34" s="55"/>
      <c r="DP34">
        <f t="shared" si="18"/>
        <v>19806.122448979593</v>
      </c>
      <c r="DQ34" s="55"/>
      <c r="DR34">
        <f>VLOOKUP(DK34,StarIdelRewards!A:I,9,FALSE)*BV34</f>
        <v>163200</v>
      </c>
      <c r="DS34">
        <f t="shared" si="19"/>
        <v>105000</v>
      </c>
      <c r="DT34">
        <f>SUM($DR$5:DR34)</f>
        <v>2049600</v>
      </c>
      <c r="DU34" s="47">
        <f t="shared" si="20"/>
        <v>-0.22862997658079626</v>
      </c>
      <c r="DV34">
        <f t="shared" si="21"/>
        <v>10.9375</v>
      </c>
      <c r="DX34">
        <f t="shared" si="22"/>
        <v>140000</v>
      </c>
      <c r="DY34">
        <f t="shared" si="23"/>
        <v>49</v>
      </c>
      <c r="DZ34" s="55"/>
      <c r="EB34">
        <f t="shared" si="24"/>
        <v>49</v>
      </c>
      <c r="EC34">
        <f>B34*(3-1.333)*'Chest&amp;Cards&amp;Offer'!$J$70/100</f>
        <v>45.008999999999993</v>
      </c>
      <c r="ED34">
        <f t="shared" si="25"/>
        <v>94.008999999999986</v>
      </c>
      <c r="EE34">
        <f t="shared" si="26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7"/>
        <v>1716</v>
      </c>
      <c r="ES34" s="7">
        <f>SUM(EH34:EO34)</f>
        <v>3828</v>
      </c>
    </row>
    <row r="35" spans="1:191">
      <c r="A35" s="11">
        <v>31</v>
      </c>
      <c r="B35">
        <v>31</v>
      </c>
      <c r="C35" s="13" t="s">
        <v>49</v>
      </c>
      <c r="D35">
        <v>6</v>
      </c>
      <c r="E35" t="str">
        <f t="shared" ref="E35:E40" si="35">C35&amp;" - " &amp;"Lv"&amp;D35</f>
        <v>橙1 - Lv6</v>
      </c>
      <c r="G35" t="str">
        <f t="shared" si="32"/>
        <v>橙6</v>
      </c>
      <c r="H35">
        <f>VLOOKUP(G35,Reference1!C:E,3,FALSE)</f>
        <v>634.40000000000009</v>
      </c>
      <c r="I35" s="59"/>
      <c r="M35" s="5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3386400</v>
      </c>
      <c r="AU35" s="11">
        <f t="shared" si="28"/>
        <v>60000</v>
      </c>
      <c r="AW35" s="42">
        <v>0.5</v>
      </c>
      <c r="AX35">
        <f t="shared" si="2"/>
        <v>30000</v>
      </c>
      <c r="AY35">
        <f t="shared" si="3"/>
        <v>30000</v>
      </c>
      <c r="AZ35">
        <f>SUM($AY$5:AY35)</f>
        <v>1206000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5"/>
        <v>160</v>
      </c>
      <c r="BV35">
        <f t="shared" si="6"/>
        <v>9600</v>
      </c>
      <c r="BW35">
        <f t="shared" si="7"/>
        <v>182400</v>
      </c>
      <c r="BX35">
        <f>SUM($BW$5:BW35)</f>
        <v>2433600</v>
      </c>
      <c r="BY35">
        <f>SUM($AX$5:AX35)</f>
        <v>2180400</v>
      </c>
      <c r="BZ35" s="47">
        <f t="shared" si="8"/>
        <v>0.11612548156301596</v>
      </c>
      <c r="CG35">
        <f t="shared" si="9"/>
        <v>101</v>
      </c>
      <c r="CH35" s="55"/>
      <c r="CI35" s="44">
        <f t="shared" si="34"/>
        <v>13</v>
      </c>
      <c r="CJ35" s="44">
        <f t="shared" si="34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1"/>
        <v>5290000</v>
      </c>
      <c r="CZ35">
        <f t="shared" si="29"/>
        <v>400000</v>
      </c>
      <c r="DA35" s="49">
        <v>0.4</v>
      </c>
      <c r="DB35" s="95">
        <f t="shared" si="12"/>
        <v>240000</v>
      </c>
      <c r="DC35">
        <f>SUM($DB$5:DB35)</f>
        <v>3762000</v>
      </c>
      <c r="DD35" s="49">
        <v>0.5</v>
      </c>
      <c r="DE35" s="49">
        <f t="shared" si="33"/>
        <v>0.5</v>
      </c>
      <c r="DF35" s="98">
        <f t="shared" si="14"/>
        <v>120000</v>
      </c>
      <c r="DG35">
        <f>SUM($DF$5:DF35)</f>
        <v>1701000</v>
      </c>
      <c r="DH35">
        <f t="shared" si="30"/>
        <v>120000</v>
      </c>
      <c r="DI35">
        <f t="shared" si="15"/>
        <v>120000</v>
      </c>
      <c r="DJ35">
        <f>SUM($DI$5:DI35)</f>
        <v>2061000</v>
      </c>
      <c r="DK35">
        <f t="shared" si="16"/>
        <v>101</v>
      </c>
      <c r="DL35">
        <f>SUM($BH$5:BH35)</f>
        <v>292</v>
      </c>
      <c r="DM35">
        <f t="shared" si="17"/>
        <v>197</v>
      </c>
      <c r="DN35" s="55"/>
      <c r="DO35" s="55"/>
      <c r="DP35">
        <f t="shared" si="18"/>
        <v>20405.940594059404</v>
      </c>
      <c r="DQ35" s="55"/>
      <c r="DR35">
        <f>VLOOKUP(DK35,StarIdelRewards!A:I,9,FALSE)*BV35</f>
        <v>172800</v>
      </c>
      <c r="DS35">
        <f t="shared" si="19"/>
        <v>120000</v>
      </c>
      <c r="DT35">
        <f>SUM($DR$5:DR35)</f>
        <v>2222400</v>
      </c>
      <c r="DU35" s="47">
        <f t="shared" si="20"/>
        <v>-0.23461123110151189</v>
      </c>
      <c r="DV35">
        <f t="shared" si="21"/>
        <v>12.5</v>
      </c>
      <c r="DX35">
        <f t="shared" si="22"/>
        <v>160000</v>
      </c>
      <c r="DY35">
        <f t="shared" si="23"/>
        <v>50.25</v>
      </c>
      <c r="DZ35" s="55"/>
      <c r="EB35">
        <f t="shared" si="24"/>
        <v>50.25</v>
      </c>
      <c r="EC35">
        <f>B35*(3-1.333)*'Chest&amp;Cards&amp;Offer'!$J$70/100</f>
        <v>46.509300000000003</v>
      </c>
      <c r="ED35">
        <f t="shared" si="25"/>
        <v>96.759299999999996</v>
      </c>
      <c r="EE35">
        <f t="shared" si="26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7"/>
        <v>1766</v>
      </c>
      <c r="ES35" s="7">
        <f>SUM(EH35:EO35)</f>
        <v>3878</v>
      </c>
    </row>
    <row r="36" spans="1:191">
      <c r="A36" s="11">
        <v>32</v>
      </c>
      <c r="B36">
        <v>32</v>
      </c>
      <c r="C36" s="13" t="s">
        <v>50</v>
      </c>
      <c r="D36">
        <v>6</v>
      </c>
      <c r="E36" t="str">
        <f t="shared" si="35"/>
        <v>橙2 - Lv6</v>
      </c>
      <c r="G36" t="str">
        <f t="shared" si="32"/>
        <v>橙6</v>
      </c>
      <c r="H36">
        <f>VLOOKUP(G36,Reference1!C:E,3,FALSE)</f>
        <v>634.40000000000009</v>
      </c>
      <c r="I36" s="59"/>
      <c r="K36" t="s">
        <v>171</v>
      </c>
      <c r="M36" s="5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3446400</v>
      </c>
      <c r="AU36" s="11">
        <f t="shared" si="28"/>
        <v>60000</v>
      </c>
      <c r="AW36" s="42">
        <v>0.5</v>
      </c>
      <c r="AX36">
        <f t="shared" si="2"/>
        <v>30000</v>
      </c>
      <c r="AY36">
        <f t="shared" si="3"/>
        <v>30000</v>
      </c>
      <c r="AZ36">
        <f>SUM($AY$5:AY36)</f>
        <v>1236000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5"/>
        <v>160</v>
      </c>
      <c r="BV36">
        <f t="shared" si="6"/>
        <v>9600</v>
      </c>
      <c r="BW36">
        <f t="shared" si="7"/>
        <v>182400</v>
      </c>
      <c r="BX36">
        <f>SUM($BW$5:BW36)</f>
        <v>2616000</v>
      </c>
      <c r="BY36">
        <f>SUM($AX$5:AX36)</f>
        <v>2210400</v>
      </c>
      <c r="BZ36" s="47">
        <f t="shared" si="8"/>
        <v>0.18349619978284473</v>
      </c>
      <c r="CG36">
        <f t="shared" si="9"/>
        <v>104</v>
      </c>
      <c r="CH36" s="55"/>
      <c r="CI36" s="44">
        <f t="shared" si="34"/>
        <v>14</v>
      </c>
      <c r="CJ36" s="44">
        <f t="shared" si="34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1"/>
        <v>5690000</v>
      </c>
      <c r="CZ36">
        <f t="shared" si="29"/>
        <v>400000</v>
      </c>
      <c r="DA36" s="49">
        <v>0.4</v>
      </c>
      <c r="DB36" s="95">
        <f t="shared" si="12"/>
        <v>240000</v>
      </c>
      <c r="DC36">
        <f>SUM($DB$5:DB36)</f>
        <v>4002000</v>
      </c>
      <c r="DD36" s="49">
        <v>0.5</v>
      </c>
      <c r="DE36" s="49">
        <f t="shared" si="33"/>
        <v>0.5</v>
      </c>
      <c r="DF36" s="98">
        <f t="shared" si="14"/>
        <v>120000</v>
      </c>
      <c r="DG36">
        <f>SUM($DF$5:DF36)</f>
        <v>1821000</v>
      </c>
      <c r="DH36">
        <f t="shared" si="30"/>
        <v>120000</v>
      </c>
      <c r="DI36">
        <f t="shared" si="15"/>
        <v>120000</v>
      </c>
      <c r="DJ36">
        <f>SUM($DI$5:DI36)</f>
        <v>2181000</v>
      </c>
      <c r="DK36">
        <f t="shared" si="16"/>
        <v>104</v>
      </c>
      <c r="DL36">
        <f>SUM($BH$5:BH36)</f>
        <v>300</v>
      </c>
      <c r="DM36">
        <f t="shared" si="17"/>
        <v>202</v>
      </c>
      <c r="DN36" s="55"/>
      <c r="DO36" s="55"/>
      <c r="DP36">
        <f t="shared" si="18"/>
        <v>20971.153846153848</v>
      </c>
      <c r="DQ36" s="55"/>
      <c r="DR36">
        <f>VLOOKUP(DK36,StarIdelRewards!A:I,9,FALSE)*BV36</f>
        <v>172800</v>
      </c>
      <c r="DS36">
        <f t="shared" si="19"/>
        <v>120000</v>
      </c>
      <c r="DT36">
        <f>SUM($DR$5:DR36)</f>
        <v>2395200</v>
      </c>
      <c r="DU36" s="47">
        <f t="shared" si="20"/>
        <v>-0.23972945891783567</v>
      </c>
      <c r="DV36">
        <f t="shared" si="21"/>
        <v>12.5</v>
      </c>
      <c r="DX36">
        <f t="shared" si="22"/>
        <v>160000</v>
      </c>
      <c r="DY36">
        <f t="shared" si="23"/>
        <v>51.5</v>
      </c>
      <c r="DZ36" s="55"/>
      <c r="EB36">
        <f t="shared" si="24"/>
        <v>51.5</v>
      </c>
      <c r="EC36">
        <f>B36*(3-1.333)*'Chest&amp;Cards&amp;Offer'!$J$70/100</f>
        <v>48.009599999999999</v>
      </c>
      <c r="ED36">
        <f t="shared" si="25"/>
        <v>99.509600000000006</v>
      </c>
      <c r="EE36">
        <f t="shared" si="26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7"/>
        <v>1816</v>
      </c>
      <c r="ES36" s="7">
        <f>SUM(EH36:EO36)</f>
        <v>4248</v>
      </c>
    </row>
    <row r="37" spans="1:191">
      <c r="A37" s="11">
        <v>33</v>
      </c>
      <c r="B37">
        <v>33</v>
      </c>
      <c r="C37" s="14" t="s">
        <v>51</v>
      </c>
      <c r="D37">
        <v>6</v>
      </c>
      <c r="E37" t="str">
        <f t="shared" si="35"/>
        <v>紫1 - Lv6</v>
      </c>
      <c r="G37" t="str">
        <f t="shared" si="32"/>
        <v>紫6</v>
      </c>
      <c r="H37">
        <f>VLOOKUP(G37,Reference1!C:E,3,FALSE)</f>
        <v>943.2</v>
      </c>
      <c r="I37" s="59"/>
      <c r="K37" t="s">
        <v>172</v>
      </c>
      <c r="M37" s="5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4046400</v>
      </c>
      <c r="AU37" s="11">
        <f t="shared" si="28"/>
        <v>600000</v>
      </c>
      <c r="AW37" s="42">
        <v>0.5</v>
      </c>
      <c r="AX37">
        <f t="shared" si="2"/>
        <v>300000</v>
      </c>
      <c r="AY37">
        <f t="shared" si="3"/>
        <v>300000</v>
      </c>
      <c r="AZ37">
        <f>SUM($AY$5:AY37)</f>
        <v>1536000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5"/>
        <v>160</v>
      </c>
      <c r="BV37">
        <f t="shared" si="6"/>
        <v>9600</v>
      </c>
      <c r="BW37">
        <f t="shared" si="7"/>
        <v>192000</v>
      </c>
      <c r="BX37">
        <f>SUM($BW$5:BW37)</f>
        <v>2808000</v>
      </c>
      <c r="BY37">
        <f>SUM($AX$5:AX37)</f>
        <v>2510400</v>
      </c>
      <c r="BZ37" s="47">
        <f t="shared" si="8"/>
        <v>0.11854684512428298</v>
      </c>
      <c r="CG37">
        <f t="shared" si="9"/>
        <v>108</v>
      </c>
      <c r="CH37" s="55"/>
      <c r="CI37" s="44">
        <f t="shared" si="34"/>
        <v>15</v>
      </c>
      <c r="CJ37" s="44">
        <f t="shared" si="34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1"/>
        <v>6290000</v>
      </c>
      <c r="CZ37">
        <f t="shared" si="29"/>
        <v>600000</v>
      </c>
      <c r="DA37" s="49">
        <v>0.4</v>
      </c>
      <c r="DB37" s="95">
        <f t="shared" si="12"/>
        <v>360000</v>
      </c>
      <c r="DC37">
        <f>SUM($DB$5:DB37)</f>
        <v>4362000</v>
      </c>
      <c r="DD37" s="49">
        <v>0.5</v>
      </c>
      <c r="DE37" s="49">
        <f t="shared" si="33"/>
        <v>0.5</v>
      </c>
      <c r="DF37" s="98">
        <f t="shared" si="14"/>
        <v>180000</v>
      </c>
      <c r="DG37">
        <f>SUM($DF$5:DF37)</f>
        <v>2001000</v>
      </c>
      <c r="DH37">
        <f t="shared" si="30"/>
        <v>180000</v>
      </c>
      <c r="DI37">
        <f t="shared" si="15"/>
        <v>180000</v>
      </c>
      <c r="DJ37">
        <f>SUM($DI$5:DI37)</f>
        <v>2361000</v>
      </c>
      <c r="DK37">
        <f t="shared" si="16"/>
        <v>108</v>
      </c>
      <c r="DL37">
        <f>SUM($BH$5:BH37)</f>
        <v>312</v>
      </c>
      <c r="DM37">
        <f t="shared" si="17"/>
        <v>210</v>
      </c>
      <c r="DN37" s="55"/>
      <c r="DO37" s="55"/>
      <c r="DP37">
        <f t="shared" si="18"/>
        <v>21861.111111111109</v>
      </c>
      <c r="DQ37" s="55"/>
      <c r="DR37">
        <f>VLOOKUP(DK37,StarIdelRewards!A:I,9,FALSE)*BV37</f>
        <v>182400</v>
      </c>
      <c r="DS37">
        <f t="shared" si="19"/>
        <v>180000</v>
      </c>
      <c r="DT37">
        <f>SUM($DR$5:DR37)</f>
        <v>2577600</v>
      </c>
      <c r="DU37" s="47">
        <f t="shared" si="20"/>
        <v>-0.22369646182495345</v>
      </c>
      <c r="DV37">
        <f t="shared" si="21"/>
        <v>18.75</v>
      </c>
      <c r="DX37">
        <f t="shared" si="22"/>
        <v>240000</v>
      </c>
      <c r="DY37">
        <f t="shared" si="23"/>
        <v>64</v>
      </c>
      <c r="DZ37" s="55"/>
      <c r="EB37">
        <f t="shared" si="24"/>
        <v>64</v>
      </c>
      <c r="EC37">
        <f>B37*(3-1.333)*'Chest&amp;Cards&amp;Offer'!$J$70/100</f>
        <v>49.509900000000009</v>
      </c>
      <c r="ED37">
        <f t="shared" si="25"/>
        <v>113.50990000000002</v>
      </c>
      <c r="EE37">
        <f t="shared" si="26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7"/>
        <v>2116</v>
      </c>
      <c r="ES37" s="7">
        <f>SUM(EH37:EO37)</f>
        <v>5028</v>
      </c>
    </row>
    <row r="38" spans="1:191">
      <c r="A38" s="11">
        <v>34</v>
      </c>
      <c r="B38">
        <v>34</v>
      </c>
      <c r="C38" s="14" t="s">
        <v>104</v>
      </c>
      <c r="D38">
        <v>6</v>
      </c>
      <c r="E38" t="str">
        <f t="shared" si="35"/>
        <v>紫2 - Lv6</v>
      </c>
      <c r="G38" t="str">
        <f t="shared" si="32"/>
        <v>紫6</v>
      </c>
      <c r="H38">
        <f>VLOOKUP(G38,Reference1!C:E,3,FALSE)</f>
        <v>943.2</v>
      </c>
      <c r="I38" s="59"/>
      <c r="K38" t="s">
        <v>173</v>
      </c>
      <c r="M38" s="5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4646400</v>
      </c>
      <c r="AU38" s="11">
        <f t="shared" si="28"/>
        <v>600000</v>
      </c>
      <c r="AW38" s="42">
        <v>0.5</v>
      </c>
      <c r="AX38">
        <f t="shared" si="2"/>
        <v>300000</v>
      </c>
      <c r="AY38">
        <f t="shared" si="3"/>
        <v>300000</v>
      </c>
      <c r="AZ38">
        <f>SUM($AY$5:AY38)</f>
        <v>1836000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5"/>
        <v>160</v>
      </c>
      <c r="BV38">
        <f t="shared" si="6"/>
        <v>9600</v>
      </c>
      <c r="BW38">
        <f t="shared" si="7"/>
        <v>201600</v>
      </c>
      <c r="BX38">
        <f>SUM($BW$5:BW38)</f>
        <v>3009600</v>
      </c>
      <c r="BY38">
        <f>SUM($AX$5:AX38)</f>
        <v>2810400</v>
      </c>
      <c r="BZ38" s="47">
        <f t="shared" si="8"/>
        <v>7.0879590093936809E-2</v>
      </c>
      <c r="CG38">
        <f t="shared" si="9"/>
        <v>112</v>
      </c>
      <c r="CH38" s="55"/>
      <c r="CI38" s="44">
        <f t="shared" si="34"/>
        <v>16</v>
      </c>
      <c r="CJ38" s="44">
        <f t="shared" si="34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1"/>
        <v>6890000</v>
      </c>
      <c r="CZ38">
        <f t="shared" si="29"/>
        <v>600000</v>
      </c>
      <c r="DA38" s="49">
        <v>0.4</v>
      </c>
      <c r="DB38" s="95">
        <f t="shared" si="12"/>
        <v>360000</v>
      </c>
      <c r="DC38">
        <f>SUM($DB$5:DB38)</f>
        <v>4722000</v>
      </c>
      <c r="DD38" s="49">
        <v>0.5</v>
      </c>
      <c r="DE38" s="49">
        <f t="shared" si="33"/>
        <v>0.5</v>
      </c>
      <c r="DF38" s="98">
        <f t="shared" si="14"/>
        <v>180000</v>
      </c>
      <c r="DG38">
        <f>SUM($DF$5:DF38)</f>
        <v>2181000</v>
      </c>
      <c r="DH38">
        <f t="shared" si="30"/>
        <v>180000</v>
      </c>
      <c r="DI38">
        <f t="shared" si="15"/>
        <v>180000</v>
      </c>
      <c r="DJ38">
        <f>SUM($DI$5:DI38)</f>
        <v>2541000</v>
      </c>
      <c r="DK38">
        <f t="shared" si="16"/>
        <v>112</v>
      </c>
      <c r="DL38">
        <f>SUM($BH$5:BH38)</f>
        <v>324</v>
      </c>
      <c r="DM38">
        <f t="shared" si="17"/>
        <v>218</v>
      </c>
      <c r="DN38" s="55"/>
      <c r="DO38" s="55"/>
      <c r="DP38">
        <f t="shared" si="18"/>
        <v>22687.5</v>
      </c>
      <c r="DQ38" s="55"/>
      <c r="DR38">
        <f>VLOOKUP(DK38,StarIdelRewards!A:I,9,FALSE)*BV38</f>
        <v>192000</v>
      </c>
      <c r="DS38">
        <f t="shared" si="19"/>
        <v>180000</v>
      </c>
      <c r="DT38">
        <f>SUM($DR$5:DR38)</f>
        <v>2769600</v>
      </c>
      <c r="DU38" s="47">
        <f t="shared" si="20"/>
        <v>-0.21252166377816292</v>
      </c>
      <c r="DV38">
        <f t="shared" si="21"/>
        <v>18.75</v>
      </c>
      <c r="DX38">
        <f t="shared" si="22"/>
        <v>240000</v>
      </c>
      <c r="DY38">
        <f t="shared" si="23"/>
        <v>76.5</v>
      </c>
      <c r="DZ38" s="55"/>
      <c r="EB38">
        <f t="shared" si="24"/>
        <v>76.5</v>
      </c>
      <c r="EC38">
        <f>B38*(3-1.333)*'Chest&amp;Cards&amp;Offer'!$J$70/100</f>
        <v>51.010200000000005</v>
      </c>
      <c r="ED38">
        <f t="shared" si="25"/>
        <v>127.5102</v>
      </c>
      <c r="EE38">
        <f t="shared" si="26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7"/>
        <v>2416</v>
      </c>
      <c r="ES38" s="7">
        <f>SUM(EH38:EO38)</f>
        <v>6128</v>
      </c>
    </row>
    <row r="39" spans="1:191">
      <c r="A39" s="11">
        <v>35</v>
      </c>
      <c r="B39">
        <v>35</v>
      </c>
      <c r="C39" s="14" t="s">
        <v>112</v>
      </c>
      <c r="D39">
        <v>6</v>
      </c>
      <c r="E39" t="str">
        <f t="shared" si="35"/>
        <v>紫3 - Lv6</v>
      </c>
      <c r="G39" t="str">
        <f t="shared" si="32"/>
        <v>紫6</v>
      </c>
      <c r="H39">
        <f>VLOOKUP(G39,Reference1!C:E,3,FALSE)</f>
        <v>943.2</v>
      </c>
      <c r="I39" s="59"/>
      <c r="M39" s="5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5246400</v>
      </c>
      <c r="AU39" s="11">
        <f t="shared" si="28"/>
        <v>600000</v>
      </c>
      <c r="AW39" s="42">
        <v>0.5</v>
      </c>
      <c r="AX39">
        <f t="shared" si="2"/>
        <v>300000</v>
      </c>
      <c r="AY39">
        <f t="shared" si="3"/>
        <v>300000</v>
      </c>
      <c r="AZ39">
        <f>SUM($AY$5:AY39)</f>
        <v>2136000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5"/>
        <v>160</v>
      </c>
      <c r="BV39">
        <f t="shared" si="6"/>
        <v>9600</v>
      </c>
      <c r="BW39">
        <f t="shared" si="7"/>
        <v>201600</v>
      </c>
      <c r="BX39">
        <f>SUM($BW$5:BW39)</f>
        <v>3211200</v>
      </c>
      <c r="BY39">
        <f>SUM($AX$5:AX39)</f>
        <v>3110400</v>
      </c>
      <c r="BZ39" s="47">
        <f t="shared" si="8"/>
        <v>3.2407407407407406E-2</v>
      </c>
      <c r="CG39">
        <f t="shared" si="9"/>
        <v>116</v>
      </c>
      <c r="CH39" s="55"/>
      <c r="CI39" s="44">
        <f t="shared" si="34"/>
        <v>17</v>
      </c>
      <c r="CJ39" s="44">
        <f t="shared" si="34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1"/>
        <v>7490000</v>
      </c>
      <c r="CZ39">
        <f t="shared" si="29"/>
        <v>600000</v>
      </c>
      <c r="DA39" s="49">
        <v>0.4</v>
      </c>
      <c r="DB39" s="95">
        <f t="shared" si="12"/>
        <v>360000</v>
      </c>
      <c r="DC39">
        <f>SUM($DB$5:DB39)</f>
        <v>5082000</v>
      </c>
      <c r="DD39" s="49">
        <v>0.5</v>
      </c>
      <c r="DE39" s="49">
        <f t="shared" si="33"/>
        <v>0.5</v>
      </c>
      <c r="DF39" s="98">
        <f t="shared" si="14"/>
        <v>180000</v>
      </c>
      <c r="DG39">
        <f>SUM($DF$5:DF39)</f>
        <v>2361000</v>
      </c>
      <c r="DH39">
        <f t="shared" si="30"/>
        <v>180000</v>
      </c>
      <c r="DI39">
        <f t="shared" si="15"/>
        <v>180000</v>
      </c>
      <c r="DJ39">
        <f>SUM($DI$5:DI39)</f>
        <v>2721000</v>
      </c>
      <c r="DK39">
        <f t="shared" si="16"/>
        <v>116</v>
      </c>
      <c r="DL39">
        <f>SUM($BH$5:BH39)</f>
        <v>336</v>
      </c>
      <c r="DM39">
        <f t="shared" si="17"/>
        <v>226</v>
      </c>
      <c r="DN39" s="55"/>
      <c r="DO39" s="55"/>
      <c r="DP39">
        <f t="shared" si="18"/>
        <v>23456.896551724138</v>
      </c>
      <c r="DQ39" s="55"/>
      <c r="DR39">
        <f>VLOOKUP(DK39,StarIdelRewards!A:I,9,FALSE)*BV39</f>
        <v>192000</v>
      </c>
      <c r="DS39">
        <f t="shared" si="19"/>
        <v>180000</v>
      </c>
      <c r="DT39">
        <f>SUM($DR$5:DR39)</f>
        <v>2961600</v>
      </c>
      <c r="DU39" s="47">
        <f t="shared" si="20"/>
        <v>-0.20279578606158832</v>
      </c>
      <c r="DV39">
        <f t="shared" si="21"/>
        <v>18.75</v>
      </c>
      <c r="DX39">
        <f t="shared" si="22"/>
        <v>240000</v>
      </c>
      <c r="DY39">
        <f t="shared" si="23"/>
        <v>89</v>
      </c>
      <c r="DZ39" s="55"/>
      <c r="EB39">
        <f t="shared" si="24"/>
        <v>89</v>
      </c>
      <c r="EC39">
        <f>B39*(3-1.333)*'Chest&amp;Cards&amp;Offer'!$J$70/100</f>
        <v>52.5105</v>
      </c>
      <c r="ED39">
        <f t="shared" si="25"/>
        <v>141.51050000000001</v>
      </c>
      <c r="EE39">
        <f t="shared" si="26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7"/>
        <v>2716</v>
      </c>
      <c r="ES39" s="7">
        <f>SUM(EH39:EO39)</f>
        <v>6428</v>
      </c>
    </row>
    <row r="40" spans="1:191">
      <c r="A40" s="11">
        <v>36</v>
      </c>
      <c r="B40">
        <v>36</v>
      </c>
      <c r="C40" s="14" t="s">
        <v>113</v>
      </c>
      <c r="D40">
        <v>6</v>
      </c>
      <c r="E40" t="str">
        <f t="shared" si="35"/>
        <v>紫4 - Lv6</v>
      </c>
      <c r="G40" t="str">
        <f t="shared" ref="G40:G42" si="36">TEXT(SUBSTITUTE(C40,RIGHT(C40,1),"")&amp;D40,0)</f>
        <v>紫6</v>
      </c>
      <c r="H40">
        <f>VLOOKUP(G40,Reference1!C:E,3,FALSE)</f>
        <v>943.2</v>
      </c>
      <c r="I40" s="59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5846400</v>
      </c>
      <c r="AU40" s="11">
        <f t="shared" si="28"/>
        <v>600000</v>
      </c>
      <c r="AW40" s="42">
        <v>0.5</v>
      </c>
      <c r="AX40">
        <f t="shared" si="2"/>
        <v>300000</v>
      </c>
      <c r="AY40">
        <f t="shared" si="3"/>
        <v>300000</v>
      </c>
      <c r="AZ40">
        <f>SUM($AY$5:AY40)</f>
        <v>2436000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5"/>
        <v>160</v>
      </c>
      <c r="BV40">
        <f t="shared" si="6"/>
        <v>9600</v>
      </c>
      <c r="BW40">
        <f t="shared" si="7"/>
        <v>211200</v>
      </c>
      <c r="BX40">
        <f>SUM($BW$5:BW40)</f>
        <v>3422400</v>
      </c>
      <c r="BY40">
        <f>SUM($AX$5:AX40)</f>
        <v>3410400</v>
      </c>
      <c r="BZ40" s="47">
        <f t="shared" si="8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9"/>
        <v>120</v>
      </c>
      <c r="CH40" s="55"/>
      <c r="CI40" s="44">
        <f t="shared" si="34"/>
        <v>18</v>
      </c>
      <c r="CJ40" s="44">
        <f t="shared" si="34"/>
        <v>1620</v>
      </c>
      <c r="CK40" s="44">
        <f>CJ40+BE40/3</f>
        <v>4670</v>
      </c>
      <c r="CN40">
        <f>CK40*2</f>
        <v>9340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1"/>
        <v>8090000</v>
      </c>
      <c r="CZ40">
        <f t="shared" si="29"/>
        <v>600000</v>
      </c>
      <c r="DA40" s="49">
        <v>0.4</v>
      </c>
      <c r="DB40" s="95">
        <f t="shared" si="12"/>
        <v>360000</v>
      </c>
      <c r="DC40">
        <f>SUM($DB$5:DB40)</f>
        <v>5442000</v>
      </c>
      <c r="DD40" s="49">
        <v>0.5</v>
      </c>
      <c r="DE40" s="49">
        <f t="shared" si="33"/>
        <v>0.5</v>
      </c>
      <c r="DF40" s="98">
        <f t="shared" si="14"/>
        <v>180000</v>
      </c>
      <c r="DG40">
        <f>SUM($DF$5:DF40)</f>
        <v>2541000</v>
      </c>
      <c r="DH40">
        <f t="shared" si="30"/>
        <v>180000</v>
      </c>
      <c r="DI40">
        <f t="shared" si="15"/>
        <v>180000</v>
      </c>
      <c r="DJ40">
        <f>SUM($DI$5:DI40)</f>
        <v>2901000</v>
      </c>
      <c r="DK40">
        <f t="shared" si="16"/>
        <v>120</v>
      </c>
      <c r="DL40">
        <f>SUM($BH$5:BH40)</f>
        <v>348</v>
      </c>
      <c r="DM40">
        <f t="shared" si="17"/>
        <v>234</v>
      </c>
      <c r="DN40" s="55"/>
      <c r="DO40" s="55"/>
      <c r="DP40">
        <f t="shared" si="18"/>
        <v>24175</v>
      </c>
      <c r="DQ40" s="55"/>
      <c r="DR40">
        <f>VLOOKUP(DK40,StarIdelRewards!A:I,9,FALSE)*BV40</f>
        <v>201600</v>
      </c>
      <c r="DS40">
        <f t="shared" si="19"/>
        <v>180000</v>
      </c>
      <c r="DT40">
        <f>SUM($DR$5:DR40)</f>
        <v>3163200</v>
      </c>
      <c r="DU40" s="47">
        <f t="shared" si="20"/>
        <v>-0.19669954476479515</v>
      </c>
      <c r="DV40">
        <f t="shared" si="21"/>
        <v>18.75</v>
      </c>
      <c r="DX40">
        <f t="shared" si="22"/>
        <v>240000</v>
      </c>
      <c r="DY40">
        <f t="shared" si="23"/>
        <v>101.5</v>
      </c>
      <c r="DZ40" s="55"/>
      <c r="EB40">
        <f t="shared" si="24"/>
        <v>101.5</v>
      </c>
      <c r="EC40">
        <f>B40*(3-1.333)*'Chest&amp;Cards&amp;Offer'!$J$70/100</f>
        <v>54.010799999999996</v>
      </c>
      <c r="ED40">
        <f t="shared" si="25"/>
        <v>155.51079999999999</v>
      </c>
      <c r="EE40">
        <f t="shared" si="26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7"/>
        <v>3016</v>
      </c>
      <c r="ES40" s="7">
        <f>SUM(EH40:EO40)</f>
        <v>6728</v>
      </c>
      <c r="GE40" t="s">
        <v>252</v>
      </c>
    </row>
    <row r="41" spans="1:191">
      <c r="A41" s="16">
        <v>37</v>
      </c>
      <c r="B41">
        <v>37</v>
      </c>
      <c r="C41" s="13" t="s">
        <v>49</v>
      </c>
      <c r="D41">
        <v>7</v>
      </c>
      <c r="E41" t="str">
        <f t="shared" ref="E41:E57" si="37">C41&amp;" - " &amp;"Lv"&amp;D41</f>
        <v>橙1 - Lv7</v>
      </c>
      <c r="G41" t="str">
        <f t="shared" si="36"/>
        <v>橙7</v>
      </c>
      <c r="H41">
        <f>VLOOKUP(G41,Reference1!C:E,3,FALSE)</f>
        <v>1293</v>
      </c>
      <c r="I41" s="64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5942400</v>
      </c>
      <c r="AU41" s="16">
        <f t="shared" si="28"/>
        <v>96000</v>
      </c>
      <c r="AW41" s="42">
        <v>0.6</v>
      </c>
      <c r="AX41">
        <f t="shared" si="2"/>
        <v>38400</v>
      </c>
      <c r="AY41">
        <f t="shared" si="3"/>
        <v>57600</v>
      </c>
      <c r="AZ41">
        <f>SUM($AY$5:AY41)</f>
        <v>2493600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5"/>
        <v>240</v>
      </c>
      <c r="BV41">
        <f t="shared" si="6"/>
        <v>14400</v>
      </c>
      <c r="BW41">
        <f t="shared" si="7"/>
        <v>316800</v>
      </c>
      <c r="BX41">
        <f>SUM($BW$5:BW41)</f>
        <v>3739200</v>
      </c>
      <c r="BY41">
        <f>SUM($AX$5:AX41)</f>
        <v>3448800</v>
      </c>
      <c r="BZ41" s="47">
        <f t="shared" si="8"/>
        <v>8.4203201113430756E-2</v>
      </c>
      <c r="CC41" t="s">
        <v>426</v>
      </c>
      <c r="CG41">
        <f t="shared" si="9"/>
        <v>124</v>
      </c>
      <c r="CH41" s="55"/>
      <c r="CI41" s="44">
        <f t="shared" si="34"/>
        <v>1</v>
      </c>
      <c r="CJ41" s="44">
        <f t="shared" si="34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1"/>
        <v>8890000</v>
      </c>
      <c r="CZ41">
        <f t="shared" si="29"/>
        <v>800000</v>
      </c>
      <c r="DA41" s="49">
        <v>0.4</v>
      </c>
      <c r="DB41" s="95">
        <f t="shared" si="12"/>
        <v>480000</v>
      </c>
      <c r="DC41">
        <f>SUM($DB$5:DB41)</f>
        <v>5922000</v>
      </c>
      <c r="DD41" s="49">
        <v>0.5</v>
      </c>
      <c r="DE41" s="49">
        <f t="shared" si="33"/>
        <v>0.5</v>
      </c>
      <c r="DF41" s="98">
        <f t="shared" si="14"/>
        <v>240000</v>
      </c>
      <c r="DG41">
        <f>SUM($DF$5:DF41)</f>
        <v>2781000</v>
      </c>
      <c r="DH41">
        <f t="shared" si="30"/>
        <v>240000</v>
      </c>
      <c r="DI41">
        <f t="shared" si="15"/>
        <v>240000</v>
      </c>
      <c r="DJ41">
        <f>SUM($DI$5:DI41)</f>
        <v>3141000</v>
      </c>
      <c r="DK41">
        <f t="shared" si="16"/>
        <v>124</v>
      </c>
      <c r="DL41">
        <f>SUM($BH$5:BH41)</f>
        <v>358</v>
      </c>
      <c r="DM41">
        <f t="shared" si="17"/>
        <v>241</v>
      </c>
      <c r="DN41" s="55">
        <f>SUM(DI41:DI58)</f>
        <v>7320000</v>
      </c>
      <c r="DO41" s="55">
        <f>DK58-DK41</f>
        <v>80</v>
      </c>
      <c r="DP41">
        <f t="shared" si="18"/>
        <v>25330.645161290322</v>
      </c>
      <c r="DQ41" s="55">
        <f>DN41/DO41</f>
        <v>91500</v>
      </c>
      <c r="DR41">
        <f>VLOOKUP(DK41,StarIdelRewards!A:I,9,FALSE)*BV41</f>
        <v>302400</v>
      </c>
      <c r="DS41">
        <f t="shared" si="19"/>
        <v>240000</v>
      </c>
      <c r="DT41">
        <f>SUM($DR$5:DR41)</f>
        <v>3465600</v>
      </c>
      <c r="DU41" s="47">
        <f t="shared" si="20"/>
        <v>-0.19754155124653738</v>
      </c>
      <c r="DV41">
        <f t="shared" si="21"/>
        <v>16.666666666666668</v>
      </c>
      <c r="DX41">
        <f t="shared" si="22"/>
        <v>320000</v>
      </c>
      <c r="DY41">
        <f t="shared" si="23"/>
        <v>103.9</v>
      </c>
      <c r="DZ41" s="55"/>
      <c r="EB41">
        <f t="shared" si="24"/>
        <v>103.9</v>
      </c>
      <c r="EC41">
        <f>B41*(3-1.333)*'Chest&amp;Cards&amp;Offer'!$J$70/100</f>
        <v>55.511100000000006</v>
      </c>
      <c r="ED41">
        <f t="shared" si="25"/>
        <v>159.4111</v>
      </c>
      <c r="EE41">
        <f t="shared" si="26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7"/>
        <v>3096</v>
      </c>
      <c r="ES41" s="7">
        <f>SUM(EH41:EO41)</f>
        <v>6808</v>
      </c>
      <c r="GE41" t="s">
        <v>253</v>
      </c>
    </row>
    <row r="42" spans="1:191">
      <c r="A42" s="16">
        <v>38</v>
      </c>
      <c r="B42">
        <v>38</v>
      </c>
      <c r="C42" s="13" t="s">
        <v>50</v>
      </c>
      <c r="D42">
        <v>7</v>
      </c>
      <c r="E42" t="str">
        <f t="shared" si="37"/>
        <v>橙2 - Lv7</v>
      </c>
      <c r="G42" t="str">
        <f t="shared" si="36"/>
        <v>橙7</v>
      </c>
      <c r="H42">
        <f>VLOOKUP(G42,Reference1!C:E,3,FALSE)</f>
        <v>1293</v>
      </c>
      <c r="I42" s="64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6038400</v>
      </c>
      <c r="AU42" s="16">
        <f t="shared" si="28"/>
        <v>96000</v>
      </c>
      <c r="AW42" s="42">
        <v>0.6</v>
      </c>
      <c r="AX42">
        <f t="shared" si="2"/>
        <v>38400</v>
      </c>
      <c r="AY42">
        <f t="shared" si="3"/>
        <v>57600</v>
      </c>
      <c r="AZ42">
        <f>SUM($AY$5:AY42)</f>
        <v>2551200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5"/>
        <v>240</v>
      </c>
      <c r="BV42">
        <f t="shared" si="6"/>
        <v>14400</v>
      </c>
      <c r="BW42">
        <f t="shared" si="7"/>
        <v>316800</v>
      </c>
      <c r="BX42">
        <f>SUM($BW$5:BW42)</f>
        <v>4056000</v>
      </c>
      <c r="BY42">
        <f>SUM($AX$5:AX42)</f>
        <v>3487200</v>
      </c>
      <c r="BZ42" s="47">
        <f t="shared" si="8"/>
        <v>0.16311080523055746</v>
      </c>
      <c r="CG42">
        <f t="shared" si="9"/>
        <v>128</v>
      </c>
      <c r="CH42" s="55"/>
      <c r="CI42" s="44">
        <f t="shared" si="34"/>
        <v>2</v>
      </c>
      <c r="CJ42" s="44">
        <f t="shared" si="34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1"/>
        <v>9690000</v>
      </c>
      <c r="CZ42">
        <f t="shared" si="29"/>
        <v>800000</v>
      </c>
      <c r="DA42" s="49">
        <v>0.4</v>
      </c>
      <c r="DB42" s="95">
        <f t="shared" si="12"/>
        <v>480000</v>
      </c>
      <c r="DC42">
        <f>SUM($DB$5:DB42)</f>
        <v>6402000</v>
      </c>
      <c r="DD42" s="49">
        <v>0.5</v>
      </c>
      <c r="DE42" s="49">
        <f t="shared" si="33"/>
        <v>0.5</v>
      </c>
      <c r="DF42" s="98">
        <f t="shared" si="14"/>
        <v>240000</v>
      </c>
      <c r="DG42">
        <f>SUM($DF$5:DF42)</f>
        <v>3021000</v>
      </c>
      <c r="DH42">
        <f t="shared" si="30"/>
        <v>240000</v>
      </c>
      <c r="DI42">
        <f t="shared" si="15"/>
        <v>240000</v>
      </c>
      <c r="DJ42">
        <f>SUM($DI$5:DI42)</f>
        <v>3381000</v>
      </c>
      <c r="DK42">
        <f t="shared" si="16"/>
        <v>128</v>
      </c>
      <c r="DL42">
        <f>SUM($BH$5:BH42)</f>
        <v>368</v>
      </c>
      <c r="DM42">
        <f t="shared" si="17"/>
        <v>248</v>
      </c>
      <c r="DN42" s="55"/>
      <c r="DO42" s="55"/>
      <c r="DP42">
        <f t="shared" si="18"/>
        <v>26414.0625</v>
      </c>
      <c r="DQ42" s="55"/>
      <c r="DR42">
        <f>VLOOKUP(DK42,StarIdelRewards!A:I,9,FALSE)*BV42</f>
        <v>302400</v>
      </c>
      <c r="DS42">
        <f t="shared" si="19"/>
        <v>240000</v>
      </c>
      <c r="DT42">
        <f>SUM($DR$5:DR42)</f>
        <v>3768000</v>
      </c>
      <c r="DU42" s="47">
        <f t="shared" si="20"/>
        <v>-0.19824840764331211</v>
      </c>
      <c r="DV42">
        <f t="shared" si="21"/>
        <v>16.666666666666668</v>
      </c>
      <c r="DX42">
        <f t="shared" si="22"/>
        <v>320000</v>
      </c>
      <c r="DY42">
        <f t="shared" si="23"/>
        <v>106.3</v>
      </c>
      <c r="DZ42" s="55"/>
      <c r="EB42">
        <f t="shared" si="24"/>
        <v>106.3</v>
      </c>
      <c r="EC42">
        <f>B42*(3-1.333)*'Chest&amp;Cards&amp;Offer'!$J$70/100</f>
        <v>57.011400000000002</v>
      </c>
      <c r="ED42">
        <f t="shared" si="25"/>
        <v>163.31139999999999</v>
      </c>
      <c r="EE42">
        <f t="shared" si="26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7"/>
        <v>3176</v>
      </c>
      <c r="ES42" s="7">
        <f>SUM(EH42:EO42)</f>
        <v>6888</v>
      </c>
      <c r="GE42" s="25" t="s">
        <v>255</v>
      </c>
      <c r="GF42" s="25"/>
      <c r="GG42" s="25"/>
      <c r="GH42" s="25"/>
    </row>
    <row r="43" spans="1:191">
      <c r="A43" s="16">
        <v>39</v>
      </c>
      <c r="B43">
        <v>39</v>
      </c>
      <c r="C43" s="13" t="s">
        <v>49</v>
      </c>
      <c r="D43">
        <v>8</v>
      </c>
      <c r="E43" t="str">
        <f t="shared" si="37"/>
        <v>橙1 - Lv8</v>
      </c>
      <c r="G43" t="str">
        <f t="shared" ref="G43:G57" si="38">TEXT(SUBSTITUTE(C43,RIGHT(C43,1),"")&amp;D43,0)</f>
        <v>橙8</v>
      </c>
      <c r="H43">
        <f>VLOOKUP(G43,Reference1!C:E,3,FALSE)</f>
        <v>1163.7</v>
      </c>
      <c r="I43" s="64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6182400</v>
      </c>
      <c r="AU43" s="16">
        <f t="shared" si="28"/>
        <v>144000</v>
      </c>
      <c r="AW43" s="42">
        <v>0.6</v>
      </c>
      <c r="AX43">
        <f t="shared" si="2"/>
        <v>57600</v>
      </c>
      <c r="AY43">
        <f t="shared" si="3"/>
        <v>86400</v>
      </c>
      <c r="AZ43">
        <f>SUM($AY$5:AY43)</f>
        <v>2637600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5"/>
        <v>240</v>
      </c>
      <c r="BV43">
        <f t="shared" si="6"/>
        <v>14400</v>
      </c>
      <c r="BW43">
        <f t="shared" si="7"/>
        <v>331200</v>
      </c>
      <c r="BX43">
        <f>SUM($BW$5:BW43)</f>
        <v>4387200</v>
      </c>
      <c r="BY43">
        <f>SUM($AX$5:AX43)</f>
        <v>3544800</v>
      </c>
      <c r="BZ43" s="47">
        <f t="shared" si="8"/>
        <v>0.23764387271496276</v>
      </c>
      <c r="CG43">
        <f t="shared" si="9"/>
        <v>132</v>
      </c>
      <c r="CH43" s="55"/>
      <c r="CI43" s="44">
        <f t="shared" si="34"/>
        <v>3</v>
      </c>
      <c r="CJ43" s="44">
        <f t="shared" si="34"/>
        <v>270</v>
      </c>
      <c r="CK43" s="43"/>
      <c r="CL43" t="s">
        <v>468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1"/>
        <v>9690000</v>
      </c>
      <c r="CZ43">
        <f t="shared" si="29"/>
        <v>0</v>
      </c>
      <c r="DA43" s="49">
        <v>0.4</v>
      </c>
      <c r="DB43" s="95">
        <f t="shared" si="12"/>
        <v>0</v>
      </c>
      <c r="DC43">
        <f>SUM($DB$5:DB43)</f>
        <v>6402000</v>
      </c>
      <c r="DD43" s="49">
        <v>0.5</v>
      </c>
      <c r="DE43" s="49">
        <f t="shared" si="33"/>
        <v>0.5</v>
      </c>
      <c r="DF43" s="98">
        <f t="shared" si="14"/>
        <v>0</v>
      </c>
      <c r="DG43">
        <f>SUM($DF$5:DF43)</f>
        <v>3021000</v>
      </c>
      <c r="DH43">
        <f t="shared" si="30"/>
        <v>0</v>
      </c>
      <c r="DI43">
        <f t="shared" si="15"/>
        <v>0</v>
      </c>
      <c r="DJ43">
        <f>SUM($DI$5:DI43)</f>
        <v>3381000</v>
      </c>
      <c r="DK43">
        <f t="shared" si="16"/>
        <v>132</v>
      </c>
      <c r="DL43">
        <f>SUM($BH$5:BH43)</f>
        <v>378</v>
      </c>
      <c r="DM43">
        <f t="shared" si="17"/>
        <v>255</v>
      </c>
      <c r="DN43" s="55"/>
      <c r="DO43" s="55"/>
      <c r="DP43">
        <f t="shared" si="18"/>
        <v>25613.636363636364</v>
      </c>
      <c r="DQ43" s="55"/>
      <c r="DR43">
        <f>VLOOKUP(DK43,StarIdelRewards!A:I,9,FALSE)*BV43</f>
        <v>316800</v>
      </c>
      <c r="DS43">
        <f t="shared" si="19"/>
        <v>0</v>
      </c>
      <c r="DT43">
        <f>SUM($DR$5:DR43)</f>
        <v>4084800</v>
      </c>
      <c r="DU43" s="47">
        <f t="shared" si="20"/>
        <v>-0.26042890716803763</v>
      </c>
      <c r="DV43">
        <f t="shared" si="21"/>
        <v>0</v>
      </c>
      <c r="DX43">
        <f t="shared" si="22"/>
        <v>0</v>
      </c>
      <c r="DY43">
        <f t="shared" si="23"/>
        <v>109.9</v>
      </c>
      <c r="DZ43" s="55"/>
      <c r="EB43">
        <f t="shared" si="24"/>
        <v>109.9</v>
      </c>
      <c r="EC43">
        <f>B43*(3-1.333)*'Chest&amp;Cards&amp;Offer'!$J$70/100</f>
        <v>58.511699999999998</v>
      </c>
      <c r="ED43">
        <f t="shared" si="25"/>
        <v>168.4117</v>
      </c>
      <c r="EE43">
        <f t="shared" si="26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7"/>
        <v>3296</v>
      </c>
      <c r="ES43" s="7">
        <f>SUM(EH43:EO43)</f>
        <v>7008</v>
      </c>
      <c r="GE43" t="s">
        <v>256</v>
      </c>
      <c r="GI43" t="s">
        <v>257</v>
      </c>
    </row>
    <row r="44" spans="1:191">
      <c r="A44" s="16">
        <v>40</v>
      </c>
      <c r="B44">
        <v>40</v>
      </c>
      <c r="C44" s="13" t="s">
        <v>50</v>
      </c>
      <c r="D44">
        <v>8</v>
      </c>
      <c r="E44" t="str">
        <f t="shared" si="37"/>
        <v>橙2 - Lv8</v>
      </c>
      <c r="G44" t="str">
        <f t="shared" si="38"/>
        <v>橙8</v>
      </c>
      <c r="H44">
        <f>VLOOKUP(G44,Reference1!C:E,3,FALSE)</f>
        <v>1163.7</v>
      </c>
      <c r="I44" s="64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6326400</v>
      </c>
      <c r="AU44" s="16">
        <f t="shared" si="28"/>
        <v>144000</v>
      </c>
      <c r="AW44" s="42">
        <v>0.6</v>
      </c>
      <c r="AX44">
        <f t="shared" si="2"/>
        <v>57600</v>
      </c>
      <c r="AY44">
        <f t="shared" si="3"/>
        <v>86400</v>
      </c>
      <c r="AZ44">
        <f>SUM($AY$5:AY44)</f>
        <v>2724000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5"/>
        <v>240</v>
      </c>
      <c r="BV44">
        <f t="shared" si="6"/>
        <v>14400</v>
      </c>
      <c r="BW44">
        <f t="shared" si="7"/>
        <v>331200</v>
      </c>
      <c r="BX44">
        <f>SUM($BW$5:BW44)</f>
        <v>4718400</v>
      </c>
      <c r="BY44">
        <f>SUM($AX$5:AX44)</f>
        <v>3602400</v>
      </c>
      <c r="BZ44" s="47">
        <f t="shared" si="8"/>
        <v>0.30979347101932048</v>
      </c>
      <c r="CG44">
        <f t="shared" si="9"/>
        <v>136</v>
      </c>
      <c r="CH44" s="55"/>
      <c r="CI44" s="44">
        <f t="shared" si="34"/>
        <v>4</v>
      </c>
      <c r="CJ44" s="44">
        <f t="shared" si="34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1"/>
        <v>9690000</v>
      </c>
      <c r="CZ44">
        <f t="shared" si="29"/>
        <v>0</v>
      </c>
      <c r="DA44" s="49">
        <v>0.4</v>
      </c>
      <c r="DB44" s="95">
        <f t="shared" si="12"/>
        <v>0</v>
      </c>
      <c r="DC44">
        <f>SUM($DB$5:DB44)</f>
        <v>6402000</v>
      </c>
      <c r="DD44" s="49">
        <v>0.5</v>
      </c>
      <c r="DE44" s="49">
        <f t="shared" si="33"/>
        <v>0.5</v>
      </c>
      <c r="DF44" s="98">
        <f t="shared" si="14"/>
        <v>0</v>
      </c>
      <c r="DG44">
        <f>SUM($DF$5:DF44)</f>
        <v>3021000</v>
      </c>
      <c r="DH44">
        <f t="shared" si="30"/>
        <v>0</v>
      </c>
      <c r="DI44">
        <f t="shared" si="15"/>
        <v>0</v>
      </c>
      <c r="DJ44">
        <f>SUM($DI$5:DI44)</f>
        <v>3381000</v>
      </c>
      <c r="DK44">
        <f t="shared" si="16"/>
        <v>136</v>
      </c>
      <c r="DL44">
        <f>SUM($BH$5:BH44)</f>
        <v>388</v>
      </c>
      <c r="DM44">
        <f t="shared" si="17"/>
        <v>262</v>
      </c>
      <c r="DN44" s="55"/>
      <c r="DO44" s="55"/>
      <c r="DP44">
        <f t="shared" si="18"/>
        <v>24860.294117647059</v>
      </c>
      <c r="DQ44" s="55"/>
      <c r="DR44">
        <f>VLOOKUP(DK44,StarIdelRewards!A:I,9,FALSE)*BV44</f>
        <v>316800</v>
      </c>
      <c r="DS44">
        <f t="shared" si="19"/>
        <v>0</v>
      </c>
      <c r="DT44">
        <f>SUM($DR$5:DR44)</f>
        <v>4401600</v>
      </c>
      <c r="DU44" s="47">
        <f t="shared" si="20"/>
        <v>-0.31365866957470012</v>
      </c>
      <c r="DV44">
        <f t="shared" si="21"/>
        <v>0</v>
      </c>
      <c r="DX44">
        <f t="shared" si="22"/>
        <v>0</v>
      </c>
      <c r="DY44">
        <f t="shared" si="23"/>
        <v>113.5</v>
      </c>
      <c r="DZ44" s="55"/>
      <c r="EB44">
        <f t="shared" si="24"/>
        <v>113.5</v>
      </c>
      <c r="EC44">
        <f>B44*(3-1.333)*'Chest&amp;Cards&amp;Offer'!$J$70/100</f>
        <v>60.012000000000008</v>
      </c>
      <c r="ED44">
        <f t="shared" si="25"/>
        <v>173.512</v>
      </c>
      <c r="EE44">
        <f t="shared" si="26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7"/>
        <v>3416</v>
      </c>
      <c r="ES44" s="7">
        <f>SUM(EH44:EO44)</f>
        <v>7128</v>
      </c>
      <c r="GE44" t="s">
        <v>254</v>
      </c>
    </row>
    <row r="45" spans="1:191">
      <c r="A45" s="16">
        <v>41</v>
      </c>
      <c r="B45">
        <v>41</v>
      </c>
      <c r="C45" s="14" t="s">
        <v>51</v>
      </c>
      <c r="D45">
        <v>7</v>
      </c>
      <c r="E45" t="str">
        <f t="shared" si="37"/>
        <v>紫1 - Lv7</v>
      </c>
      <c r="G45" t="str">
        <f t="shared" si="38"/>
        <v>紫7</v>
      </c>
      <c r="H45">
        <f>VLOOKUP(G45,Reference1!C:E,3,FALSE)</f>
        <v>2379</v>
      </c>
      <c r="I45" s="64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7286400</v>
      </c>
      <c r="AU45" s="16">
        <f t="shared" si="28"/>
        <v>960000</v>
      </c>
      <c r="AW45" s="42">
        <v>0.6</v>
      </c>
      <c r="AX45">
        <f t="shared" si="2"/>
        <v>384000</v>
      </c>
      <c r="AY45">
        <f t="shared" si="3"/>
        <v>576000</v>
      </c>
      <c r="AZ45">
        <f>SUM($AY$5:AY45)</f>
        <v>3300000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358</v>
      </c>
      <c r="BS45">
        <f>VLOOKUP(BJ45,StarIdelRewards!A:D,4,FALSE)</f>
        <v>23</v>
      </c>
      <c r="BT45">
        <v>3</v>
      </c>
      <c r="BU45">
        <f t="shared" si="5"/>
        <v>240</v>
      </c>
      <c r="BV45">
        <f t="shared" si="6"/>
        <v>14400</v>
      </c>
      <c r="BW45">
        <f t="shared" si="7"/>
        <v>331200</v>
      </c>
      <c r="BX45">
        <f>SUM($BW$5:BW45)</f>
        <v>5049600</v>
      </c>
      <c r="BY45">
        <f>SUM($AX$5:AX45)</f>
        <v>3986400</v>
      </c>
      <c r="BZ45" s="47">
        <f t="shared" si="8"/>
        <v>0.26670680313064421</v>
      </c>
      <c r="CG45">
        <f t="shared" si="9"/>
        <v>141</v>
      </c>
      <c r="CH45" s="55"/>
      <c r="CI45" s="44">
        <f t="shared" si="34"/>
        <v>5</v>
      </c>
      <c r="CJ45" s="44">
        <f t="shared" si="34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1"/>
        <v>10890000</v>
      </c>
      <c r="CZ45">
        <f t="shared" si="29"/>
        <v>1200000</v>
      </c>
      <c r="DA45" s="49">
        <v>0.4</v>
      </c>
      <c r="DB45" s="95">
        <f t="shared" si="12"/>
        <v>720000</v>
      </c>
      <c r="DC45">
        <f>SUM($DB$5:DB45)</f>
        <v>7122000</v>
      </c>
      <c r="DD45" s="49">
        <v>0.5</v>
      </c>
      <c r="DE45" s="49">
        <f t="shared" si="33"/>
        <v>0.5</v>
      </c>
      <c r="DF45" s="98">
        <f t="shared" si="14"/>
        <v>360000</v>
      </c>
      <c r="DG45">
        <f>SUM($DF$5:DF45)</f>
        <v>3381000</v>
      </c>
      <c r="DH45">
        <f t="shared" si="30"/>
        <v>360000</v>
      </c>
      <c r="DI45">
        <f t="shared" si="15"/>
        <v>360000</v>
      </c>
      <c r="DJ45">
        <f>SUM($DI$5:DI45)</f>
        <v>3741000</v>
      </c>
      <c r="DK45">
        <f t="shared" si="16"/>
        <v>141</v>
      </c>
      <c r="DL45">
        <f>SUM($BH$5:BH45)</f>
        <v>402</v>
      </c>
      <c r="DM45">
        <f t="shared" si="17"/>
        <v>272</v>
      </c>
      <c r="DN45" s="55"/>
      <c r="DO45" s="55"/>
      <c r="DP45">
        <f t="shared" si="18"/>
        <v>26531.91489361702</v>
      </c>
      <c r="DQ45" s="55"/>
      <c r="DR45">
        <f>VLOOKUP(DK45,StarIdelRewards!A:I,9,FALSE)*BV45</f>
        <v>316800</v>
      </c>
      <c r="DS45">
        <f t="shared" si="19"/>
        <v>360000</v>
      </c>
      <c r="DT45">
        <f>SUM($DR$5:DR45)</f>
        <v>4718400</v>
      </c>
      <c r="DU45" s="47">
        <f t="shared" si="20"/>
        <v>-0.28344354018311291</v>
      </c>
      <c r="DV45">
        <f t="shared" si="21"/>
        <v>25</v>
      </c>
      <c r="DX45">
        <f t="shared" si="22"/>
        <v>480000</v>
      </c>
      <c r="DY45">
        <f t="shared" si="23"/>
        <v>137.5</v>
      </c>
      <c r="DZ45" s="55"/>
      <c r="EB45">
        <f t="shared" si="24"/>
        <v>137.5</v>
      </c>
      <c r="EC45">
        <f>B45*(3-1.333)*'Chest&amp;Cards&amp;Offer'!$J$70/100</f>
        <v>61.512300000000003</v>
      </c>
      <c r="ED45">
        <f t="shared" si="25"/>
        <v>199.01230000000001</v>
      </c>
      <c r="EE45">
        <f t="shared" si="26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7"/>
        <v>3896</v>
      </c>
      <c r="ES45" s="7">
        <f>SUM(EH45:EO45)</f>
        <v>7608</v>
      </c>
    </row>
    <row r="46" spans="1:191">
      <c r="A46" s="16">
        <v>42</v>
      </c>
      <c r="B46">
        <v>42</v>
      </c>
      <c r="C46" s="14" t="s">
        <v>51</v>
      </c>
      <c r="D46">
        <v>8</v>
      </c>
      <c r="E46" t="str">
        <f t="shared" si="37"/>
        <v>紫1 - Lv8</v>
      </c>
      <c r="G46" t="str">
        <f t="shared" si="38"/>
        <v>紫8</v>
      </c>
      <c r="H46">
        <f>VLOOKUP(G46,Reference1!C:E,3,FALSE)</f>
        <v>2141.1</v>
      </c>
      <c r="I46" s="64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8726400</v>
      </c>
      <c r="AU46" s="16">
        <f t="shared" si="28"/>
        <v>1440000</v>
      </c>
      <c r="AW46" s="42">
        <v>0.6</v>
      </c>
      <c r="AX46">
        <f t="shared" si="2"/>
        <v>576000</v>
      </c>
      <c r="AY46">
        <f t="shared" si="3"/>
        <v>864000</v>
      </c>
      <c r="AZ46">
        <f>SUM($AY$5:AY46)</f>
        <v>4164000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5"/>
        <v>240</v>
      </c>
      <c r="BV46">
        <f t="shared" si="6"/>
        <v>14400</v>
      </c>
      <c r="BW46">
        <f t="shared" si="7"/>
        <v>345600</v>
      </c>
      <c r="BX46">
        <f>SUM($BW$5:BW46)</f>
        <v>5395200</v>
      </c>
      <c r="BY46">
        <f>SUM($AX$5:AX46)</f>
        <v>4562400</v>
      </c>
      <c r="BZ46" s="47">
        <f t="shared" si="8"/>
        <v>0.18253550762756443</v>
      </c>
      <c r="CG46">
        <f t="shared" si="9"/>
        <v>146</v>
      </c>
      <c r="CH46" s="55"/>
      <c r="CI46" s="44">
        <f t="shared" si="34"/>
        <v>6</v>
      </c>
      <c r="CJ46" s="44">
        <f t="shared" si="34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1"/>
        <v>12690000</v>
      </c>
      <c r="CZ46">
        <f t="shared" si="29"/>
        <v>1800000</v>
      </c>
      <c r="DA46" s="49">
        <v>0.4</v>
      </c>
      <c r="DB46" s="95">
        <f t="shared" si="12"/>
        <v>1080000</v>
      </c>
      <c r="DC46">
        <f>SUM($DB$5:DB46)</f>
        <v>8202000</v>
      </c>
      <c r="DD46" s="49">
        <v>0.5</v>
      </c>
      <c r="DE46" s="49">
        <f t="shared" si="33"/>
        <v>0.5</v>
      </c>
      <c r="DF46" s="98">
        <f t="shared" si="14"/>
        <v>540000</v>
      </c>
      <c r="DG46">
        <f>SUM($DF$5:DF46)</f>
        <v>3921000</v>
      </c>
      <c r="DH46">
        <f t="shared" si="30"/>
        <v>540000</v>
      </c>
      <c r="DI46">
        <f t="shared" si="15"/>
        <v>540000</v>
      </c>
      <c r="DJ46">
        <f>SUM($DI$5:DI46)</f>
        <v>4281000</v>
      </c>
      <c r="DK46">
        <f t="shared" si="16"/>
        <v>146</v>
      </c>
      <c r="DL46">
        <f>SUM($BH$5:BH46)</f>
        <v>416</v>
      </c>
      <c r="DM46">
        <f t="shared" si="17"/>
        <v>281</v>
      </c>
      <c r="DN46" s="55"/>
      <c r="DO46" s="55"/>
      <c r="DP46">
        <f t="shared" si="18"/>
        <v>29321.917808219179</v>
      </c>
      <c r="DQ46" s="55"/>
      <c r="DR46">
        <f>VLOOKUP(DK46,StarIdelRewards!A:I,9,FALSE)*BV46</f>
        <v>331200</v>
      </c>
      <c r="DS46">
        <f t="shared" si="19"/>
        <v>540000</v>
      </c>
      <c r="DT46">
        <f>SUM($DR$5:DR46)</f>
        <v>5049600</v>
      </c>
      <c r="DU46" s="47">
        <f t="shared" si="20"/>
        <v>-0.22350285171102663</v>
      </c>
      <c r="DV46">
        <f t="shared" si="21"/>
        <v>37.5</v>
      </c>
      <c r="DX46">
        <f t="shared" si="22"/>
        <v>720000</v>
      </c>
      <c r="DY46">
        <f t="shared" si="23"/>
        <v>173.5</v>
      </c>
      <c r="DZ46" s="55"/>
      <c r="EB46">
        <f t="shared" si="24"/>
        <v>173.5</v>
      </c>
      <c r="EC46">
        <f>B46*(3-1.333)*'Chest&amp;Cards&amp;Offer'!$J$70/100</f>
        <v>63.012599999999992</v>
      </c>
      <c r="ED46">
        <f t="shared" si="25"/>
        <v>236.51259999999999</v>
      </c>
      <c r="EE46">
        <f t="shared" si="26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7"/>
        <v>4616</v>
      </c>
      <c r="ES46" s="7">
        <f>SUM(EH46:EO46)</f>
        <v>8328</v>
      </c>
    </row>
    <row r="47" spans="1:191">
      <c r="A47" s="16">
        <v>43</v>
      </c>
      <c r="B47">
        <v>43</v>
      </c>
      <c r="C47" s="14" t="s">
        <v>104</v>
      </c>
      <c r="D47">
        <v>7</v>
      </c>
      <c r="E47" t="str">
        <f t="shared" si="37"/>
        <v>紫2 - Lv7</v>
      </c>
      <c r="G47" t="str">
        <f t="shared" si="38"/>
        <v>紫7</v>
      </c>
      <c r="H47">
        <f>VLOOKUP(G47,Reference1!C:E,3,FALSE)</f>
        <v>2379</v>
      </c>
      <c r="I47" s="64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9686400</v>
      </c>
      <c r="AU47" s="16">
        <f>AS47-AS46</f>
        <v>960000</v>
      </c>
      <c r="AW47" s="42">
        <v>0.6</v>
      </c>
      <c r="AX47">
        <f t="shared" si="2"/>
        <v>384000</v>
      </c>
      <c r="AY47">
        <f t="shared" si="3"/>
        <v>576000</v>
      </c>
      <c r="AZ47">
        <f>SUM($AY$5:AY47)</f>
        <v>4740000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5"/>
        <v>240</v>
      </c>
      <c r="BV47">
        <f t="shared" si="6"/>
        <v>14400</v>
      </c>
      <c r="BW47">
        <f t="shared" si="7"/>
        <v>345600</v>
      </c>
      <c r="BX47">
        <f>SUM($BW$5:BW47)</f>
        <v>5740800</v>
      </c>
      <c r="BY47">
        <f>SUM($AX$5:AX47)</f>
        <v>4946400</v>
      </c>
      <c r="BZ47" s="47">
        <f t="shared" si="8"/>
        <v>0.16060164968461912</v>
      </c>
      <c r="CG47">
        <f t="shared" si="9"/>
        <v>151</v>
      </c>
      <c r="CH47" s="55"/>
      <c r="CI47" s="44">
        <f t="shared" si="34"/>
        <v>7</v>
      </c>
      <c r="CJ47" s="44">
        <f t="shared" si="34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1"/>
        <v>13890000</v>
      </c>
      <c r="CZ47">
        <f t="shared" si="29"/>
        <v>1200000</v>
      </c>
      <c r="DA47" s="49">
        <v>0.4</v>
      </c>
      <c r="DB47" s="95">
        <f t="shared" si="12"/>
        <v>720000</v>
      </c>
      <c r="DC47">
        <f>SUM($DB$5:DB47)</f>
        <v>8922000</v>
      </c>
      <c r="DD47" s="49">
        <v>0.5</v>
      </c>
      <c r="DE47" s="49">
        <f t="shared" si="33"/>
        <v>0.5</v>
      </c>
      <c r="DF47" s="98">
        <f t="shared" si="14"/>
        <v>360000</v>
      </c>
      <c r="DG47">
        <f>SUM($DF$5:DF47)</f>
        <v>4281000</v>
      </c>
      <c r="DH47">
        <f t="shared" si="30"/>
        <v>360000</v>
      </c>
      <c r="DI47">
        <f t="shared" si="15"/>
        <v>360000</v>
      </c>
      <c r="DJ47">
        <f>SUM($DI$5:DI47)</f>
        <v>4641000</v>
      </c>
      <c r="DK47">
        <f t="shared" si="16"/>
        <v>151</v>
      </c>
      <c r="DL47">
        <f>SUM($BH$5:BH47)</f>
        <v>430</v>
      </c>
      <c r="DM47">
        <f t="shared" si="17"/>
        <v>291</v>
      </c>
      <c r="DN47" s="55"/>
      <c r="DO47" s="55"/>
      <c r="DP47">
        <f t="shared" si="18"/>
        <v>30735.099337748343</v>
      </c>
      <c r="DQ47" s="55"/>
      <c r="DR47">
        <f>VLOOKUP(DK47,StarIdelRewards!A:I,9,FALSE)*BV47</f>
        <v>331200</v>
      </c>
      <c r="DS47">
        <f t="shared" si="19"/>
        <v>360000</v>
      </c>
      <c r="DT47">
        <f>SUM($DR$5:DR47)</f>
        <v>5380800</v>
      </c>
      <c r="DU47" s="47">
        <f t="shared" si="20"/>
        <v>-0.20439339875111506</v>
      </c>
      <c r="DV47">
        <f t="shared" si="21"/>
        <v>25</v>
      </c>
      <c r="DX47">
        <f t="shared" si="22"/>
        <v>480000</v>
      </c>
      <c r="DY47">
        <f t="shared" si="23"/>
        <v>197.5</v>
      </c>
      <c r="DZ47" s="55"/>
      <c r="EB47">
        <f t="shared" si="24"/>
        <v>197.5</v>
      </c>
      <c r="EC47">
        <f>B47*(3-1.333)*'Chest&amp;Cards&amp;Offer'!$J$70/100</f>
        <v>64.512900000000002</v>
      </c>
      <c r="ED47">
        <f t="shared" si="25"/>
        <v>262.0129</v>
      </c>
      <c r="EE47">
        <f t="shared" si="26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7"/>
        <v>5096</v>
      </c>
      <c r="ES47" s="7">
        <f>SUM(EH47:EO47)</f>
        <v>8808</v>
      </c>
    </row>
    <row r="48" spans="1:191">
      <c r="A48" s="16">
        <v>44</v>
      </c>
      <c r="B48">
        <v>44</v>
      </c>
      <c r="C48" s="14" t="s">
        <v>104</v>
      </c>
      <c r="D48">
        <v>8</v>
      </c>
      <c r="E48" t="str">
        <f t="shared" si="37"/>
        <v>紫2 - Lv8</v>
      </c>
      <c r="G48" t="str">
        <f t="shared" si="38"/>
        <v>紫8</v>
      </c>
      <c r="H48">
        <f>VLOOKUP(G48,Reference1!C:E,3,FALSE)</f>
        <v>2141.1</v>
      </c>
      <c r="I48" s="64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11126400</v>
      </c>
      <c r="AU48" s="16">
        <f t="shared" si="28"/>
        <v>1440000</v>
      </c>
      <c r="AW48" s="42">
        <v>0.6</v>
      </c>
      <c r="AX48">
        <f t="shared" si="2"/>
        <v>576000</v>
      </c>
      <c r="AY48">
        <f t="shared" si="3"/>
        <v>864000</v>
      </c>
      <c r="AZ48">
        <f>SUM($AY$5:AY48)</f>
        <v>5604000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5"/>
        <v>240</v>
      </c>
      <c r="BV48">
        <f t="shared" si="6"/>
        <v>14400</v>
      </c>
      <c r="BW48">
        <f t="shared" si="7"/>
        <v>345600</v>
      </c>
      <c r="BX48">
        <f>SUM($BW$5:BW48)</f>
        <v>6086400</v>
      </c>
      <c r="BY48">
        <f>SUM($AX$5:AX48)</f>
        <v>5522400</v>
      </c>
      <c r="BZ48" s="47">
        <f t="shared" si="8"/>
        <v>0.10212950890916993</v>
      </c>
      <c r="CG48">
        <f t="shared" si="9"/>
        <v>156</v>
      </c>
      <c r="CH48" s="55"/>
      <c r="CI48" s="44">
        <f t="shared" si="34"/>
        <v>8</v>
      </c>
      <c r="CJ48" s="44">
        <f t="shared" si="34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1"/>
        <v>15690000</v>
      </c>
      <c r="CZ48">
        <f t="shared" si="29"/>
        <v>1800000</v>
      </c>
      <c r="DA48" s="49">
        <v>0.4</v>
      </c>
      <c r="DB48" s="95">
        <f t="shared" si="12"/>
        <v>1080000</v>
      </c>
      <c r="DC48">
        <f>SUM($DB$5:DB48)</f>
        <v>10002000</v>
      </c>
      <c r="DD48" s="49">
        <v>0.5</v>
      </c>
      <c r="DE48" s="49">
        <f t="shared" si="33"/>
        <v>0.5</v>
      </c>
      <c r="DF48" s="98">
        <f t="shared" si="14"/>
        <v>540000</v>
      </c>
      <c r="DG48">
        <f>SUM($DF$5:DF48)</f>
        <v>4821000</v>
      </c>
      <c r="DH48">
        <f t="shared" si="30"/>
        <v>540000</v>
      </c>
      <c r="DI48">
        <f t="shared" si="15"/>
        <v>540000</v>
      </c>
      <c r="DJ48">
        <f>SUM($DI$5:DI48)</f>
        <v>5181000</v>
      </c>
      <c r="DK48">
        <f t="shared" si="16"/>
        <v>156</v>
      </c>
      <c r="DL48">
        <f>SUM($BH$5:BH48)</f>
        <v>444</v>
      </c>
      <c r="DM48">
        <f t="shared" si="17"/>
        <v>300</v>
      </c>
      <c r="DN48" s="55"/>
      <c r="DO48" s="55"/>
      <c r="DP48">
        <f t="shared" si="18"/>
        <v>33211.538461538461</v>
      </c>
      <c r="DQ48" s="55"/>
      <c r="DR48">
        <f>VLOOKUP(DK48,StarIdelRewards!A:I,9,FALSE)*BV48</f>
        <v>331200</v>
      </c>
      <c r="DS48">
        <f t="shared" si="19"/>
        <v>540000</v>
      </c>
      <c r="DT48">
        <f>SUM($DR$5:DR48)</f>
        <v>5712000</v>
      </c>
      <c r="DU48" s="47">
        <f t="shared" si="20"/>
        <v>-0.15598739495798319</v>
      </c>
      <c r="DV48">
        <f t="shared" si="21"/>
        <v>37.5</v>
      </c>
      <c r="DX48">
        <f t="shared" si="22"/>
        <v>720000</v>
      </c>
      <c r="DY48">
        <f t="shared" si="23"/>
        <v>233.5</v>
      </c>
      <c r="DZ48" s="55"/>
      <c r="EB48">
        <f t="shared" si="24"/>
        <v>233.5</v>
      </c>
      <c r="EC48">
        <f>B48*(3-1.333)*'Chest&amp;Cards&amp;Offer'!$J$70/100</f>
        <v>66.013199999999998</v>
      </c>
      <c r="ED48">
        <f t="shared" si="25"/>
        <v>299.51319999999998</v>
      </c>
      <c r="EE48">
        <f t="shared" si="26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7"/>
        <v>5816</v>
      </c>
      <c r="ES48" s="7">
        <f>SUM(EH48:EO48)</f>
        <v>10808</v>
      </c>
    </row>
    <row r="49" spans="1:190">
      <c r="A49" s="16">
        <v>45</v>
      </c>
      <c r="B49">
        <v>45</v>
      </c>
      <c r="C49" s="14" t="s">
        <v>112</v>
      </c>
      <c r="D49">
        <v>7</v>
      </c>
      <c r="E49" t="str">
        <f t="shared" si="37"/>
        <v>紫3 - Lv7</v>
      </c>
      <c r="G49" t="str">
        <f t="shared" si="38"/>
        <v>紫7</v>
      </c>
      <c r="H49">
        <f>VLOOKUP(G49,Reference1!C:E,3,FALSE)</f>
        <v>2379</v>
      </c>
      <c r="I49" s="64"/>
      <c r="K49" t="s">
        <v>175</v>
      </c>
      <c r="V49" s="16" t="s">
        <v>342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12086400</v>
      </c>
      <c r="AU49" s="16">
        <f t="shared" si="28"/>
        <v>960000</v>
      </c>
      <c r="AW49" s="42">
        <v>0.6</v>
      </c>
      <c r="AX49">
        <f t="shared" si="2"/>
        <v>384000</v>
      </c>
      <c r="AY49">
        <f t="shared" si="3"/>
        <v>576000</v>
      </c>
      <c r="AZ49">
        <f>SUM($AY$5:AY49)</f>
        <v>6180000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5"/>
        <v>240</v>
      </c>
      <c r="BV49">
        <f t="shared" si="6"/>
        <v>14400</v>
      </c>
      <c r="BW49">
        <f t="shared" si="7"/>
        <v>360000</v>
      </c>
      <c r="BX49">
        <f>SUM($BW$5:BW49)</f>
        <v>6446400</v>
      </c>
      <c r="BY49">
        <f>SUM($AX$5:AX49)</f>
        <v>5906400</v>
      </c>
      <c r="BZ49" s="47">
        <f t="shared" si="8"/>
        <v>9.1426249492076395E-2</v>
      </c>
      <c r="CG49">
        <f t="shared" si="9"/>
        <v>161</v>
      </c>
      <c r="CH49" s="55"/>
      <c r="CI49" s="44">
        <f t="shared" si="34"/>
        <v>9</v>
      </c>
      <c r="CJ49" s="44">
        <f t="shared" si="34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1"/>
        <v>16890000</v>
      </c>
      <c r="CZ49">
        <f t="shared" si="29"/>
        <v>1200000</v>
      </c>
      <c r="DA49" s="49">
        <v>0.4</v>
      </c>
      <c r="DB49" s="95">
        <f t="shared" si="12"/>
        <v>720000</v>
      </c>
      <c r="DC49">
        <f t="shared" ref="DC49:DC64" si="39">CY49*(1-DA49)</f>
        <v>10134000</v>
      </c>
      <c r="DD49" s="49">
        <v>0.5</v>
      </c>
      <c r="DE49" s="49">
        <f t="shared" si="33"/>
        <v>0.5</v>
      </c>
      <c r="DF49" s="98">
        <f t="shared" si="14"/>
        <v>360000</v>
      </c>
      <c r="DG49">
        <f>SUM($DF$5:DF49)</f>
        <v>5181000</v>
      </c>
      <c r="DH49">
        <f t="shared" si="30"/>
        <v>360000</v>
      </c>
      <c r="DI49">
        <f t="shared" si="15"/>
        <v>360000</v>
      </c>
      <c r="DJ49">
        <f>SUM($DI$5:DI49)</f>
        <v>5541000</v>
      </c>
      <c r="DK49">
        <f t="shared" si="16"/>
        <v>161</v>
      </c>
      <c r="DL49">
        <f>SUM($BH$5:BH49)</f>
        <v>458</v>
      </c>
      <c r="DM49">
        <f t="shared" si="17"/>
        <v>310</v>
      </c>
      <c r="DN49" s="55"/>
      <c r="DO49" s="55"/>
      <c r="DP49">
        <f t="shared" si="18"/>
        <v>34416.149068322979</v>
      </c>
      <c r="DQ49" s="55"/>
      <c r="DR49">
        <f>VLOOKUP(DK49,StarIdelRewards!A:I,9,FALSE)*BV49</f>
        <v>345600</v>
      </c>
      <c r="DS49">
        <f t="shared" si="19"/>
        <v>360000</v>
      </c>
      <c r="DT49">
        <f>SUM($DR$5:DR49)</f>
        <v>6057600</v>
      </c>
      <c r="DU49" s="47">
        <f t="shared" si="20"/>
        <v>-0.1447107765451664</v>
      </c>
      <c r="DV49">
        <f t="shared" si="21"/>
        <v>25</v>
      </c>
      <c r="DX49">
        <f t="shared" si="22"/>
        <v>480000</v>
      </c>
      <c r="DY49">
        <f t="shared" si="23"/>
        <v>257.5</v>
      </c>
      <c r="DZ49" s="55"/>
      <c r="EB49">
        <f t="shared" si="24"/>
        <v>257.5</v>
      </c>
      <c r="EC49">
        <f>B49*(3-1.333)*'Chest&amp;Cards&amp;Offer'!$J$70/100</f>
        <v>67.513500000000008</v>
      </c>
      <c r="ED49">
        <f t="shared" si="25"/>
        <v>325.01350000000002</v>
      </c>
      <c r="EE49">
        <f t="shared" si="26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7"/>
        <v>6296</v>
      </c>
      <c r="ES49" s="7">
        <f>SUM(EH49:EO49)</f>
        <v>13208</v>
      </c>
    </row>
    <row r="50" spans="1:190">
      <c r="A50" s="16">
        <v>46</v>
      </c>
      <c r="B50">
        <v>46</v>
      </c>
      <c r="C50" s="14" t="s">
        <v>112</v>
      </c>
      <c r="D50">
        <v>8</v>
      </c>
      <c r="E50" t="str">
        <f t="shared" si="37"/>
        <v>紫3 - Lv8</v>
      </c>
      <c r="G50" t="str">
        <f t="shared" si="38"/>
        <v>紫8</v>
      </c>
      <c r="H50">
        <f>VLOOKUP(G50,Reference1!C:E,3,FALSE)</f>
        <v>2141.1</v>
      </c>
      <c r="I50" s="64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13526400</v>
      </c>
      <c r="AU50" s="16">
        <f t="shared" si="28"/>
        <v>1440000</v>
      </c>
      <c r="AW50" s="42">
        <v>0.7</v>
      </c>
      <c r="AX50">
        <f t="shared" si="2"/>
        <v>432000.00000000006</v>
      </c>
      <c r="AY50">
        <f t="shared" si="3"/>
        <v>1008000</v>
      </c>
      <c r="AZ50">
        <f>SUM($AY$5:AY50)</f>
        <v>7188000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5"/>
        <v>240</v>
      </c>
      <c r="BV50">
        <f t="shared" si="6"/>
        <v>14400</v>
      </c>
      <c r="BW50">
        <f t="shared" si="7"/>
        <v>360000</v>
      </c>
      <c r="BX50">
        <f>SUM($BW$5:BW50)</f>
        <v>6806400</v>
      </c>
      <c r="BY50">
        <f>SUM($AX$5:AX50)</f>
        <v>6338400</v>
      </c>
      <c r="BZ50" s="47">
        <f t="shared" si="8"/>
        <v>7.3835668307459301E-2</v>
      </c>
      <c r="CG50">
        <f t="shared" si="9"/>
        <v>166</v>
      </c>
      <c r="CH50" s="55"/>
      <c r="CI50" s="44">
        <f t="shared" si="34"/>
        <v>10</v>
      </c>
      <c r="CJ50" s="44">
        <f t="shared" si="34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1"/>
        <v>18690000</v>
      </c>
      <c r="CZ50">
        <f t="shared" si="29"/>
        <v>1800000</v>
      </c>
      <c r="DA50" s="49">
        <v>0.4</v>
      </c>
      <c r="DB50" s="95">
        <f t="shared" si="12"/>
        <v>1080000</v>
      </c>
      <c r="DC50">
        <f t="shared" si="39"/>
        <v>11214000</v>
      </c>
      <c r="DD50" s="49">
        <v>0.5</v>
      </c>
      <c r="DE50" s="49">
        <f t="shared" si="33"/>
        <v>0.5</v>
      </c>
      <c r="DF50" s="98">
        <f t="shared" si="14"/>
        <v>540000</v>
      </c>
      <c r="DG50">
        <f>SUM($DF$5:DF50)</f>
        <v>5721000</v>
      </c>
      <c r="DH50">
        <f t="shared" si="30"/>
        <v>540000</v>
      </c>
      <c r="DI50">
        <f t="shared" si="15"/>
        <v>540000</v>
      </c>
      <c r="DJ50">
        <f>SUM($DI$5:DI50)</f>
        <v>6081000</v>
      </c>
      <c r="DK50">
        <f t="shared" si="16"/>
        <v>166</v>
      </c>
      <c r="DL50">
        <f>SUM($BH$5:BH50)</f>
        <v>472</v>
      </c>
      <c r="DM50">
        <f t="shared" si="17"/>
        <v>319</v>
      </c>
      <c r="DN50" s="55"/>
      <c r="DO50" s="55"/>
      <c r="DP50">
        <f t="shared" si="18"/>
        <v>36632.530120481926</v>
      </c>
      <c r="DQ50" s="55"/>
      <c r="DR50">
        <f>VLOOKUP(DK50,StarIdelRewards!A:I,9,FALSE)*BV50</f>
        <v>345600</v>
      </c>
      <c r="DS50">
        <f t="shared" si="19"/>
        <v>540000</v>
      </c>
      <c r="DT50">
        <f>SUM($DR$5:DR50)</f>
        <v>6403200</v>
      </c>
      <c r="DU50" s="47">
        <f t="shared" si="20"/>
        <v>-0.10654047976011995</v>
      </c>
      <c r="DV50">
        <f t="shared" si="21"/>
        <v>37.5</v>
      </c>
      <c r="DX50">
        <f t="shared" si="22"/>
        <v>720000</v>
      </c>
      <c r="DY50">
        <f t="shared" si="23"/>
        <v>299.5</v>
      </c>
      <c r="DZ50" s="55"/>
      <c r="EB50">
        <f t="shared" si="24"/>
        <v>299.5</v>
      </c>
      <c r="EC50">
        <f>B50*(3-1.333)*'Chest&amp;Cards&amp;Offer'!$J$70/100</f>
        <v>69.013800000000003</v>
      </c>
      <c r="ED50">
        <f t="shared" si="25"/>
        <v>368.5138</v>
      </c>
      <c r="EE50">
        <f t="shared" si="26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7"/>
        <v>7016</v>
      </c>
      <c r="ES50" s="7">
        <f>SUM(EH50:EO50)</f>
        <v>16648</v>
      </c>
    </row>
    <row r="51" spans="1:190">
      <c r="A51" s="16">
        <v>47</v>
      </c>
      <c r="B51">
        <v>47</v>
      </c>
      <c r="C51" s="14" t="s">
        <v>113</v>
      </c>
      <c r="D51">
        <v>7</v>
      </c>
      <c r="E51" t="str">
        <f t="shared" si="37"/>
        <v>紫4 - Lv7</v>
      </c>
      <c r="G51" t="str">
        <f t="shared" si="38"/>
        <v>紫7</v>
      </c>
      <c r="H51">
        <f>VLOOKUP(G51,Reference1!C:E,3,FALSE)</f>
        <v>2379</v>
      </c>
      <c r="I51" s="64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14486400</v>
      </c>
      <c r="AU51" s="16">
        <f t="shared" si="28"/>
        <v>960000</v>
      </c>
      <c r="AW51" s="42">
        <v>0.7</v>
      </c>
      <c r="AX51">
        <f t="shared" si="2"/>
        <v>288000.00000000006</v>
      </c>
      <c r="AY51">
        <f t="shared" si="3"/>
        <v>672000</v>
      </c>
      <c r="AZ51">
        <f>SUM($AY$5:AY51)</f>
        <v>7860000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359</v>
      </c>
      <c r="BS51">
        <f>VLOOKUP(BJ51,StarIdelRewards!A:D,4,FALSE)</f>
        <v>25</v>
      </c>
      <c r="BT51">
        <v>3</v>
      </c>
      <c r="BU51">
        <f t="shared" si="5"/>
        <v>240</v>
      </c>
      <c r="BV51">
        <f t="shared" si="6"/>
        <v>14400</v>
      </c>
      <c r="BW51">
        <f t="shared" si="7"/>
        <v>360000</v>
      </c>
      <c r="BX51">
        <f>SUM($BW$5:BW51)</f>
        <v>7166400</v>
      </c>
      <c r="BY51">
        <f>SUM($AX$5:AX51)</f>
        <v>6626400</v>
      </c>
      <c r="BZ51" s="47">
        <f t="shared" si="8"/>
        <v>8.1492212966316549E-2</v>
      </c>
      <c r="CG51">
        <f t="shared" si="9"/>
        <v>171</v>
      </c>
      <c r="CH51" s="55"/>
      <c r="CI51" s="44">
        <f t="shared" si="34"/>
        <v>11</v>
      </c>
      <c r="CJ51" s="44">
        <f t="shared" si="34"/>
        <v>990</v>
      </c>
      <c r="CK51" s="43"/>
      <c r="CL51" t="s">
        <v>471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1"/>
        <v>19890000</v>
      </c>
      <c r="CZ51">
        <f t="shared" si="29"/>
        <v>1200000</v>
      </c>
      <c r="DA51" s="49">
        <v>0.4</v>
      </c>
      <c r="DB51" s="95">
        <f t="shared" si="12"/>
        <v>720000</v>
      </c>
      <c r="DC51">
        <f t="shared" si="39"/>
        <v>11934000</v>
      </c>
      <c r="DD51" s="49">
        <v>0.5</v>
      </c>
      <c r="DE51" s="49">
        <f t="shared" si="33"/>
        <v>0.5</v>
      </c>
      <c r="DF51" s="98">
        <f t="shared" si="14"/>
        <v>360000</v>
      </c>
      <c r="DG51">
        <f>SUM($DF$5:DF51)</f>
        <v>6081000</v>
      </c>
      <c r="DH51">
        <f t="shared" si="30"/>
        <v>360000</v>
      </c>
      <c r="DI51">
        <f t="shared" si="15"/>
        <v>360000</v>
      </c>
      <c r="DJ51">
        <f>SUM($DI$5:DI51)</f>
        <v>6441000</v>
      </c>
      <c r="DK51">
        <f t="shared" si="16"/>
        <v>171</v>
      </c>
      <c r="DL51">
        <f>SUM($BH$5:BH51)</f>
        <v>486</v>
      </c>
      <c r="DM51">
        <f t="shared" si="17"/>
        <v>329</v>
      </c>
      <c r="DN51" s="55"/>
      <c r="DO51" s="55"/>
      <c r="DP51">
        <f t="shared" si="18"/>
        <v>37666.666666666664</v>
      </c>
      <c r="DQ51" s="55"/>
      <c r="DR51">
        <f>VLOOKUP(DK51,StarIdelRewards!A:I,9,FALSE)*BV51</f>
        <v>345600</v>
      </c>
      <c r="DS51">
        <f t="shared" si="19"/>
        <v>360000</v>
      </c>
      <c r="DT51">
        <f>SUM($DR$5:DR51)</f>
        <v>6748800</v>
      </c>
      <c r="DU51" s="47">
        <f t="shared" si="20"/>
        <v>-9.8950924608819352E-2</v>
      </c>
      <c r="DV51">
        <f t="shared" si="21"/>
        <v>25</v>
      </c>
      <c r="DX51">
        <f t="shared" si="22"/>
        <v>480000</v>
      </c>
      <c r="DY51">
        <f t="shared" si="23"/>
        <v>327.5</v>
      </c>
      <c r="DZ51" s="55"/>
      <c r="EB51">
        <f t="shared" si="24"/>
        <v>327.5</v>
      </c>
      <c r="EC51">
        <f>B51*(3-1.333)*'Chest&amp;Cards&amp;Offer'!$J$70/100</f>
        <v>70.514100000000013</v>
      </c>
      <c r="ED51">
        <f t="shared" si="25"/>
        <v>398.01409999999998</v>
      </c>
      <c r="EE51">
        <f t="shared" si="26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7"/>
        <v>7496</v>
      </c>
      <c r="ES51" s="7">
        <f>SUM(EH51:EO51)</f>
        <v>17128</v>
      </c>
      <c r="GE51" s="26" t="s">
        <v>268</v>
      </c>
      <c r="GF51" s="26"/>
      <c r="GG51" s="26"/>
      <c r="GH51" s="26"/>
    </row>
    <row r="52" spans="1:190">
      <c r="A52" s="16">
        <v>48</v>
      </c>
      <c r="B52">
        <v>48</v>
      </c>
      <c r="C52" s="14" t="s">
        <v>113</v>
      </c>
      <c r="D52">
        <v>8</v>
      </c>
      <c r="E52" t="str">
        <f t="shared" si="37"/>
        <v>紫4 - Lv8</v>
      </c>
      <c r="G52" t="str">
        <f t="shared" si="38"/>
        <v>紫8</v>
      </c>
      <c r="H52">
        <f>VLOOKUP(G52,Reference1!C:E,3,FALSE)</f>
        <v>2141.1</v>
      </c>
      <c r="I52" s="64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15926400</v>
      </c>
      <c r="AU52" s="16">
        <f t="shared" si="28"/>
        <v>1440000</v>
      </c>
      <c r="AW52" s="42">
        <v>0.7</v>
      </c>
      <c r="AX52">
        <f t="shared" si="2"/>
        <v>432000.00000000006</v>
      </c>
      <c r="AY52">
        <f t="shared" si="3"/>
        <v>1008000</v>
      </c>
      <c r="AZ52">
        <f>SUM($AY$5:AY52)</f>
        <v>8868000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360</v>
      </c>
      <c r="BS52">
        <f>VLOOKUP(BJ52,StarIdelRewards!A:D,4,FALSE)</f>
        <v>26</v>
      </c>
      <c r="BT52">
        <v>3</v>
      </c>
      <c r="BU52">
        <f t="shared" si="5"/>
        <v>240</v>
      </c>
      <c r="BV52">
        <f t="shared" si="6"/>
        <v>14400</v>
      </c>
      <c r="BW52">
        <f t="shared" si="7"/>
        <v>374400</v>
      </c>
      <c r="BX52">
        <f>SUM($BW$5:BW52)</f>
        <v>7540800</v>
      </c>
      <c r="BY52">
        <f>SUM($AX$5:AX52)</f>
        <v>7058400</v>
      </c>
      <c r="BZ52" s="47">
        <f t="shared" si="8"/>
        <v>6.8344100646038769E-2</v>
      </c>
      <c r="CG52">
        <f t="shared" si="9"/>
        <v>176</v>
      </c>
      <c r="CH52" s="55"/>
      <c r="CI52" s="44">
        <f t="shared" si="34"/>
        <v>12</v>
      </c>
      <c r="CJ52" s="44">
        <f t="shared" si="34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1"/>
        <v>21690000</v>
      </c>
      <c r="CZ52">
        <f t="shared" si="29"/>
        <v>1800000</v>
      </c>
      <c r="DA52" s="49">
        <v>0.4</v>
      </c>
      <c r="DB52" s="95">
        <f t="shared" si="12"/>
        <v>1080000</v>
      </c>
      <c r="DC52">
        <f t="shared" si="39"/>
        <v>13014000</v>
      </c>
      <c r="DD52" s="49">
        <v>0.5</v>
      </c>
      <c r="DE52" s="49">
        <f t="shared" si="33"/>
        <v>0.5</v>
      </c>
      <c r="DF52" s="98">
        <f t="shared" si="14"/>
        <v>540000</v>
      </c>
      <c r="DG52">
        <f>SUM($DF$5:DF52)</f>
        <v>6621000</v>
      </c>
      <c r="DH52">
        <f t="shared" si="30"/>
        <v>540000</v>
      </c>
      <c r="DI52">
        <f t="shared" si="15"/>
        <v>540000</v>
      </c>
      <c r="DJ52">
        <f>SUM($DI$5:DI52)</f>
        <v>6981000</v>
      </c>
      <c r="DK52">
        <f t="shared" si="16"/>
        <v>176</v>
      </c>
      <c r="DL52">
        <f>SUM($BH$5:BH52)</f>
        <v>500</v>
      </c>
      <c r="DM52">
        <f t="shared" si="17"/>
        <v>338</v>
      </c>
      <c r="DN52" s="55"/>
      <c r="DO52" s="55"/>
      <c r="DP52">
        <f t="shared" si="18"/>
        <v>39664.772727272728</v>
      </c>
      <c r="DQ52" s="55"/>
      <c r="DR52">
        <f>VLOOKUP(DK52,StarIdelRewards!A:I,9,FALSE)*BV52</f>
        <v>360000</v>
      </c>
      <c r="DS52">
        <f t="shared" si="19"/>
        <v>540000</v>
      </c>
      <c r="DT52">
        <f>SUM($DR$5:DR52)</f>
        <v>7108800</v>
      </c>
      <c r="DU52" s="47">
        <f t="shared" si="20"/>
        <v>-6.8619176232275494E-2</v>
      </c>
      <c r="DV52">
        <f t="shared" si="21"/>
        <v>37.5</v>
      </c>
      <c r="DX52">
        <f t="shared" si="22"/>
        <v>720000</v>
      </c>
      <c r="DY52">
        <f t="shared" si="23"/>
        <v>369.5</v>
      </c>
      <c r="DZ52" s="55"/>
      <c r="EB52">
        <f t="shared" si="24"/>
        <v>369.5</v>
      </c>
      <c r="EC52">
        <f>B52*(3-1.333)*'Chest&amp;Cards&amp;Offer'!$J$70/100</f>
        <v>72.014400000000009</v>
      </c>
      <c r="ED52">
        <f t="shared" si="25"/>
        <v>441.51440000000002</v>
      </c>
      <c r="EE52">
        <f t="shared" si="26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7"/>
        <v>8216</v>
      </c>
      <c r="ES52" s="7">
        <f>SUM(EH52:EO52)</f>
        <v>17848</v>
      </c>
      <c r="GE52" t="s">
        <v>269</v>
      </c>
    </row>
    <row r="53" spans="1:190">
      <c r="A53" s="16">
        <v>49</v>
      </c>
      <c r="B53">
        <v>49</v>
      </c>
      <c r="C53" s="13" t="s">
        <v>49</v>
      </c>
      <c r="D53">
        <v>9</v>
      </c>
      <c r="E53" t="str">
        <f t="shared" si="37"/>
        <v>橙1 - Lv9</v>
      </c>
      <c r="G53" t="str">
        <f t="shared" si="38"/>
        <v>橙9</v>
      </c>
      <c r="H53">
        <f>VLOOKUP(G53,Reference1!C:E,3,FALSE)</f>
        <v>1034.4000000000001</v>
      </c>
      <c r="I53" s="64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16130400</v>
      </c>
      <c r="AU53" s="16">
        <f t="shared" si="28"/>
        <v>204000</v>
      </c>
      <c r="AW53" s="42">
        <v>0.7</v>
      </c>
      <c r="AX53">
        <f t="shared" si="2"/>
        <v>61200.000000000007</v>
      </c>
      <c r="AY53">
        <f t="shared" si="3"/>
        <v>142800</v>
      </c>
      <c r="AZ53">
        <f>SUM($AY$5:AY53)</f>
        <v>9010800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5"/>
        <v>240</v>
      </c>
      <c r="BV53">
        <f t="shared" si="6"/>
        <v>14400</v>
      </c>
      <c r="BW53">
        <f t="shared" si="7"/>
        <v>374400</v>
      </c>
      <c r="BX53">
        <f>SUM($BW$5:BW53)</f>
        <v>7915200</v>
      </c>
      <c r="BY53">
        <f>SUM($AX$5:AX53)</f>
        <v>7119600</v>
      </c>
      <c r="BZ53" s="47">
        <f t="shared" si="8"/>
        <v>0.11174785100286533</v>
      </c>
      <c r="CG53">
        <f t="shared" si="9"/>
        <v>180</v>
      </c>
      <c r="CH53" s="55"/>
      <c r="CI53" s="44">
        <f t="shared" si="34"/>
        <v>13</v>
      </c>
      <c r="CJ53" s="44">
        <f t="shared" si="34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1"/>
        <v>22690000</v>
      </c>
      <c r="CZ53">
        <f t="shared" si="29"/>
        <v>1000000</v>
      </c>
      <c r="DA53" s="49">
        <v>0.4</v>
      </c>
      <c r="DB53" s="95">
        <f t="shared" si="12"/>
        <v>600000</v>
      </c>
      <c r="DC53">
        <f t="shared" si="39"/>
        <v>13614000</v>
      </c>
      <c r="DD53" s="49">
        <v>0.5</v>
      </c>
      <c r="DE53" s="49">
        <f t="shared" si="33"/>
        <v>0.5</v>
      </c>
      <c r="DF53" s="98">
        <f t="shared" si="14"/>
        <v>300000</v>
      </c>
      <c r="DG53">
        <f>SUM($DF$5:DF53)</f>
        <v>6921000</v>
      </c>
      <c r="DH53">
        <f t="shared" si="30"/>
        <v>300000</v>
      </c>
      <c r="DI53">
        <f t="shared" si="15"/>
        <v>300000</v>
      </c>
      <c r="DJ53">
        <f>SUM($DI$5:DI53)</f>
        <v>7281000</v>
      </c>
      <c r="DK53">
        <f t="shared" si="16"/>
        <v>180</v>
      </c>
      <c r="DL53">
        <f>SUM($BH$5:BH53)</f>
        <v>510</v>
      </c>
      <c r="DM53">
        <f t="shared" si="17"/>
        <v>345</v>
      </c>
      <c r="DN53" s="55"/>
      <c r="DO53" s="55"/>
      <c r="DP53">
        <f t="shared" si="18"/>
        <v>40450</v>
      </c>
      <c r="DQ53" s="55"/>
      <c r="DR53">
        <f>VLOOKUP(DK53,StarIdelRewards!A:I,9,FALSE)*BV53</f>
        <v>360000</v>
      </c>
      <c r="DS53">
        <f t="shared" si="19"/>
        <v>300000</v>
      </c>
      <c r="DT53">
        <f>SUM($DR$5:DR53)</f>
        <v>7468800</v>
      </c>
      <c r="DU53" s="47">
        <f t="shared" si="20"/>
        <v>-7.3345115681233933E-2</v>
      </c>
      <c r="DV53">
        <f t="shared" si="21"/>
        <v>20.833333333333332</v>
      </c>
      <c r="DX53">
        <f t="shared" si="22"/>
        <v>400000</v>
      </c>
      <c r="DY53">
        <f t="shared" si="23"/>
        <v>375.45</v>
      </c>
      <c r="DZ53" s="55"/>
      <c r="EB53">
        <f t="shared" si="24"/>
        <v>375.45</v>
      </c>
      <c r="EC53">
        <f>B53*(3-1.333)*'Chest&amp;Cards&amp;Offer'!$J$70/100</f>
        <v>73.514700000000005</v>
      </c>
      <c r="ED53">
        <f t="shared" si="25"/>
        <v>448.96469999999999</v>
      </c>
      <c r="EE53">
        <f t="shared" si="26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7"/>
        <v>8386</v>
      </c>
      <c r="ES53" s="7">
        <f>SUM(EH53:EO53)</f>
        <v>18018</v>
      </c>
      <c r="GE53" t="s">
        <v>270</v>
      </c>
    </row>
    <row r="54" spans="1:190">
      <c r="A54" s="16">
        <v>50</v>
      </c>
      <c r="B54">
        <v>50</v>
      </c>
      <c r="C54" s="13" t="s">
        <v>50</v>
      </c>
      <c r="D54">
        <v>9</v>
      </c>
      <c r="E54" t="str">
        <f t="shared" si="37"/>
        <v>橙2 - Lv9</v>
      </c>
      <c r="G54" t="str">
        <f t="shared" si="38"/>
        <v>橙9</v>
      </c>
      <c r="H54">
        <f>VLOOKUP(G54,Reference1!C:E,3,FALSE)</f>
        <v>1034.4000000000001</v>
      </c>
      <c r="I54" s="64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16334400</v>
      </c>
      <c r="AU54" s="16">
        <f t="shared" si="28"/>
        <v>204000</v>
      </c>
      <c r="AW54" s="42">
        <v>0.7</v>
      </c>
      <c r="AX54">
        <f t="shared" si="2"/>
        <v>61200.000000000007</v>
      </c>
      <c r="AY54">
        <f t="shared" si="3"/>
        <v>142800</v>
      </c>
      <c r="AZ54">
        <f>SUM($AY$5:AY54)</f>
        <v>9153600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5"/>
        <v>240</v>
      </c>
      <c r="BV54">
        <f t="shared" si="6"/>
        <v>14400</v>
      </c>
      <c r="BW54">
        <f t="shared" si="7"/>
        <v>374400</v>
      </c>
      <c r="BX54">
        <f>SUM($BW$5:BW54)</f>
        <v>8289600</v>
      </c>
      <c r="BY54">
        <f>SUM($AX$5:AX54)</f>
        <v>7180800</v>
      </c>
      <c r="BZ54" s="47">
        <f t="shared" si="8"/>
        <v>0.15441176470588236</v>
      </c>
      <c r="CG54">
        <f t="shared" si="9"/>
        <v>184</v>
      </c>
      <c r="CH54" s="55"/>
      <c r="CI54" s="44">
        <f t="shared" si="34"/>
        <v>14</v>
      </c>
      <c r="CJ54" s="44">
        <f t="shared" si="34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1"/>
        <v>23690000</v>
      </c>
      <c r="CZ54">
        <f t="shared" si="29"/>
        <v>1000000</v>
      </c>
      <c r="DA54" s="49">
        <v>0.4</v>
      </c>
      <c r="DB54" s="95">
        <f t="shared" si="12"/>
        <v>600000</v>
      </c>
      <c r="DC54">
        <f t="shared" si="39"/>
        <v>14214000</v>
      </c>
      <c r="DD54" s="49">
        <v>0.5</v>
      </c>
      <c r="DE54" s="49">
        <f t="shared" si="33"/>
        <v>0.5</v>
      </c>
      <c r="DF54" s="98">
        <f t="shared" si="14"/>
        <v>300000</v>
      </c>
      <c r="DG54">
        <f>SUM($DF$5:DF54)</f>
        <v>7221000</v>
      </c>
      <c r="DH54">
        <f t="shared" si="30"/>
        <v>300000</v>
      </c>
      <c r="DI54">
        <f t="shared" si="15"/>
        <v>300000</v>
      </c>
      <c r="DJ54">
        <f>SUM($DI$5:DI54)</f>
        <v>7581000</v>
      </c>
      <c r="DK54">
        <f t="shared" si="16"/>
        <v>184</v>
      </c>
      <c r="DL54">
        <f>SUM($BH$5:BH54)</f>
        <v>520</v>
      </c>
      <c r="DM54">
        <f t="shared" si="17"/>
        <v>352</v>
      </c>
      <c r="DN54" s="55"/>
      <c r="DO54" s="55"/>
      <c r="DP54">
        <f t="shared" si="18"/>
        <v>41201.086956521736</v>
      </c>
      <c r="DQ54" s="55"/>
      <c r="DR54">
        <f>VLOOKUP(DK54,StarIdelRewards!A:I,9,FALSE)*BV54</f>
        <v>360000</v>
      </c>
      <c r="DS54">
        <f t="shared" si="19"/>
        <v>300000</v>
      </c>
      <c r="DT54">
        <f>SUM($DR$5:DR54)</f>
        <v>7828800</v>
      </c>
      <c r="DU54" s="47">
        <f t="shared" si="20"/>
        <v>-7.7636419374616794E-2</v>
      </c>
      <c r="DV54">
        <f t="shared" si="21"/>
        <v>20.833333333333332</v>
      </c>
      <c r="DX54">
        <f t="shared" si="22"/>
        <v>400000</v>
      </c>
      <c r="DY54">
        <f t="shared" si="23"/>
        <v>381.4</v>
      </c>
      <c r="DZ54" s="55"/>
      <c r="EB54">
        <f t="shared" si="24"/>
        <v>381.4</v>
      </c>
      <c r="EC54">
        <f>B54*(3-1.333)*'Chest&amp;Cards&amp;Offer'!$J$70/100</f>
        <v>75.015000000000015</v>
      </c>
      <c r="ED54">
        <f t="shared" si="25"/>
        <v>456.41499999999996</v>
      </c>
      <c r="EE54">
        <f t="shared" si="26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7"/>
        <v>8556</v>
      </c>
      <c r="ES54" s="7">
        <f>SUM(EH54:EO54)</f>
        <v>19468</v>
      </c>
    </row>
    <row r="55" spans="1:190">
      <c r="A55" s="16">
        <v>51</v>
      </c>
      <c r="B55">
        <v>51</v>
      </c>
      <c r="C55" s="14" t="s">
        <v>51</v>
      </c>
      <c r="D55">
        <v>9</v>
      </c>
      <c r="E55" t="str">
        <f t="shared" si="37"/>
        <v>紫1 - Lv9</v>
      </c>
      <c r="G55" t="str">
        <f t="shared" si="38"/>
        <v>紫9</v>
      </c>
      <c r="H55">
        <f>VLOOKUP(G55,Reference1!C:E,3,FALSE)</f>
        <v>1903.2</v>
      </c>
      <c r="I55" s="64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18374400</v>
      </c>
      <c r="AU55" s="16">
        <f t="shared" si="28"/>
        <v>2040000</v>
      </c>
      <c r="AW55" s="42">
        <v>0.7</v>
      </c>
      <c r="AX55">
        <f t="shared" si="2"/>
        <v>612000.00000000012</v>
      </c>
      <c r="AY55">
        <f t="shared" si="3"/>
        <v>1428000</v>
      </c>
      <c r="AZ55">
        <f>SUM($AY$5:AY55)</f>
        <v>10581600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361</v>
      </c>
      <c r="BS55">
        <f>VLOOKUP(BJ55,StarIdelRewards!A:D,4,FALSE)</f>
        <v>26</v>
      </c>
      <c r="BT55">
        <v>3</v>
      </c>
      <c r="BU55">
        <f t="shared" si="5"/>
        <v>240</v>
      </c>
      <c r="BV55">
        <f t="shared" si="6"/>
        <v>14400</v>
      </c>
      <c r="BW55">
        <f t="shared" si="7"/>
        <v>374400</v>
      </c>
      <c r="BX55">
        <f>SUM($BW$5:BW55)</f>
        <v>8664000</v>
      </c>
      <c r="BY55">
        <f>SUM($AX$5:AX55)</f>
        <v>7792800</v>
      </c>
      <c r="BZ55" s="47">
        <f t="shared" si="8"/>
        <v>0.11179550354173083</v>
      </c>
      <c r="CG55">
        <f t="shared" si="9"/>
        <v>189</v>
      </c>
      <c r="CH55" s="55"/>
      <c r="CI55" s="44">
        <f t="shared" si="34"/>
        <v>15</v>
      </c>
      <c r="CJ55" s="44">
        <f t="shared" si="34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1"/>
        <v>25890000</v>
      </c>
      <c r="CZ55">
        <f t="shared" si="29"/>
        <v>2200000</v>
      </c>
      <c r="DA55" s="49">
        <v>0.4</v>
      </c>
      <c r="DB55" s="95">
        <f t="shared" si="12"/>
        <v>1320000</v>
      </c>
      <c r="DC55">
        <f t="shared" si="39"/>
        <v>15534000</v>
      </c>
      <c r="DD55" s="49">
        <v>0.5</v>
      </c>
      <c r="DE55" s="49">
        <f t="shared" si="33"/>
        <v>0.5</v>
      </c>
      <c r="DF55" s="98">
        <f t="shared" si="14"/>
        <v>660000</v>
      </c>
      <c r="DG55">
        <f>SUM($DF$5:DF55)</f>
        <v>7881000</v>
      </c>
      <c r="DH55">
        <f t="shared" si="30"/>
        <v>660000</v>
      </c>
      <c r="DI55">
        <f t="shared" si="15"/>
        <v>660000</v>
      </c>
      <c r="DJ55">
        <f>SUM($DI$5:DI55)</f>
        <v>8241000</v>
      </c>
      <c r="DK55">
        <f t="shared" si="16"/>
        <v>189</v>
      </c>
      <c r="DL55">
        <f>SUM($BH$5:BH55)</f>
        <v>534</v>
      </c>
      <c r="DM55">
        <f t="shared" si="17"/>
        <v>362</v>
      </c>
      <c r="DN55" s="55"/>
      <c r="DO55" s="55"/>
      <c r="DP55">
        <f t="shared" si="18"/>
        <v>43603.174603174601</v>
      </c>
      <c r="DQ55" s="55"/>
      <c r="DR55">
        <f>VLOOKUP(DK55,StarIdelRewards!A:I,9,FALSE)*BV55</f>
        <v>360000</v>
      </c>
      <c r="DS55">
        <f t="shared" si="19"/>
        <v>660000</v>
      </c>
      <c r="DT55">
        <f>SUM($DR$5:DR55)</f>
        <v>8188800</v>
      </c>
      <c r="DU55" s="47">
        <f t="shared" si="20"/>
        <v>-3.7587924970691675E-2</v>
      </c>
      <c r="DV55">
        <f t="shared" si="21"/>
        <v>45.833333333333336</v>
      </c>
      <c r="DX55">
        <f t="shared" si="22"/>
        <v>880000</v>
      </c>
      <c r="DY55">
        <f t="shared" si="23"/>
        <v>440.9</v>
      </c>
      <c r="DZ55" s="55"/>
      <c r="EB55">
        <f t="shared" si="24"/>
        <v>440.9</v>
      </c>
      <c r="EC55">
        <f>B55*(3-1.333)*'Chest&amp;Cards&amp;Offer'!$J$70/100</f>
        <v>76.515299999999996</v>
      </c>
      <c r="ED55">
        <f t="shared" si="25"/>
        <v>517.4153</v>
      </c>
      <c r="EE55">
        <f t="shared" si="26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7"/>
        <v>9576</v>
      </c>
      <c r="ES55" s="7">
        <f>SUM(EH55:EO55)</f>
        <v>22408</v>
      </c>
    </row>
    <row r="56" spans="1:190">
      <c r="A56" s="16">
        <v>52</v>
      </c>
      <c r="B56">
        <v>52</v>
      </c>
      <c r="C56" s="14" t="s">
        <v>104</v>
      </c>
      <c r="D56">
        <v>9</v>
      </c>
      <c r="E56" t="str">
        <f t="shared" si="37"/>
        <v>紫2 - Lv9</v>
      </c>
      <c r="G56" t="str">
        <f t="shared" si="38"/>
        <v>紫9</v>
      </c>
      <c r="H56">
        <f>VLOOKUP(G56,Reference1!C:E,3,FALSE)</f>
        <v>1903.2</v>
      </c>
      <c r="I56" s="64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20414400</v>
      </c>
      <c r="AU56" s="16">
        <f t="shared" si="28"/>
        <v>2040000</v>
      </c>
      <c r="AW56" s="42">
        <v>0.7</v>
      </c>
      <c r="AX56">
        <f t="shared" si="2"/>
        <v>612000.00000000012</v>
      </c>
      <c r="AY56">
        <f t="shared" si="3"/>
        <v>1428000</v>
      </c>
      <c r="AZ56">
        <f>SUM($AY$5:AY56)</f>
        <v>12009600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5"/>
        <v>240</v>
      </c>
      <c r="BV56">
        <f t="shared" si="6"/>
        <v>14400</v>
      </c>
      <c r="BW56">
        <f t="shared" si="7"/>
        <v>388800</v>
      </c>
      <c r="BX56">
        <f>SUM($BW$5:BW56)</f>
        <v>9052800</v>
      </c>
      <c r="BY56">
        <f>SUM($AX$5:AX56)</f>
        <v>8404800</v>
      </c>
      <c r="BZ56" s="47">
        <f t="shared" si="8"/>
        <v>7.7098800685322669E-2</v>
      </c>
      <c r="CG56">
        <f t="shared" si="9"/>
        <v>194</v>
      </c>
      <c r="CH56" s="55"/>
      <c r="CI56" s="44">
        <f t="shared" si="34"/>
        <v>16</v>
      </c>
      <c r="CJ56" s="44">
        <f t="shared" si="34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1"/>
        <v>28090000</v>
      </c>
      <c r="CZ56">
        <f t="shared" si="29"/>
        <v>2200000</v>
      </c>
      <c r="DA56" s="49">
        <v>0.4</v>
      </c>
      <c r="DB56" s="95">
        <f t="shared" si="12"/>
        <v>1320000</v>
      </c>
      <c r="DC56">
        <f t="shared" si="39"/>
        <v>16854000</v>
      </c>
      <c r="DD56" s="49">
        <v>0.5</v>
      </c>
      <c r="DE56" s="49">
        <f t="shared" si="33"/>
        <v>0.5</v>
      </c>
      <c r="DF56" s="98">
        <f t="shared" si="14"/>
        <v>660000</v>
      </c>
      <c r="DG56">
        <f>SUM($DF$5:DF56)</f>
        <v>8541000</v>
      </c>
      <c r="DH56">
        <f t="shared" si="30"/>
        <v>660000</v>
      </c>
      <c r="DI56">
        <f t="shared" si="15"/>
        <v>660000</v>
      </c>
      <c r="DJ56">
        <f>SUM($DI$5:DI56)</f>
        <v>8901000</v>
      </c>
      <c r="DK56">
        <f t="shared" si="16"/>
        <v>194</v>
      </c>
      <c r="DL56">
        <f>SUM($BH$5:BH56)</f>
        <v>548</v>
      </c>
      <c r="DM56">
        <f t="shared" si="17"/>
        <v>371</v>
      </c>
      <c r="DN56" s="55"/>
      <c r="DO56" s="55"/>
      <c r="DP56">
        <f t="shared" si="18"/>
        <v>45881.443298969069</v>
      </c>
      <c r="DQ56" s="55"/>
      <c r="DR56">
        <f>VLOOKUP(DK56,StarIdelRewards!A:I,9,FALSE)*BV56</f>
        <v>374400</v>
      </c>
      <c r="DS56">
        <f t="shared" si="19"/>
        <v>660000</v>
      </c>
      <c r="DT56">
        <f>SUM($DR$5:DR56)</f>
        <v>8563200</v>
      </c>
      <c r="DU56" s="47">
        <f t="shared" si="20"/>
        <v>-2.5924887892376683E-3</v>
      </c>
      <c r="DV56">
        <f t="shared" si="21"/>
        <v>45.833333333333336</v>
      </c>
      <c r="DX56">
        <f t="shared" si="22"/>
        <v>880000</v>
      </c>
      <c r="DY56">
        <f t="shared" si="23"/>
        <v>500.4</v>
      </c>
      <c r="DZ56" s="55"/>
      <c r="EB56">
        <f>BB56</f>
        <v>500.4</v>
      </c>
      <c r="EC56">
        <f>B56*(3-1.333)*'Chest&amp;Cards&amp;Offer'!$J$70/100</f>
        <v>78.015599999999992</v>
      </c>
      <c r="ED56">
        <f t="shared" si="25"/>
        <v>578.41559999999993</v>
      </c>
      <c r="EE56">
        <f t="shared" si="26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7"/>
        <v>10596</v>
      </c>
      <c r="ES56" s="7">
        <f>SUM(EH56:EO56)</f>
        <v>26148</v>
      </c>
    </row>
    <row r="57" spans="1:190">
      <c r="A57" s="16">
        <v>53</v>
      </c>
      <c r="B57">
        <v>53</v>
      </c>
      <c r="C57" s="14" t="s">
        <v>112</v>
      </c>
      <c r="D57">
        <v>9</v>
      </c>
      <c r="E57" t="str">
        <f t="shared" si="37"/>
        <v>紫3 - Lv9</v>
      </c>
      <c r="G57" t="str">
        <f t="shared" si="38"/>
        <v>紫9</v>
      </c>
      <c r="H57">
        <f>VLOOKUP(G57,Reference1!C:E,3,FALSE)</f>
        <v>1903.2</v>
      </c>
      <c r="I57" s="64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22454400</v>
      </c>
      <c r="AU57" s="16">
        <f t="shared" si="28"/>
        <v>2040000</v>
      </c>
      <c r="AW57" s="42">
        <v>0.7</v>
      </c>
      <c r="AX57">
        <f t="shared" si="2"/>
        <v>612000.00000000012</v>
      </c>
      <c r="AY57">
        <f t="shared" si="3"/>
        <v>1428000</v>
      </c>
      <c r="AZ57">
        <f>SUM($AY$5:AY57)</f>
        <v>13437600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5"/>
        <v>240</v>
      </c>
      <c r="BV57">
        <f t="shared" si="6"/>
        <v>14400</v>
      </c>
      <c r="BW57">
        <f t="shared" si="7"/>
        <v>388800</v>
      </c>
      <c r="BX57">
        <f>SUM($BW$5:BW57)</f>
        <v>9441600</v>
      </c>
      <c r="BY57">
        <f>SUM($AX$5:AX57)</f>
        <v>9016800</v>
      </c>
      <c r="BZ57" s="47">
        <f t="shared" si="8"/>
        <v>4.7112057492680333E-2</v>
      </c>
      <c r="CG57">
        <f t="shared" si="9"/>
        <v>199</v>
      </c>
      <c r="CH57" s="55"/>
      <c r="CI57" s="44">
        <f t="shared" si="34"/>
        <v>17</v>
      </c>
      <c r="CJ57" s="44">
        <f t="shared" si="34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1"/>
        <v>30290000</v>
      </c>
      <c r="CZ57">
        <f t="shared" si="29"/>
        <v>2200000</v>
      </c>
      <c r="DA57" s="49">
        <v>0.4</v>
      </c>
      <c r="DB57" s="95">
        <f t="shared" si="12"/>
        <v>1320000</v>
      </c>
      <c r="DC57">
        <f t="shared" si="39"/>
        <v>18174000</v>
      </c>
      <c r="DD57" s="49">
        <v>0.5</v>
      </c>
      <c r="DE57" s="49">
        <f t="shared" si="33"/>
        <v>0.5</v>
      </c>
      <c r="DF57" s="98">
        <f t="shared" si="14"/>
        <v>660000</v>
      </c>
      <c r="DG57">
        <f>SUM($DF$5:DF57)</f>
        <v>9201000</v>
      </c>
      <c r="DH57">
        <f t="shared" si="30"/>
        <v>660000</v>
      </c>
      <c r="DI57">
        <f t="shared" si="15"/>
        <v>660000</v>
      </c>
      <c r="DJ57">
        <f>SUM($DI$5:DI57)</f>
        <v>9561000</v>
      </c>
      <c r="DK57">
        <f t="shared" si="16"/>
        <v>199</v>
      </c>
      <c r="DL57">
        <f>SUM($BH$5:BH57)</f>
        <v>562</v>
      </c>
      <c r="DM57">
        <f t="shared" si="17"/>
        <v>381</v>
      </c>
      <c r="DN57" s="55"/>
      <c r="DO57" s="55"/>
      <c r="DP57">
        <f t="shared" si="18"/>
        <v>48045.226130653267</v>
      </c>
      <c r="DQ57" s="55"/>
      <c r="DR57">
        <f>VLOOKUP(DK57,StarIdelRewards!A:I,9,FALSE)*BV57</f>
        <v>374400</v>
      </c>
      <c r="DS57">
        <f t="shared" si="19"/>
        <v>660000</v>
      </c>
      <c r="DT57">
        <f>SUM($DR$5:DR57)</f>
        <v>8937600</v>
      </c>
      <c r="DU57" s="47">
        <f t="shared" si="20"/>
        <v>2.9470998925886144E-2</v>
      </c>
      <c r="DV57">
        <f t="shared" si="21"/>
        <v>45.833333333333336</v>
      </c>
      <c r="DX57">
        <f t="shared" si="22"/>
        <v>880000</v>
      </c>
      <c r="DY57">
        <f t="shared" si="23"/>
        <v>559.9</v>
      </c>
      <c r="DZ57" s="55"/>
      <c r="EB57">
        <f t="shared" si="24"/>
        <v>559.9</v>
      </c>
      <c r="EC57">
        <f>B57*(3-1.333)*'Chest&amp;Cards&amp;Offer'!$J$70/100</f>
        <v>79.515900000000002</v>
      </c>
      <c r="ED57">
        <f t="shared" si="25"/>
        <v>639.41589999999997</v>
      </c>
      <c r="EE57">
        <f t="shared" si="26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7"/>
        <v>11616</v>
      </c>
      <c r="ER57">
        <v>13</v>
      </c>
      <c r="ES57" s="7">
        <f>SUM(EH57:EO57)</f>
        <v>27168</v>
      </c>
      <c r="GE57" t="s">
        <v>271</v>
      </c>
    </row>
    <row r="58" spans="1:190">
      <c r="A58" s="16">
        <v>54</v>
      </c>
      <c r="B58">
        <v>54</v>
      </c>
      <c r="C58" s="14" t="s">
        <v>113</v>
      </c>
      <c r="D58">
        <v>9</v>
      </c>
      <c r="E58" t="str">
        <f t="shared" ref="E58:E64" si="40">C58&amp;" - " &amp;"Lv"&amp;D58</f>
        <v>紫4 - Lv9</v>
      </c>
      <c r="G58" t="str">
        <f t="shared" ref="G58:G64" si="41">TEXT(SUBSTITUTE(C58,RIGHT(C58,1),"")&amp;D58,0)</f>
        <v>紫9</v>
      </c>
      <c r="H58">
        <f>VLOOKUP(G58,Reference1!C:E,3,FALSE)</f>
        <v>1903.2</v>
      </c>
      <c r="I58" s="64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24494400</v>
      </c>
      <c r="AU58" s="16">
        <f t="shared" si="28"/>
        <v>2040000</v>
      </c>
      <c r="AW58" s="42">
        <v>0.7</v>
      </c>
      <c r="AX58">
        <f t="shared" si="2"/>
        <v>612000.00000000012</v>
      </c>
      <c r="AY58">
        <f t="shared" si="3"/>
        <v>1428000</v>
      </c>
      <c r="AZ58">
        <f>SUM($AY$5:AY58)</f>
        <v>14865600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5"/>
        <v>240</v>
      </c>
      <c r="BV58">
        <f t="shared" si="6"/>
        <v>14400</v>
      </c>
      <c r="BW58">
        <f t="shared" si="7"/>
        <v>388800</v>
      </c>
      <c r="BX58">
        <f>SUM($BW$5:BW58)</f>
        <v>9830400</v>
      </c>
      <c r="BY58">
        <f>SUM($AX$5:AX58)</f>
        <v>9628800</v>
      </c>
      <c r="BZ58" s="47">
        <f t="shared" si="8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9"/>
        <v>204</v>
      </c>
      <c r="CH58" s="55"/>
      <c r="CI58" s="44">
        <f t="shared" si="34"/>
        <v>18</v>
      </c>
      <c r="CJ58" s="44">
        <f t="shared" si="34"/>
        <v>1620</v>
      </c>
      <c r="CK58" s="44">
        <f>CJ58+BE58/3</f>
        <v>18883.333333333332</v>
      </c>
      <c r="CN58">
        <f>CK58*2</f>
        <v>37766.666666666664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1"/>
        <v>32490000</v>
      </c>
      <c r="CZ58">
        <f t="shared" si="29"/>
        <v>2200000</v>
      </c>
      <c r="DA58" s="49">
        <v>0.4</v>
      </c>
      <c r="DB58" s="95">
        <f t="shared" si="12"/>
        <v>1320000</v>
      </c>
      <c r="DC58">
        <f t="shared" si="39"/>
        <v>19494000</v>
      </c>
      <c r="DD58" s="49">
        <v>0.5</v>
      </c>
      <c r="DE58" s="49">
        <f t="shared" si="33"/>
        <v>0.5</v>
      </c>
      <c r="DF58" s="98">
        <f t="shared" si="14"/>
        <v>660000</v>
      </c>
      <c r="DG58">
        <f>SUM($DF$5:DF58)</f>
        <v>9861000</v>
      </c>
      <c r="DH58">
        <f t="shared" si="30"/>
        <v>660000</v>
      </c>
      <c r="DI58">
        <f t="shared" si="15"/>
        <v>660000</v>
      </c>
      <c r="DJ58">
        <f>SUM($DI$5:DI58)</f>
        <v>10221000</v>
      </c>
      <c r="DK58">
        <f t="shared" si="16"/>
        <v>204</v>
      </c>
      <c r="DL58">
        <f>SUM($BH$5:BH58)</f>
        <v>576</v>
      </c>
      <c r="DM58">
        <f t="shared" si="17"/>
        <v>390</v>
      </c>
      <c r="DN58" s="55"/>
      <c r="DO58" s="55"/>
      <c r="DP58">
        <f t="shared" si="18"/>
        <v>50102.941176470587</v>
      </c>
      <c r="DQ58" s="55"/>
      <c r="DR58">
        <f>VLOOKUP(DK58,StarIdelRewards!A:I,9,FALSE)*BV58</f>
        <v>374400</v>
      </c>
      <c r="DS58">
        <f t="shared" si="19"/>
        <v>660000</v>
      </c>
      <c r="DT58">
        <f>SUM($DR$5:DR58)</f>
        <v>9312000</v>
      </c>
      <c r="DU58" s="47">
        <f t="shared" si="20"/>
        <v>5.8956185567010308E-2</v>
      </c>
      <c r="DV58">
        <f t="shared" si="21"/>
        <v>45.833333333333336</v>
      </c>
      <c r="DX58">
        <f t="shared" si="22"/>
        <v>880000</v>
      </c>
      <c r="DY58">
        <f t="shared" si="23"/>
        <v>619.4</v>
      </c>
      <c r="DZ58" s="55"/>
      <c r="EB58">
        <f t="shared" si="24"/>
        <v>619.4</v>
      </c>
      <c r="EC58">
        <f>B58*(3-1.333)*'Chest&amp;Cards&amp;Offer'!$J$70/100</f>
        <v>81.016199999999998</v>
      </c>
      <c r="ED58">
        <f t="shared" si="25"/>
        <v>700.4162</v>
      </c>
      <c r="EE58">
        <f t="shared" si="26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7"/>
        <v>12636</v>
      </c>
      <c r="ES58" s="7">
        <f>SUM(EH58:EO58)</f>
        <v>28188</v>
      </c>
    </row>
    <row r="59" spans="1:190">
      <c r="A59" s="40">
        <v>55</v>
      </c>
      <c r="B59">
        <v>55</v>
      </c>
      <c r="C59" s="13" t="s">
        <v>49</v>
      </c>
      <c r="D59">
        <v>10</v>
      </c>
      <c r="E59" t="str">
        <f t="shared" si="40"/>
        <v>橙1 - Lv10</v>
      </c>
      <c r="G59" t="str">
        <f t="shared" si="41"/>
        <v>橙10</v>
      </c>
      <c r="H59">
        <f>VLOOKUP(G59,Reference1!C:E,3,FALSE)</f>
        <v>2293</v>
      </c>
      <c r="I59" s="60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24770400</v>
      </c>
      <c r="AU59" s="40">
        <f t="shared" si="28"/>
        <v>276000</v>
      </c>
      <c r="AW59" s="42">
        <v>0.8</v>
      </c>
      <c r="AX59">
        <f t="shared" si="2"/>
        <v>55199.999999999985</v>
      </c>
      <c r="AY59">
        <f t="shared" si="3"/>
        <v>220800</v>
      </c>
      <c r="AZ59">
        <f>SUM($AY$5:AY59)</f>
        <v>15086400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5"/>
        <v>160</v>
      </c>
      <c r="BV59">
        <f t="shared" si="6"/>
        <v>9600</v>
      </c>
      <c r="BW59">
        <f t="shared" si="7"/>
        <v>268800</v>
      </c>
      <c r="BX59">
        <f>SUM($BW$5:BW59)</f>
        <v>10099200</v>
      </c>
      <c r="BY59">
        <f>SUM($AX$5:AX59)</f>
        <v>9684000</v>
      </c>
      <c r="BZ59" s="47">
        <f t="shared" si="8"/>
        <v>4.287484510532838E-2</v>
      </c>
      <c r="CC59" t="s">
        <v>427</v>
      </c>
      <c r="CG59">
        <f t="shared" si="9"/>
        <v>208</v>
      </c>
      <c r="CH59" s="55"/>
      <c r="CI59" s="44">
        <f t="shared" si="34"/>
        <v>1</v>
      </c>
      <c r="CJ59" s="44">
        <f t="shared" si="34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1"/>
        <v>33690000</v>
      </c>
      <c r="CZ59">
        <f t="shared" si="29"/>
        <v>1200000</v>
      </c>
      <c r="DA59" s="49">
        <v>0.5</v>
      </c>
      <c r="DB59" s="95">
        <f t="shared" si="12"/>
        <v>600000</v>
      </c>
      <c r="DC59">
        <f t="shared" si="39"/>
        <v>16845000</v>
      </c>
      <c r="DD59" s="49">
        <v>0.5</v>
      </c>
      <c r="DE59" s="49">
        <f t="shared" si="33"/>
        <v>0.5</v>
      </c>
      <c r="DF59" s="98">
        <f>DB59*DD59</f>
        <v>300000</v>
      </c>
      <c r="DG59">
        <f>SUM($DF$5:DF59)</f>
        <v>10161000</v>
      </c>
      <c r="DH59">
        <f t="shared" si="30"/>
        <v>300000</v>
      </c>
      <c r="DI59">
        <f t="shared" si="15"/>
        <v>300000</v>
      </c>
      <c r="DJ59">
        <f>SUM($DI$5:DI59)</f>
        <v>10521000</v>
      </c>
      <c r="DK59">
        <f t="shared" si="16"/>
        <v>208</v>
      </c>
      <c r="DL59">
        <f>SUM($BH$5:BH59)</f>
        <v>588</v>
      </c>
      <c r="DM59">
        <f t="shared" si="17"/>
        <v>398</v>
      </c>
      <c r="DN59" s="55">
        <f>SUM(DI59:DI64)</f>
        <v>3300000</v>
      </c>
      <c r="DO59" s="55">
        <f>DK64-DK59</f>
        <v>32</v>
      </c>
      <c r="DP59">
        <f t="shared" si="18"/>
        <v>50581.730769230766</v>
      </c>
      <c r="DQ59" s="55">
        <f>DN59/DO59</f>
        <v>103125</v>
      </c>
      <c r="DR59">
        <f>VLOOKUP(DK59,StarIdelRewards!A:I,9,FALSE)*BV59</f>
        <v>259200</v>
      </c>
      <c r="DS59">
        <f t="shared" si="19"/>
        <v>300000</v>
      </c>
      <c r="DT59">
        <f>SUM($DR$5:DR59)</f>
        <v>9571200</v>
      </c>
      <c r="DU59" s="47">
        <f t="shared" si="20"/>
        <v>6.1622367101303914E-2</v>
      </c>
      <c r="DV59">
        <f t="shared" si="21"/>
        <v>31.25</v>
      </c>
      <c r="DX59">
        <f t="shared" si="22"/>
        <v>600000</v>
      </c>
      <c r="DY59">
        <f t="shared" si="23"/>
        <v>628.6</v>
      </c>
      <c r="DZ59" s="55"/>
      <c r="EB59">
        <f t="shared" si="24"/>
        <v>628.6</v>
      </c>
      <c r="EC59">
        <f>B59*(3-1.333)*'Chest&amp;Cards&amp;Offer'!$J$70/100</f>
        <v>82.516499999999994</v>
      </c>
      <c r="ED59">
        <f t="shared" si="25"/>
        <v>711.11649999999997</v>
      </c>
      <c r="EE59">
        <f t="shared" si="26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7"/>
        <v>12866</v>
      </c>
      <c r="ES59" s="7">
        <f>SUM(EH59:EO59)</f>
        <v>28418</v>
      </c>
    </row>
    <row r="60" spans="1:190">
      <c r="A60" s="40">
        <v>56</v>
      </c>
      <c r="B60">
        <v>56</v>
      </c>
      <c r="C60" s="13" t="s">
        <v>50</v>
      </c>
      <c r="D60">
        <v>10</v>
      </c>
      <c r="E60" t="str">
        <f t="shared" si="40"/>
        <v>橙2 - Lv10</v>
      </c>
      <c r="G60" t="str">
        <f t="shared" si="41"/>
        <v>橙10</v>
      </c>
      <c r="H60">
        <f>VLOOKUP(G60,Reference1!C:E,3,FALSE)</f>
        <v>2293</v>
      </c>
      <c r="I60" s="60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25046400</v>
      </c>
      <c r="AU60" s="40">
        <f t="shared" si="28"/>
        <v>276000</v>
      </c>
      <c r="AW60" s="42">
        <v>0.8</v>
      </c>
      <c r="AX60">
        <f t="shared" si="2"/>
        <v>55199.999999999985</v>
      </c>
      <c r="AY60">
        <f t="shared" si="3"/>
        <v>220800</v>
      </c>
      <c r="AZ60">
        <f>SUM($AY$5:AY60)</f>
        <v>15307200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5"/>
        <v>160</v>
      </c>
      <c r="BV60">
        <f t="shared" si="6"/>
        <v>9600</v>
      </c>
      <c r="BW60">
        <f t="shared" si="7"/>
        <v>268800</v>
      </c>
      <c r="BX60">
        <f>SUM($BW$5:BW60)</f>
        <v>10368000</v>
      </c>
      <c r="BY60">
        <f>SUM($AX$5:AX60)</f>
        <v>9739200</v>
      </c>
      <c r="BZ60" s="47">
        <f t="shared" si="8"/>
        <v>6.4563824544110401E-2</v>
      </c>
      <c r="CG60">
        <f t="shared" si="9"/>
        <v>212</v>
      </c>
      <c r="CH60" s="55"/>
      <c r="CI60" s="44">
        <f t="shared" si="34"/>
        <v>2</v>
      </c>
      <c r="CJ60" s="44">
        <f t="shared" si="34"/>
        <v>180</v>
      </c>
      <c r="CK60" s="43"/>
      <c r="CL60" t="s">
        <v>472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1"/>
        <v>34890000</v>
      </c>
      <c r="CZ60">
        <f t="shared" si="29"/>
        <v>1200000</v>
      </c>
      <c r="DA60" s="49">
        <v>0.5</v>
      </c>
      <c r="DB60" s="95">
        <f t="shared" si="12"/>
        <v>600000</v>
      </c>
      <c r="DC60">
        <f t="shared" si="39"/>
        <v>17445000</v>
      </c>
      <c r="DD60" s="49">
        <v>0.5</v>
      </c>
      <c r="DE60" s="49">
        <f t="shared" si="33"/>
        <v>0.5</v>
      </c>
      <c r="DF60" s="98">
        <f>DB60*DD60</f>
        <v>300000</v>
      </c>
      <c r="DG60">
        <f>SUM($DF$5:DF60)</f>
        <v>10461000</v>
      </c>
      <c r="DH60">
        <f t="shared" si="30"/>
        <v>300000</v>
      </c>
      <c r="DI60">
        <f t="shared" si="15"/>
        <v>300000</v>
      </c>
      <c r="DJ60">
        <f>SUM($DI$5:DI60)</f>
        <v>10821000</v>
      </c>
      <c r="DK60">
        <f t="shared" si="16"/>
        <v>212</v>
      </c>
      <c r="DL60">
        <f>SUM($BH$5:BH60)</f>
        <v>600</v>
      </c>
      <c r="DM60">
        <f t="shared" si="17"/>
        <v>406</v>
      </c>
      <c r="DN60" s="55"/>
      <c r="DO60" s="55"/>
      <c r="DP60">
        <f t="shared" si="18"/>
        <v>51042.452830188682</v>
      </c>
      <c r="DQ60" s="55"/>
      <c r="DR60">
        <f>VLOOKUP(DK60,StarIdelRewards!A:I,9,FALSE)*BV60</f>
        <v>259200</v>
      </c>
      <c r="DS60">
        <f t="shared" si="19"/>
        <v>300000</v>
      </c>
      <c r="DT60">
        <f>SUM($DR$5:DR60)</f>
        <v>9830400</v>
      </c>
      <c r="DU60" s="47">
        <f t="shared" si="20"/>
        <v>6.414794921875E-2</v>
      </c>
      <c r="DV60">
        <f t="shared" si="21"/>
        <v>31.25</v>
      </c>
      <c r="DX60">
        <f t="shared" si="22"/>
        <v>600000</v>
      </c>
      <c r="DY60">
        <f t="shared" si="23"/>
        <v>637.79999999999995</v>
      </c>
      <c r="DZ60" s="55"/>
      <c r="EB60">
        <f t="shared" si="24"/>
        <v>637.79999999999995</v>
      </c>
      <c r="EC60">
        <f>B60*(3-1.333)*'Chest&amp;Cards&amp;Offer'!$J$70/100</f>
        <v>84.016800000000003</v>
      </c>
      <c r="ED60">
        <f t="shared" si="25"/>
        <v>721.81679999999994</v>
      </c>
      <c r="EE60">
        <f t="shared" si="26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7"/>
        <v>13096</v>
      </c>
      <c r="ES60" s="7">
        <f>SUM(EH60:EO60)</f>
        <v>28648</v>
      </c>
    </row>
    <row r="61" spans="1:190">
      <c r="A61" s="40">
        <v>57</v>
      </c>
      <c r="B61">
        <v>57</v>
      </c>
      <c r="C61" s="14" t="s">
        <v>51</v>
      </c>
      <c r="D61">
        <v>10</v>
      </c>
      <c r="E61" t="str">
        <f t="shared" si="40"/>
        <v>紫1 - Lv10</v>
      </c>
      <c r="G61" t="str">
        <f t="shared" si="41"/>
        <v>紫10</v>
      </c>
      <c r="H61">
        <f>VLOOKUP(G61,Reference1!C:E,3,FALSE)</f>
        <v>3879</v>
      </c>
      <c r="I61" s="60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27806400</v>
      </c>
      <c r="AU61" s="40">
        <f t="shared" si="28"/>
        <v>2760000</v>
      </c>
      <c r="AW61" s="42">
        <v>0.8</v>
      </c>
      <c r="AX61">
        <f t="shared" si="2"/>
        <v>551999.99999999988</v>
      </c>
      <c r="AY61">
        <f t="shared" si="3"/>
        <v>2208000</v>
      </c>
      <c r="AZ61">
        <f>SUM($AY$5:AY61)</f>
        <v>17515200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5"/>
        <v>160</v>
      </c>
      <c r="BV61">
        <f t="shared" si="6"/>
        <v>9600</v>
      </c>
      <c r="BW61">
        <f t="shared" si="7"/>
        <v>268800</v>
      </c>
      <c r="BX61">
        <f>SUM($BW$5:BW61)</f>
        <v>10636800</v>
      </c>
      <c r="BY61">
        <f>SUM($AX$5:AX61)</f>
        <v>10291200</v>
      </c>
      <c r="BZ61" s="47">
        <f t="shared" si="8"/>
        <v>3.3582089552238806E-2</v>
      </c>
      <c r="CG61">
        <f t="shared" si="9"/>
        <v>219</v>
      </c>
      <c r="CH61" s="55"/>
      <c r="CI61" s="44">
        <f t="shared" si="34"/>
        <v>3</v>
      </c>
      <c r="CJ61" s="44">
        <f t="shared" si="34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1"/>
        <v>37590000</v>
      </c>
      <c r="CZ61">
        <f t="shared" si="29"/>
        <v>2700000</v>
      </c>
      <c r="DA61" s="49">
        <v>0.5</v>
      </c>
      <c r="DB61" s="95">
        <f t="shared" si="12"/>
        <v>1350000</v>
      </c>
      <c r="DC61">
        <f t="shared" si="39"/>
        <v>18795000</v>
      </c>
      <c r="DD61" s="49">
        <v>0.5</v>
      </c>
      <c r="DE61" s="49">
        <f t="shared" si="33"/>
        <v>0.5</v>
      </c>
      <c r="DF61" s="98">
        <f>DB61*DD61</f>
        <v>675000</v>
      </c>
      <c r="DG61">
        <f>SUM($DF$5:DF61)</f>
        <v>11136000</v>
      </c>
      <c r="DH61">
        <f t="shared" si="30"/>
        <v>675000</v>
      </c>
      <c r="DI61">
        <f t="shared" si="15"/>
        <v>675000</v>
      </c>
      <c r="DJ61">
        <f>SUM($DI$5:DI61)</f>
        <v>11496000</v>
      </c>
      <c r="DK61">
        <f t="shared" si="16"/>
        <v>219</v>
      </c>
      <c r="DL61">
        <f>SUM($BH$5:BH61)</f>
        <v>616</v>
      </c>
      <c r="DM61">
        <f t="shared" si="17"/>
        <v>418</v>
      </c>
      <c r="DN61" s="55"/>
      <c r="DO61" s="55"/>
      <c r="DP61">
        <f t="shared" si="18"/>
        <v>52493.150684931505</v>
      </c>
      <c r="DQ61" s="55"/>
      <c r="DR61">
        <f>VLOOKUP(DK61,StarIdelRewards!A:I,9,FALSE)*BV61</f>
        <v>259200</v>
      </c>
      <c r="DS61">
        <f t="shared" si="19"/>
        <v>675000</v>
      </c>
      <c r="DT61">
        <f>SUM($DR$5:DR61)</f>
        <v>10089600</v>
      </c>
      <c r="DU61" s="47">
        <f t="shared" si="20"/>
        <v>0.10371075166508087</v>
      </c>
      <c r="DV61">
        <f t="shared" si="21"/>
        <v>70.3125</v>
      </c>
      <c r="DX61">
        <f t="shared" si="22"/>
        <v>1350000</v>
      </c>
      <c r="DY61">
        <f t="shared" si="23"/>
        <v>729.8</v>
      </c>
      <c r="DZ61" s="55"/>
      <c r="EB61">
        <f t="shared" si="24"/>
        <v>729.8</v>
      </c>
      <c r="EC61">
        <f>B61*(3-1.333)*'Chest&amp;Cards&amp;Offer'!$J$70/100</f>
        <v>85.517100000000013</v>
      </c>
      <c r="ED61">
        <f t="shared" si="25"/>
        <v>815.31709999999998</v>
      </c>
      <c r="EE61">
        <f t="shared" si="26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7"/>
        <v>14476</v>
      </c>
      <c r="ES61" s="7">
        <f>SUM(EH61:EO61)</f>
        <v>30028</v>
      </c>
    </row>
    <row r="62" spans="1:190">
      <c r="A62" s="40">
        <v>58</v>
      </c>
      <c r="B62">
        <v>58</v>
      </c>
      <c r="C62" s="14" t="s">
        <v>104</v>
      </c>
      <c r="D62">
        <v>10</v>
      </c>
      <c r="E62" t="str">
        <f t="shared" si="40"/>
        <v>紫2 - Lv10</v>
      </c>
      <c r="G62" t="str">
        <f t="shared" si="41"/>
        <v>紫10</v>
      </c>
      <c r="H62">
        <f>VLOOKUP(G62,Reference1!C:E,3,FALSE)</f>
        <v>3879</v>
      </c>
      <c r="I62" s="60"/>
      <c r="K62" t="s">
        <v>180</v>
      </c>
      <c r="V62" s="28" t="s">
        <v>343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30566400</v>
      </c>
      <c r="AU62" s="40">
        <f t="shared" si="28"/>
        <v>2760000</v>
      </c>
      <c r="AW62" s="42">
        <v>0.8</v>
      </c>
      <c r="AX62">
        <f t="shared" si="2"/>
        <v>551999.99999999988</v>
      </c>
      <c r="AY62">
        <f t="shared" si="3"/>
        <v>2208000</v>
      </c>
      <c r="AZ62">
        <f>SUM($AY$5:AY62)</f>
        <v>19723200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5"/>
        <v>160</v>
      </c>
      <c r="BV62">
        <f t="shared" si="6"/>
        <v>9600</v>
      </c>
      <c r="BW62">
        <f t="shared" si="7"/>
        <v>278400</v>
      </c>
      <c r="BX62">
        <f>SUM($BW$5:BW62)</f>
        <v>10915200</v>
      </c>
      <c r="BY62">
        <f>SUM($AX$5:AX62)</f>
        <v>10843200</v>
      </c>
      <c r="BZ62" s="47">
        <f t="shared" si="8"/>
        <v>6.6401062416998674E-3</v>
      </c>
      <c r="CG62">
        <f t="shared" si="9"/>
        <v>226</v>
      </c>
      <c r="CH62" s="55"/>
      <c r="CI62" s="44">
        <f t="shared" si="34"/>
        <v>4</v>
      </c>
      <c r="CJ62" s="44">
        <f t="shared" si="34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1"/>
        <v>40290000</v>
      </c>
      <c r="CZ62">
        <f t="shared" si="29"/>
        <v>2700000</v>
      </c>
      <c r="DA62" s="49">
        <v>0.5</v>
      </c>
      <c r="DB62" s="95">
        <f t="shared" si="12"/>
        <v>1350000</v>
      </c>
      <c r="DC62">
        <f t="shared" si="39"/>
        <v>20145000</v>
      </c>
      <c r="DD62" s="49">
        <v>0.5</v>
      </c>
      <c r="DE62" s="49">
        <f t="shared" si="33"/>
        <v>0.5</v>
      </c>
      <c r="DF62" s="98">
        <f>DB62*DD62</f>
        <v>675000</v>
      </c>
      <c r="DG62">
        <f>SUM($DF$5:DF62)</f>
        <v>11811000</v>
      </c>
      <c r="DH62">
        <f t="shared" si="30"/>
        <v>675000</v>
      </c>
      <c r="DI62">
        <f t="shared" si="15"/>
        <v>675000</v>
      </c>
      <c r="DJ62">
        <f>SUM($DI$5:DI62)</f>
        <v>12171000</v>
      </c>
      <c r="DK62">
        <f t="shared" si="16"/>
        <v>226</v>
      </c>
      <c r="DL62">
        <f>SUM($BH$5:BH62)</f>
        <v>632</v>
      </c>
      <c r="DM62">
        <f t="shared" si="17"/>
        <v>429</v>
      </c>
      <c r="DN62" s="55"/>
      <c r="DO62" s="55"/>
      <c r="DP62">
        <f t="shared" si="18"/>
        <v>53853.982300884956</v>
      </c>
      <c r="DQ62" s="55"/>
      <c r="DR62">
        <f>VLOOKUP(DK62,StarIdelRewards!A:I,9,FALSE)*BV62</f>
        <v>268800</v>
      </c>
      <c r="DS62">
        <f t="shared" si="19"/>
        <v>675000</v>
      </c>
      <c r="DT62">
        <f>SUM($DR$5:DR62)</f>
        <v>10358400</v>
      </c>
      <c r="DU62" s="47">
        <f t="shared" si="20"/>
        <v>0.14023401297497684</v>
      </c>
      <c r="DV62">
        <f t="shared" si="21"/>
        <v>70.3125</v>
      </c>
      <c r="DX62">
        <f t="shared" si="22"/>
        <v>1350000</v>
      </c>
      <c r="DY62">
        <f t="shared" si="23"/>
        <v>821.8</v>
      </c>
      <c r="DZ62" s="55"/>
      <c r="EB62">
        <f t="shared" si="24"/>
        <v>821.8</v>
      </c>
      <c r="EC62">
        <f>B62*(3-1.333)*'Chest&amp;Cards&amp;Offer'!$J$70/100</f>
        <v>87.017399999999995</v>
      </c>
      <c r="ED62">
        <f t="shared" si="25"/>
        <v>908.81739999999991</v>
      </c>
      <c r="EE62">
        <f t="shared" si="26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7"/>
        <v>15856</v>
      </c>
      <c r="ER62">
        <v>14</v>
      </c>
      <c r="ES62" s="7">
        <f>SUM(EH62:EO62)</f>
        <v>35088</v>
      </c>
      <c r="GE62" t="s">
        <v>274</v>
      </c>
    </row>
    <row r="63" spans="1:190">
      <c r="A63" s="40">
        <v>59</v>
      </c>
      <c r="B63">
        <v>59</v>
      </c>
      <c r="C63" s="14" t="s">
        <v>112</v>
      </c>
      <c r="D63">
        <v>10</v>
      </c>
      <c r="E63" t="str">
        <f t="shared" si="40"/>
        <v>紫3 - Lv10</v>
      </c>
      <c r="G63" t="str">
        <f t="shared" si="41"/>
        <v>紫10</v>
      </c>
      <c r="H63">
        <f>VLOOKUP(G63,Reference1!C:E,3,FALSE)</f>
        <v>3879</v>
      </c>
      <c r="I63" s="60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33326400</v>
      </c>
      <c r="AU63" s="40">
        <f t="shared" si="28"/>
        <v>2760000</v>
      </c>
      <c r="AW63" s="42">
        <v>0.8</v>
      </c>
      <c r="AX63">
        <f t="shared" si="2"/>
        <v>551999.99999999988</v>
      </c>
      <c r="AY63">
        <f t="shared" si="3"/>
        <v>2208000</v>
      </c>
      <c r="AZ63">
        <f>SUM($AY$5:AY63)</f>
        <v>21931200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5"/>
        <v>160</v>
      </c>
      <c r="BV63">
        <f t="shared" si="6"/>
        <v>9600</v>
      </c>
      <c r="BW63">
        <f t="shared" si="7"/>
        <v>278400</v>
      </c>
      <c r="BX63">
        <f>SUM($BW$5:BW63)</f>
        <v>11193600</v>
      </c>
      <c r="BY63">
        <f>SUM($AX$5:AX63)</f>
        <v>11395200</v>
      </c>
      <c r="BZ63" s="47">
        <f t="shared" si="8"/>
        <v>-1.7691659646166806E-2</v>
      </c>
      <c r="CG63">
        <f t="shared" si="9"/>
        <v>233</v>
      </c>
      <c r="CH63" s="55"/>
      <c r="CI63" s="44">
        <f t="shared" si="34"/>
        <v>5</v>
      </c>
      <c r="CJ63" s="44">
        <f t="shared" si="34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1"/>
        <v>42990000</v>
      </c>
      <c r="CZ63">
        <f t="shared" si="29"/>
        <v>2700000</v>
      </c>
      <c r="DA63" s="49">
        <v>0.5</v>
      </c>
      <c r="DB63" s="95">
        <f t="shared" si="12"/>
        <v>1350000</v>
      </c>
      <c r="DC63">
        <f t="shared" si="39"/>
        <v>21495000</v>
      </c>
      <c r="DD63" s="49">
        <v>0.5</v>
      </c>
      <c r="DE63" s="49">
        <f t="shared" ref="DE63:DE64" si="42">1-DD63</f>
        <v>0.5</v>
      </c>
      <c r="DF63" s="98">
        <f>DB63*DD63</f>
        <v>675000</v>
      </c>
      <c r="DG63">
        <f>SUM($DF$5:DF63)</f>
        <v>12486000</v>
      </c>
      <c r="DH63">
        <f t="shared" si="30"/>
        <v>675000</v>
      </c>
      <c r="DI63">
        <f t="shared" si="15"/>
        <v>675000</v>
      </c>
      <c r="DJ63">
        <f>SUM($DI$5:DI63)</f>
        <v>12846000</v>
      </c>
      <c r="DK63">
        <f t="shared" si="16"/>
        <v>233</v>
      </c>
      <c r="DL63">
        <f>SUM($BH$5:BH63)</f>
        <v>648</v>
      </c>
      <c r="DM63">
        <f t="shared" si="17"/>
        <v>441</v>
      </c>
      <c r="DN63" s="55"/>
      <c r="DO63" s="55"/>
      <c r="DP63">
        <f t="shared" si="18"/>
        <v>55133.047210300429</v>
      </c>
      <c r="DQ63" s="55"/>
      <c r="DR63">
        <f>VLOOKUP(DK63,StarIdelRewards!A:I,9,FALSE)*BV63</f>
        <v>268800</v>
      </c>
      <c r="DS63">
        <f t="shared" si="19"/>
        <v>675000</v>
      </c>
      <c r="DT63">
        <f>SUM($DR$5:DR63)</f>
        <v>10627200</v>
      </c>
      <c r="DU63" s="47">
        <f t="shared" si="20"/>
        <v>0.17490966576332431</v>
      </c>
      <c r="DV63">
        <f t="shared" si="21"/>
        <v>70.3125</v>
      </c>
      <c r="DX63">
        <f t="shared" si="22"/>
        <v>1350000</v>
      </c>
      <c r="DY63">
        <f t="shared" si="23"/>
        <v>913.8</v>
      </c>
      <c r="DZ63" s="55"/>
      <c r="EB63">
        <f t="shared" si="24"/>
        <v>913.8</v>
      </c>
      <c r="EC63">
        <f>B63*(3-1.333)*'Chest&amp;Cards&amp;Offer'!$J$70/100</f>
        <v>88.517700000000005</v>
      </c>
      <c r="ED63">
        <f t="shared" si="25"/>
        <v>1002.3176999999999</v>
      </c>
      <c r="EE63">
        <f t="shared" si="26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7"/>
        <v>17236</v>
      </c>
      <c r="ES63" s="7">
        <f>SUM(EH63:EO63)</f>
        <v>40148</v>
      </c>
      <c r="GE63" t="s">
        <v>275</v>
      </c>
    </row>
    <row r="64" spans="1:190" ht="17" customHeight="1">
      <c r="A64" s="40">
        <v>60</v>
      </c>
      <c r="B64">
        <v>60</v>
      </c>
      <c r="C64" s="14" t="s">
        <v>113</v>
      </c>
      <c r="D64">
        <v>10</v>
      </c>
      <c r="E64" t="str">
        <f t="shared" si="40"/>
        <v>紫4 - Lv10</v>
      </c>
      <c r="G64" t="str">
        <f t="shared" si="41"/>
        <v>紫10</v>
      </c>
      <c r="H64">
        <f>VLOOKUP(G64,Reference1!C:E,3,FALSE)</f>
        <v>3879</v>
      </c>
      <c r="I64" s="60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36086400</v>
      </c>
      <c r="AU64" s="40">
        <f t="shared" si="28"/>
        <v>2760000</v>
      </c>
      <c r="AW64" s="42">
        <v>0.8</v>
      </c>
      <c r="AX64">
        <f t="shared" si="2"/>
        <v>551999.99999999988</v>
      </c>
      <c r="AY64">
        <f t="shared" si="3"/>
        <v>2208000</v>
      </c>
      <c r="AZ64">
        <f>SUM($AY$5:AY64)</f>
        <v>24139200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5"/>
        <v>160</v>
      </c>
      <c r="BV64">
        <f t="shared" si="6"/>
        <v>9600</v>
      </c>
      <c r="BW64">
        <f t="shared" si="7"/>
        <v>288000</v>
      </c>
      <c r="BX64">
        <f>SUM($BW$5:BW64)</f>
        <v>11481600</v>
      </c>
      <c r="BY64">
        <f>SUM($AX$5:AX64)</f>
        <v>11947200</v>
      </c>
      <c r="BZ64" s="47">
        <f t="shared" si="8"/>
        <v>-3.8971474487746086E-2</v>
      </c>
      <c r="CB64">
        <f>BF64</f>
        <v>386.4</v>
      </c>
      <c r="CC64">
        <f>CB64/2</f>
        <v>193.2</v>
      </c>
      <c r="CG64">
        <f t="shared" si="9"/>
        <v>240</v>
      </c>
      <c r="CH64" s="55"/>
      <c r="CI64" s="44">
        <f t="shared" si="34"/>
        <v>6</v>
      </c>
      <c r="CJ64" s="44">
        <f t="shared" si="34"/>
        <v>540</v>
      </c>
      <c r="CK64" s="44">
        <f>CJ64+BE64/3</f>
        <v>13420</v>
      </c>
      <c r="CN64">
        <f>CK64*2</f>
        <v>26840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1"/>
        <v>45690000</v>
      </c>
      <c r="CZ64">
        <f t="shared" si="29"/>
        <v>2700000</v>
      </c>
      <c r="DA64" s="49">
        <v>0.5</v>
      </c>
      <c r="DB64" s="95">
        <f t="shared" si="12"/>
        <v>1350000</v>
      </c>
      <c r="DC64">
        <f t="shared" si="39"/>
        <v>22845000</v>
      </c>
      <c r="DD64" s="49">
        <v>0.5</v>
      </c>
      <c r="DE64" s="49">
        <f t="shared" si="42"/>
        <v>0.5</v>
      </c>
      <c r="DF64" s="98">
        <f>DB64*DD64</f>
        <v>675000</v>
      </c>
      <c r="DG64">
        <f>SUM($DF$5:DF64)</f>
        <v>13161000</v>
      </c>
      <c r="DH64">
        <f t="shared" si="30"/>
        <v>675000</v>
      </c>
      <c r="DI64">
        <f t="shared" si="15"/>
        <v>675000</v>
      </c>
      <c r="DJ64">
        <f>SUM($DI$5:DI64)</f>
        <v>13521000</v>
      </c>
      <c r="DK64">
        <f t="shared" si="16"/>
        <v>240</v>
      </c>
      <c r="DL64">
        <f>SUM($BH$5:BH64)</f>
        <v>664</v>
      </c>
      <c r="DM64">
        <f t="shared" si="17"/>
        <v>452</v>
      </c>
      <c r="DN64" s="55"/>
      <c r="DO64" s="55"/>
      <c r="DP64">
        <f t="shared" si="18"/>
        <v>56337.5</v>
      </c>
      <c r="DQ64" s="55"/>
      <c r="DR64">
        <f>VLOOKUP(DK64,StarIdelRewards!A:I,9,FALSE)*BV64</f>
        <v>278400</v>
      </c>
      <c r="DS64">
        <f t="shared" si="19"/>
        <v>675000</v>
      </c>
      <c r="DT64">
        <f>SUM($DR$5:DR64)</f>
        <v>10905600</v>
      </c>
      <c r="DU64" s="47">
        <f t="shared" si="20"/>
        <v>0.20681117957746478</v>
      </c>
      <c r="DV64">
        <f t="shared" si="21"/>
        <v>70.3125</v>
      </c>
      <c r="DX64">
        <f t="shared" si="22"/>
        <v>1350000</v>
      </c>
      <c r="DY64">
        <f t="shared" si="23"/>
        <v>1005.8</v>
      </c>
      <c r="DZ64" s="55"/>
      <c r="EB64">
        <f t="shared" si="24"/>
        <v>1005.8</v>
      </c>
      <c r="EC64">
        <f>B64*(3-1.333)*'Chest&amp;Cards&amp;Offer'!$J$70/100</f>
        <v>90.017999999999986</v>
      </c>
      <c r="ED64">
        <f t="shared" si="25"/>
        <v>1095.818</v>
      </c>
      <c r="EE64">
        <f t="shared" si="26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7"/>
        <v>18616</v>
      </c>
      <c r="ER64">
        <v>15</v>
      </c>
      <c r="ES64" s="7">
        <f>SUM(EH64:EO64)</f>
        <v>41528</v>
      </c>
    </row>
    <row r="65" spans="1:187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625</v>
      </c>
      <c r="EH65" s="7"/>
      <c r="EI65" s="7"/>
      <c r="EJ65" s="7"/>
      <c r="EK65" s="7"/>
      <c r="EL65" s="7"/>
      <c r="EM65" s="7"/>
      <c r="EN65" s="7"/>
      <c r="GE65" t="s">
        <v>276</v>
      </c>
    </row>
    <row r="66" spans="1:187">
      <c r="A66" s="7"/>
      <c r="B66" s="7"/>
      <c r="V66" s="7"/>
      <c r="W66" s="7"/>
      <c r="X66" s="7"/>
      <c r="Y66" s="7"/>
      <c r="Z66" s="7"/>
      <c r="AA66" s="7"/>
      <c r="AB66" s="7"/>
      <c r="AC66" s="7"/>
      <c r="DZ66" t="s">
        <v>626</v>
      </c>
      <c r="EH66" s="7"/>
      <c r="EI66" s="7"/>
      <c r="EJ66" s="7"/>
      <c r="EK66" s="7"/>
      <c r="EL66" s="7"/>
      <c r="EM66" s="7"/>
      <c r="EN66" s="7"/>
    </row>
    <row r="67" spans="1:187">
      <c r="A67" s="7"/>
      <c r="B67" s="7"/>
      <c r="V67" s="7"/>
      <c r="W67" s="7"/>
      <c r="X67" s="7"/>
      <c r="Y67" s="7"/>
      <c r="Z67" s="7"/>
      <c r="AA67" s="7"/>
      <c r="AB67" s="7"/>
      <c r="AC67" s="7"/>
      <c r="DZ67" t="s">
        <v>627</v>
      </c>
      <c r="EH67" s="7"/>
      <c r="EI67" s="7"/>
      <c r="EJ67" s="7"/>
      <c r="EK67" s="7"/>
      <c r="EL67" s="7"/>
      <c r="EM67" s="7"/>
      <c r="EN67" s="7"/>
    </row>
    <row r="68" spans="1:187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374</v>
      </c>
      <c r="BF68">
        <f>SUM(BF5:BF64)</f>
        <v>1005.8</v>
      </c>
      <c r="DZ68" t="s">
        <v>628</v>
      </c>
      <c r="EH68" s="7"/>
      <c r="EI68" s="7"/>
      <c r="EJ68" s="7"/>
      <c r="EK68" s="7"/>
      <c r="EL68" s="7"/>
      <c r="EM68" s="7"/>
      <c r="EN68" s="7"/>
      <c r="GE68" t="s">
        <v>278</v>
      </c>
    </row>
    <row r="69" spans="1:187">
      <c r="A69" s="7"/>
      <c r="B69" s="7"/>
      <c r="BE69" t="s">
        <v>400</v>
      </c>
      <c r="BF69">
        <v>3</v>
      </c>
      <c r="GE69" t="s">
        <v>277</v>
      </c>
    </row>
    <row r="70" spans="1:187">
      <c r="A70" s="7"/>
      <c r="B70" s="7"/>
      <c r="BE70" t="s">
        <v>629</v>
      </c>
      <c r="DZ70" s="103" t="s">
        <v>636</v>
      </c>
    </row>
    <row r="71" spans="1:187">
      <c r="A71" s="7"/>
      <c r="B71" s="7"/>
      <c r="BE71" t="s">
        <v>630</v>
      </c>
      <c r="DY71" s="1"/>
      <c r="DZ71" s="1">
        <v>240</v>
      </c>
      <c r="EA71" s="1"/>
    </row>
    <row r="72" spans="1:187">
      <c r="A72" s="7"/>
      <c r="B72" s="7"/>
      <c r="DY72" s="1"/>
      <c r="DZ72" s="1" t="s">
        <v>631</v>
      </c>
      <c r="EA72" s="1"/>
    </row>
    <row r="73" spans="1:187">
      <c r="A73" s="7"/>
      <c r="B73" s="7"/>
      <c r="DY73" s="1"/>
      <c r="DZ73" s="1" t="s">
        <v>632</v>
      </c>
      <c r="EA73" s="1"/>
    </row>
    <row r="74" spans="1:187">
      <c r="A74" s="7"/>
      <c r="B74" s="7"/>
      <c r="BE74" t="s">
        <v>401</v>
      </c>
      <c r="DY74" s="1"/>
      <c r="DZ74" s="1" t="s">
        <v>633</v>
      </c>
      <c r="EA74" s="1"/>
    </row>
    <row r="75" spans="1:187">
      <c r="A75" s="7"/>
      <c r="B75" s="7"/>
      <c r="BF75">
        <f>BF68*BF69</f>
        <v>3017.3999999999996</v>
      </c>
      <c r="DY75" s="1"/>
      <c r="DZ75" s="1"/>
      <c r="EA75" s="1"/>
    </row>
    <row r="76" spans="1:187">
      <c r="A76" s="7"/>
      <c r="B76" s="7"/>
      <c r="X76" t="s">
        <v>331</v>
      </c>
      <c r="DY76" s="1" t="s">
        <v>634</v>
      </c>
      <c r="DZ76" s="1">
        <f>DG64</f>
        <v>13161000</v>
      </c>
      <c r="EA76" s="102">
        <f>DZ76/($DZ$76+$DZ$77)</f>
        <v>0.35283993115318418</v>
      </c>
      <c r="EB76">
        <f>$DX$65*EA76</f>
        <v>6706781.4113597246</v>
      </c>
      <c r="EI76" t="s">
        <v>331</v>
      </c>
    </row>
    <row r="77" spans="1:187">
      <c r="A77" s="7"/>
      <c r="B77" s="7"/>
      <c r="BE77" t="s">
        <v>402</v>
      </c>
      <c r="DY77" s="1" t="s">
        <v>635</v>
      </c>
      <c r="DZ77" s="1">
        <f>DY64*'Chest&amp;Cards&amp;Offer'!P3</f>
        <v>24139200</v>
      </c>
      <c r="EA77" s="102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87">
      <c r="A78" s="7"/>
      <c r="B78" s="7"/>
    </row>
    <row r="79" spans="1:187">
      <c r="A79" s="7"/>
      <c r="B79" s="7"/>
    </row>
    <row r="80" spans="1:187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</sheetData>
  <mergeCells count="36">
    <mergeCell ref="IA3:IC3"/>
    <mergeCell ref="IF3:IH3"/>
    <mergeCell ref="HA3:HC3"/>
    <mergeCell ref="I41:I58"/>
    <mergeCell ref="HV3:HX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E3:HG3"/>
    <mergeCell ref="HJ3:HL3"/>
    <mergeCell ref="HN3:HP3"/>
    <mergeCell ref="HR3:HT3"/>
    <mergeCell ref="BD3:BG3"/>
    <mergeCell ref="AZ3:BB3"/>
    <mergeCell ref="CH5:CH22"/>
    <mergeCell ref="CH23:CH40"/>
    <mergeCell ref="CH41:CH58"/>
    <mergeCell ref="CH59:CH64"/>
    <mergeCell ref="CQ3:CX3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A27" zoomScale="91" workbookViewId="0">
      <selection activeCell="I1" sqref="I1:I1048576"/>
    </sheetView>
  </sheetViews>
  <sheetFormatPr baseColWidth="10" defaultRowHeight="16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>
      <c r="A1" t="s">
        <v>327</v>
      </c>
      <c r="D1" t="s">
        <v>608</v>
      </c>
      <c r="I1" t="s">
        <v>609</v>
      </c>
      <c r="K1" t="s">
        <v>538</v>
      </c>
      <c r="M1" t="s">
        <v>610</v>
      </c>
    </row>
    <row r="2" spans="1:19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332</v>
      </c>
    </row>
    <row r="5" spans="1:19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333</v>
      </c>
    </row>
    <row r="6" spans="1:19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334</v>
      </c>
    </row>
    <row r="7" spans="1:19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335</v>
      </c>
    </row>
    <row r="12" spans="1:19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336</v>
      </c>
    </row>
    <row r="13" spans="1:19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337</v>
      </c>
    </row>
    <row r="14" spans="1:19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338</v>
      </c>
    </row>
    <row r="16" spans="1:19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339</v>
      </c>
    </row>
    <row r="17" spans="1:11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418</v>
      </c>
    </row>
    <row r="122" spans="1:13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C1" zoomScale="134" workbookViewId="0">
      <selection activeCell="K26" sqref="K26:M28"/>
    </sheetView>
  </sheetViews>
  <sheetFormatPr baseColWidth="10" defaultRowHeight="16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>
      <c r="A4" s="28"/>
      <c r="B4" s="28"/>
      <c r="C4" s="28"/>
      <c r="D4" s="28"/>
      <c r="E4" s="28"/>
      <c r="F4" s="28" t="s">
        <v>606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75" t="s">
        <v>265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>
      <c r="T5" s="78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</row>
    <row r="6" spans="1:32" ht="18">
      <c r="T6" s="81" t="s">
        <v>47</v>
      </c>
      <c r="U6" s="82" t="s">
        <v>258</v>
      </c>
      <c r="V6" s="79"/>
      <c r="W6" s="79"/>
      <c r="X6" s="79"/>
      <c r="Y6" s="79"/>
      <c r="Z6" s="79"/>
      <c r="AA6" s="79"/>
      <c r="AB6" s="79"/>
      <c r="AC6" s="79"/>
      <c r="AD6" s="79"/>
      <c r="AE6" s="79"/>
      <c r="AF6" s="80"/>
    </row>
    <row r="7" spans="1:32" ht="18">
      <c r="T7" s="83" t="s">
        <v>259</v>
      </c>
      <c r="U7" s="84" t="s">
        <v>260</v>
      </c>
      <c r="V7" s="85" t="s">
        <v>261</v>
      </c>
      <c r="W7" s="86" t="s">
        <v>219</v>
      </c>
      <c r="X7" s="79"/>
      <c r="Y7" s="79"/>
      <c r="Z7" s="79"/>
      <c r="AA7" s="79"/>
      <c r="AB7" s="79"/>
      <c r="AC7" s="79"/>
      <c r="AD7" s="79"/>
      <c r="AE7" s="79"/>
      <c r="AF7" s="80"/>
    </row>
    <row r="8" spans="1:32" ht="18">
      <c r="E8" s="65" t="s">
        <v>222</v>
      </c>
      <c r="F8" s="65"/>
      <c r="G8" s="65"/>
      <c r="H8" s="1"/>
      <c r="I8" s="1"/>
      <c r="K8" s="65" t="s">
        <v>513</v>
      </c>
      <c r="L8" s="65"/>
      <c r="M8" s="65"/>
      <c r="O8" s="1"/>
      <c r="P8" s="65" t="s">
        <v>514</v>
      </c>
      <c r="Q8" s="65"/>
      <c r="R8" s="65"/>
      <c r="T8" s="81" t="s">
        <v>262</v>
      </c>
      <c r="U8" s="82">
        <v>1</v>
      </c>
      <c r="V8" s="82">
        <v>1</v>
      </c>
      <c r="W8" s="82">
        <v>1</v>
      </c>
      <c r="X8" s="82">
        <v>1</v>
      </c>
      <c r="Y8" s="79"/>
      <c r="Z8" s="79"/>
      <c r="AA8" s="79"/>
      <c r="AB8" s="79"/>
      <c r="AC8" s="79"/>
      <c r="AD8" s="79"/>
      <c r="AE8" s="79"/>
      <c r="AF8" s="80"/>
    </row>
    <row r="9" spans="1:32" ht="18">
      <c r="C9" t="s">
        <v>221</v>
      </c>
      <c r="E9" s="1" t="s">
        <v>217</v>
      </c>
      <c r="F9" s="1" t="s">
        <v>218</v>
      </c>
      <c r="G9" s="1" t="s">
        <v>220</v>
      </c>
      <c r="H9" s="1"/>
      <c r="I9" s="1" t="s">
        <v>286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81">
        <v>2</v>
      </c>
      <c r="U9" s="82">
        <v>2</v>
      </c>
      <c r="V9" s="82">
        <v>2</v>
      </c>
      <c r="W9" s="82">
        <v>2</v>
      </c>
      <c r="X9" s="82">
        <v>2</v>
      </c>
      <c r="Y9" s="79"/>
      <c r="Z9" s="79"/>
      <c r="AA9" s="79"/>
      <c r="AB9" s="79"/>
      <c r="AC9" s="79"/>
      <c r="AD9" s="79"/>
      <c r="AE9" s="79"/>
      <c r="AF9" s="80"/>
    </row>
    <row r="10" spans="1:32" ht="18">
      <c r="C10">
        <v>0</v>
      </c>
      <c r="E10" s="1">
        <v>0</v>
      </c>
      <c r="F10" s="1">
        <v>0</v>
      </c>
      <c r="G10" s="1">
        <v>0</v>
      </c>
      <c r="H10" s="1"/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81">
        <v>3</v>
      </c>
      <c r="U10" s="82">
        <v>4</v>
      </c>
      <c r="V10" s="82">
        <v>4</v>
      </c>
      <c r="W10" s="82">
        <v>4</v>
      </c>
      <c r="X10" s="82">
        <v>4</v>
      </c>
      <c r="Y10" s="79"/>
      <c r="Z10" s="79"/>
      <c r="AA10" s="79"/>
      <c r="AB10" s="79"/>
      <c r="AC10" s="79"/>
      <c r="AD10" s="79"/>
      <c r="AE10" s="79"/>
      <c r="AF10" s="80"/>
    </row>
    <row r="11" spans="1:32" ht="18">
      <c r="C11">
        <v>1</v>
      </c>
      <c r="E11" s="1">
        <v>1</v>
      </c>
      <c r="F11" s="1">
        <v>1</v>
      </c>
      <c r="G11" s="1">
        <v>1</v>
      </c>
      <c r="H11" s="1"/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81">
        <v>4</v>
      </c>
      <c r="U11" s="82">
        <v>10</v>
      </c>
      <c r="V11" s="82">
        <v>10</v>
      </c>
      <c r="W11" s="82">
        <v>10</v>
      </c>
      <c r="X11" s="82">
        <v>10</v>
      </c>
      <c r="Y11" s="79"/>
      <c r="Z11" s="79"/>
      <c r="AA11" s="79"/>
      <c r="AB11" s="79"/>
      <c r="AC11" s="79"/>
      <c r="AD11" s="79"/>
      <c r="AE11" s="79"/>
      <c r="AF11" s="80"/>
    </row>
    <row r="12" spans="1:32" ht="18">
      <c r="C12">
        <v>2</v>
      </c>
      <c r="E12" s="94">
        <v>5</v>
      </c>
      <c r="F12" s="94">
        <v>5</v>
      </c>
      <c r="G12" s="94">
        <v>5</v>
      </c>
      <c r="H12" s="1"/>
      <c r="I12" s="1">
        <f>SUM($G$11:G12)</f>
        <v>6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81">
        <v>5</v>
      </c>
      <c r="U12" s="82">
        <v>20</v>
      </c>
      <c r="V12" s="82">
        <v>20</v>
      </c>
      <c r="W12" s="82">
        <v>20</v>
      </c>
      <c r="X12" s="82">
        <v>20</v>
      </c>
      <c r="Y12" s="79"/>
      <c r="Z12" s="79"/>
      <c r="AA12" s="79"/>
      <c r="AB12" s="79"/>
      <c r="AC12" s="79"/>
      <c r="AD12" s="79"/>
      <c r="AE12" s="79"/>
      <c r="AF12" s="80"/>
    </row>
    <row r="13" spans="1:32" ht="18">
      <c r="C13">
        <v>3</v>
      </c>
      <c r="E13" s="94">
        <v>10</v>
      </c>
      <c r="F13" s="94">
        <v>10</v>
      </c>
      <c r="G13" s="94">
        <v>10</v>
      </c>
      <c r="H13" s="1"/>
      <c r="I13" s="1">
        <f>SUM($G$11:G13)</f>
        <v>16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81">
        <v>6</v>
      </c>
      <c r="U13" s="82">
        <v>50</v>
      </c>
      <c r="V13" s="82">
        <v>50</v>
      </c>
      <c r="W13" s="82">
        <v>50</v>
      </c>
      <c r="X13" s="82" t="s">
        <v>18</v>
      </c>
      <c r="Y13" s="79"/>
      <c r="Z13" s="79"/>
      <c r="AA13" s="79"/>
      <c r="AB13" s="79"/>
      <c r="AC13" s="79"/>
      <c r="AD13" s="79"/>
      <c r="AE13" s="79"/>
      <c r="AF13" s="80"/>
    </row>
    <row r="14" spans="1:32" ht="18">
      <c r="C14">
        <v>4</v>
      </c>
      <c r="E14" s="94">
        <v>20</v>
      </c>
      <c r="F14" s="94">
        <v>20</v>
      </c>
      <c r="G14" s="94">
        <v>20</v>
      </c>
      <c r="H14" s="1"/>
      <c r="I14" s="1">
        <f>SUM($G$11:G14)</f>
        <v>36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81">
        <v>7</v>
      </c>
      <c r="U14" s="82">
        <v>100</v>
      </c>
      <c r="V14" s="82">
        <v>100</v>
      </c>
      <c r="W14" s="82">
        <v>100</v>
      </c>
      <c r="X14" s="82" t="s">
        <v>263</v>
      </c>
      <c r="Y14" s="79"/>
      <c r="Z14" s="79"/>
      <c r="AA14" s="79"/>
      <c r="AB14" s="79"/>
      <c r="AC14" s="79"/>
      <c r="AD14" s="79"/>
      <c r="AE14" s="79"/>
      <c r="AF14" s="80"/>
    </row>
    <row r="15" spans="1:32" ht="18">
      <c r="C15">
        <v>5</v>
      </c>
      <c r="E15" s="94">
        <v>30</v>
      </c>
      <c r="F15" s="94">
        <v>30</v>
      </c>
      <c r="G15" s="94">
        <v>30</v>
      </c>
      <c r="H15" s="1"/>
      <c r="I15" s="1">
        <f>SUM($G$11:G15)</f>
        <v>66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81">
        <v>8</v>
      </c>
      <c r="U15" s="82">
        <v>200</v>
      </c>
      <c r="V15" s="82">
        <v>200</v>
      </c>
      <c r="W15" s="82">
        <v>200</v>
      </c>
      <c r="X15" s="82" t="s">
        <v>263</v>
      </c>
      <c r="Y15" s="79"/>
      <c r="Z15" s="79"/>
      <c r="AA15" s="79"/>
      <c r="AB15" s="79"/>
      <c r="AC15" s="79"/>
      <c r="AD15" s="79"/>
      <c r="AE15" s="79"/>
      <c r="AF15" s="80"/>
    </row>
    <row r="16" spans="1:32" ht="18">
      <c r="C16">
        <v>6</v>
      </c>
      <c r="E16" s="94">
        <v>50</v>
      </c>
      <c r="F16" s="94">
        <v>50</v>
      </c>
      <c r="G16" s="94">
        <v>50</v>
      </c>
      <c r="H16" s="1"/>
      <c r="I16" s="1">
        <f>SUM($G$11:G16)</f>
        <v>116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81">
        <v>9</v>
      </c>
      <c r="U16" s="82">
        <v>400</v>
      </c>
      <c r="V16" s="82">
        <v>400</v>
      </c>
      <c r="W16" s="82" t="s">
        <v>263</v>
      </c>
      <c r="X16" s="82" t="s">
        <v>263</v>
      </c>
      <c r="Y16" s="79"/>
      <c r="Z16" s="79"/>
      <c r="AA16" s="79"/>
      <c r="AB16" s="79"/>
      <c r="AC16" s="79"/>
      <c r="AD16" s="79"/>
      <c r="AE16" s="79"/>
      <c r="AF16" s="80"/>
    </row>
    <row r="17" spans="3:32" ht="18">
      <c r="C17">
        <v>7</v>
      </c>
      <c r="E17" s="94">
        <v>80</v>
      </c>
      <c r="F17" s="94">
        <v>80</v>
      </c>
      <c r="G17" s="94">
        <v>80</v>
      </c>
      <c r="H17" s="1"/>
      <c r="I17" s="1">
        <f>SUM($G$11:G17)</f>
        <v>196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81">
        <v>10</v>
      </c>
      <c r="U17" s="82">
        <v>800</v>
      </c>
      <c r="V17" s="82">
        <v>800</v>
      </c>
      <c r="W17" s="82" t="s">
        <v>263</v>
      </c>
      <c r="X17" s="82" t="s">
        <v>263</v>
      </c>
      <c r="Y17" s="79"/>
      <c r="Z17" s="79"/>
      <c r="AA17" s="79"/>
      <c r="AB17" s="79"/>
      <c r="AC17" s="79"/>
      <c r="AD17" s="79"/>
      <c r="AE17" s="79"/>
      <c r="AF17" s="80"/>
    </row>
    <row r="18" spans="3:32" ht="18">
      <c r="C18">
        <v>8</v>
      </c>
      <c r="E18" s="94">
        <v>120</v>
      </c>
      <c r="F18" s="94">
        <v>120</v>
      </c>
      <c r="G18" s="94">
        <v>120</v>
      </c>
      <c r="H18" s="1"/>
      <c r="I18" s="1">
        <f>SUM($G$11:G18)</f>
        <v>316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81">
        <v>11</v>
      </c>
      <c r="U18" s="82">
        <v>1000</v>
      </c>
      <c r="V18" s="82">
        <v>1000</v>
      </c>
      <c r="W18" s="82" t="s">
        <v>263</v>
      </c>
      <c r="X18" s="82" t="s">
        <v>263</v>
      </c>
      <c r="Y18" s="79"/>
      <c r="Z18" s="79"/>
      <c r="AA18" s="79"/>
      <c r="AB18" s="79"/>
      <c r="AC18" s="79"/>
      <c r="AD18" s="79"/>
      <c r="AE18" s="79"/>
      <c r="AF18" s="80"/>
    </row>
    <row r="19" spans="3:32" ht="18">
      <c r="C19">
        <v>9</v>
      </c>
      <c r="E19" s="94">
        <v>170</v>
      </c>
      <c r="F19" s="94">
        <v>170</v>
      </c>
      <c r="G19" s="94">
        <v>170</v>
      </c>
      <c r="H19" s="1"/>
      <c r="I19" s="1">
        <f>SUM($G$11:G19)</f>
        <v>486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81">
        <v>12</v>
      </c>
      <c r="U19" s="82">
        <v>2000</v>
      </c>
      <c r="V19" s="82" t="s">
        <v>263</v>
      </c>
      <c r="W19" s="82" t="s">
        <v>263</v>
      </c>
      <c r="X19" s="82" t="s">
        <v>263</v>
      </c>
      <c r="Y19" s="79"/>
      <c r="Z19" s="79"/>
      <c r="AA19" s="79"/>
      <c r="AB19" s="79"/>
      <c r="AC19" s="79"/>
      <c r="AD19" s="79"/>
      <c r="AE19" s="79"/>
      <c r="AF19" s="80"/>
    </row>
    <row r="20" spans="3:32" ht="18">
      <c r="C20">
        <v>10</v>
      </c>
      <c r="E20" s="94">
        <v>230</v>
      </c>
      <c r="F20" s="94">
        <v>230</v>
      </c>
      <c r="G20" s="94">
        <v>230</v>
      </c>
      <c r="H20" s="1"/>
      <c r="I20" s="1">
        <f>SUM($G$11:G20)</f>
        <v>716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81">
        <v>13</v>
      </c>
      <c r="U20" s="82">
        <v>5000</v>
      </c>
      <c r="V20" s="82" t="s">
        <v>263</v>
      </c>
      <c r="W20" s="82" t="s">
        <v>263</v>
      </c>
      <c r="X20" s="82" t="s">
        <v>263</v>
      </c>
      <c r="Y20" s="79"/>
      <c r="Z20" s="79"/>
      <c r="AA20" s="79"/>
      <c r="AB20" s="79"/>
      <c r="AC20" s="79"/>
      <c r="AD20" s="79"/>
      <c r="AE20" s="79"/>
      <c r="AF20" s="80"/>
    </row>
    <row r="21" spans="3:32" ht="18">
      <c r="T21" s="81" t="s">
        <v>264</v>
      </c>
      <c r="U21" s="82">
        <v>9586</v>
      </c>
      <c r="V21" s="82">
        <v>2586</v>
      </c>
      <c r="W21" s="82">
        <v>386</v>
      </c>
      <c r="X21" s="82">
        <v>36</v>
      </c>
      <c r="Y21" s="79"/>
      <c r="Z21" s="79"/>
      <c r="AA21" s="79"/>
      <c r="AB21" s="79"/>
      <c r="AC21" s="79"/>
      <c r="AD21" s="79"/>
      <c r="AE21" s="79"/>
      <c r="AF21" s="80"/>
    </row>
    <row r="22" spans="3:32">
      <c r="H22" s="79"/>
      <c r="I22" s="79"/>
      <c r="T22" s="78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80"/>
    </row>
    <row r="23" spans="3:32">
      <c r="E23" t="s">
        <v>611</v>
      </c>
      <c r="H23" s="79"/>
      <c r="I23" s="79"/>
      <c r="T23" s="78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80"/>
    </row>
    <row r="24" spans="3:32">
      <c r="E24" s="1" t="s">
        <v>217</v>
      </c>
      <c r="F24" s="1" t="s">
        <v>218</v>
      </c>
      <c r="G24" s="1" t="s">
        <v>220</v>
      </c>
      <c r="H24" s="79"/>
      <c r="I24" s="79"/>
      <c r="K24" s="1" t="s">
        <v>102</v>
      </c>
      <c r="L24" s="1" t="s">
        <v>103</v>
      </c>
      <c r="M24" s="1" t="s">
        <v>219</v>
      </c>
      <c r="T24" s="78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80"/>
    </row>
    <row r="25" spans="3:32" ht="18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79"/>
      <c r="I25" s="79"/>
      <c r="K25" s="1">
        <v>0</v>
      </c>
      <c r="L25" s="1">
        <v>0</v>
      </c>
      <c r="M25" s="1">
        <v>0</v>
      </c>
      <c r="T25" s="81" t="s">
        <v>47</v>
      </c>
      <c r="U25" s="82" t="s">
        <v>266</v>
      </c>
      <c r="V25" s="79"/>
      <c r="W25" s="79"/>
      <c r="X25" s="79"/>
      <c r="Y25" s="79"/>
      <c r="Z25" s="79" t="s">
        <v>267</v>
      </c>
      <c r="AA25" s="79"/>
      <c r="AB25" s="82" t="s">
        <v>47</v>
      </c>
      <c r="AC25" s="82" t="s">
        <v>266</v>
      </c>
      <c r="AD25" s="79"/>
      <c r="AE25" s="79"/>
      <c r="AF25" s="80"/>
    </row>
    <row r="26" spans="3:32" ht="18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79"/>
      <c r="K26" s="1">
        <v>15000</v>
      </c>
      <c r="L26" s="1">
        <v>30000</v>
      </c>
      <c r="M26" s="1">
        <v>60000</v>
      </c>
      <c r="T26" s="83" t="s">
        <v>259</v>
      </c>
      <c r="U26" s="84" t="s">
        <v>260</v>
      </c>
      <c r="V26" s="85" t="s">
        <v>261</v>
      </c>
      <c r="W26" s="86" t="s">
        <v>219</v>
      </c>
      <c r="X26" s="79"/>
      <c r="Y26" s="79"/>
      <c r="Z26" s="79"/>
      <c r="AA26" s="79"/>
      <c r="AB26" s="87" t="s">
        <v>259</v>
      </c>
      <c r="AC26" s="84" t="s">
        <v>260</v>
      </c>
      <c r="AD26" s="85" t="s">
        <v>261</v>
      </c>
      <c r="AE26" s="86" t="s">
        <v>219</v>
      </c>
      <c r="AF26" s="80"/>
    </row>
    <row r="27" spans="3:32" ht="18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600000</v>
      </c>
      <c r="I27" s="79"/>
      <c r="K27" s="1">
        <v>30000</v>
      </c>
      <c r="L27" s="1">
        <v>60000</v>
      </c>
      <c r="M27" s="1">
        <v>120000</v>
      </c>
      <c r="T27" s="81" t="s">
        <v>262</v>
      </c>
      <c r="U27" s="82" t="s">
        <v>263</v>
      </c>
      <c r="V27" s="82" t="s">
        <v>263</v>
      </c>
      <c r="W27" s="82" t="s">
        <v>263</v>
      </c>
      <c r="X27" s="82" t="s">
        <v>263</v>
      </c>
      <c r="Y27" s="79"/>
      <c r="Z27" s="79"/>
      <c r="AA27" s="79"/>
      <c r="AB27" s="82" t="s">
        <v>262</v>
      </c>
      <c r="AC27" s="82" t="s">
        <v>263</v>
      </c>
      <c r="AD27" s="82" t="s">
        <v>263</v>
      </c>
      <c r="AE27" s="82" t="s">
        <v>263</v>
      </c>
      <c r="AF27" s="88" t="s">
        <v>263</v>
      </c>
    </row>
    <row r="28" spans="3:32" ht="18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1200000</v>
      </c>
      <c r="I28" s="79"/>
      <c r="K28" s="1">
        <v>60000</v>
      </c>
      <c r="L28" s="1">
        <v>120000</v>
      </c>
      <c r="M28" s="1">
        <v>150000</v>
      </c>
      <c r="T28" s="81">
        <v>2</v>
      </c>
      <c r="U28" s="82">
        <v>5</v>
      </c>
      <c r="V28" s="82">
        <v>50</v>
      </c>
      <c r="W28" s="82">
        <v>400</v>
      </c>
      <c r="X28" s="89">
        <v>5000</v>
      </c>
      <c r="Y28" s="79"/>
      <c r="Z28" s="79"/>
      <c r="AA28" s="79"/>
      <c r="AB28" s="82">
        <v>2</v>
      </c>
      <c r="AC28" s="82"/>
      <c r="AD28" s="82"/>
      <c r="AE28" s="82"/>
      <c r="AF28" s="90"/>
    </row>
    <row r="29" spans="3:32" ht="18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2400000</v>
      </c>
      <c r="I29" s="79"/>
      <c r="K29" s="1">
        <v>120000</v>
      </c>
      <c r="L29" s="1">
        <v>150000</v>
      </c>
      <c r="M29" s="1">
        <v>200000</v>
      </c>
      <c r="T29" s="81">
        <v>3</v>
      </c>
      <c r="U29" s="82">
        <v>20</v>
      </c>
      <c r="V29" s="82">
        <v>150</v>
      </c>
      <c r="W29" s="89">
        <v>2000</v>
      </c>
      <c r="X29" s="89">
        <v>20000</v>
      </c>
      <c r="Y29" s="79"/>
      <c r="Z29" s="79"/>
      <c r="AA29" s="79"/>
      <c r="AB29" s="82">
        <v>3</v>
      </c>
      <c r="AC29" s="82"/>
      <c r="AD29" s="82"/>
      <c r="AE29" s="89"/>
      <c r="AF29" s="90"/>
    </row>
    <row r="30" spans="3:32" ht="18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3600000</v>
      </c>
      <c r="I30" s="79"/>
      <c r="K30" s="1">
        <v>150000</v>
      </c>
      <c r="L30" s="1">
        <v>200000</v>
      </c>
      <c r="M30" s="1">
        <v>400000</v>
      </c>
      <c r="T30" s="81">
        <v>4</v>
      </c>
      <c r="U30" s="82">
        <v>50</v>
      </c>
      <c r="V30" s="82">
        <v>400</v>
      </c>
      <c r="W30" s="89">
        <v>4000</v>
      </c>
      <c r="X30" s="89">
        <v>50000</v>
      </c>
      <c r="Y30" s="79"/>
      <c r="Z30" s="79"/>
      <c r="AA30" s="79"/>
      <c r="AB30" s="82">
        <v>4</v>
      </c>
      <c r="AC30" s="82"/>
      <c r="AD30" s="82"/>
      <c r="AE30" s="89"/>
      <c r="AF30" s="90"/>
    </row>
    <row r="31" spans="3:32" ht="18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6000000</v>
      </c>
      <c r="I31" s="79"/>
      <c r="K31" s="1">
        <v>200000</v>
      </c>
      <c r="L31" s="1">
        <v>400000</v>
      </c>
      <c r="M31" s="1">
        <v>800000</v>
      </c>
      <c r="T31" s="81">
        <v>5</v>
      </c>
      <c r="U31" s="82">
        <v>150</v>
      </c>
      <c r="V31" s="89">
        <v>1000</v>
      </c>
      <c r="W31" s="89">
        <v>8000</v>
      </c>
      <c r="X31" s="89">
        <v>100000</v>
      </c>
      <c r="Y31" s="79"/>
      <c r="Z31" s="79"/>
      <c r="AA31" s="79"/>
      <c r="AB31" s="82">
        <v>5</v>
      </c>
      <c r="AC31" s="82"/>
      <c r="AD31" s="89"/>
      <c r="AE31" s="89"/>
      <c r="AF31" s="90"/>
    </row>
    <row r="32" spans="3:32" ht="18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9600000</v>
      </c>
      <c r="I32" s="79"/>
      <c r="J32" s="34"/>
      <c r="K32" s="1">
        <v>400000</v>
      </c>
      <c r="L32" s="1">
        <v>800000</v>
      </c>
      <c r="M32" s="1">
        <v>1000000</v>
      </c>
      <c r="T32" s="81">
        <v>6</v>
      </c>
      <c r="U32" s="82">
        <v>400</v>
      </c>
      <c r="V32" s="89">
        <v>2000</v>
      </c>
      <c r="W32" s="89">
        <v>20000</v>
      </c>
      <c r="X32" s="82" t="s">
        <v>18</v>
      </c>
      <c r="Y32" s="79"/>
      <c r="Z32" s="79"/>
      <c r="AA32" s="79"/>
      <c r="AB32" s="82">
        <v>6</v>
      </c>
      <c r="AC32" s="82"/>
      <c r="AD32" s="89"/>
      <c r="AE32" s="89"/>
      <c r="AF32" s="88"/>
    </row>
    <row r="33" spans="1:32" ht="18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14400000</v>
      </c>
      <c r="I33" s="79"/>
      <c r="J33" s="34"/>
      <c r="K33" s="1">
        <v>800000</v>
      </c>
      <c r="L33" s="1">
        <v>1000000</v>
      </c>
      <c r="M33" s="1">
        <v>1200000</v>
      </c>
      <c r="T33" s="81">
        <v>7</v>
      </c>
      <c r="U33" s="89">
        <v>1000</v>
      </c>
      <c r="V33" s="89">
        <v>4000</v>
      </c>
      <c r="W33" s="89">
        <v>50000</v>
      </c>
      <c r="X33" s="82" t="s">
        <v>263</v>
      </c>
      <c r="Y33" s="79"/>
      <c r="Z33" s="79"/>
      <c r="AA33" s="79"/>
      <c r="AB33" s="82">
        <v>7</v>
      </c>
      <c r="AC33" s="89"/>
      <c r="AD33" s="89"/>
      <c r="AE33" s="89"/>
      <c r="AF33" s="88"/>
    </row>
    <row r="34" spans="1:32" ht="18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20400000</v>
      </c>
      <c r="I34" s="79"/>
      <c r="J34" s="34"/>
      <c r="K34" s="1">
        <v>1000000</v>
      </c>
      <c r="L34" s="1">
        <v>1200000</v>
      </c>
      <c r="M34" s="1">
        <v>1500000</v>
      </c>
      <c r="T34" s="81">
        <v>8</v>
      </c>
      <c r="U34" s="89">
        <v>2000</v>
      </c>
      <c r="V34" s="89">
        <v>8000</v>
      </c>
      <c r="W34" s="89">
        <v>100000</v>
      </c>
      <c r="X34" s="82" t="s">
        <v>263</v>
      </c>
      <c r="Y34" s="79"/>
      <c r="Z34" s="79"/>
      <c r="AA34" s="79"/>
      <c r="AB34" s="82">
        <v>8</v>
      </c>
      <c r="AC34" s="89"/>
      <c r="AD34" s="89"/>
      <c r="AE34" s="89"/>
      <c r="AF34" s="88"/>
    </row>
    <row r="35" spans="1:32" ht="18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27600000</v>
      </c>
      <c r="I35" s="79"/>
      <c r="J35" s="34"/>
      <c r="K35" s="1">
        <v>1200000</v>
      </c>
      <c r="L35" s="1">
        <v>1500000</v>
      </c>
      <c r="M35" s="1">
        <v>1800000</v>
      </c>
      <c r="T35" s="81">
        <v>9</v>
      </c>
      <c r="U35" s="89">
        <v>4000</v>
      </c>
      <c r="V35" s="89">
        <v>20000</v>
      </c>
      <c r="W35" s="82" t="s">
        <v>263</v>
      </c>
      <c r="X35" s="82" t="s">
        <v>263</v>
      </c>
      <c r="Y35" s="79"/>
      <c r="Z35" s="79"/>
      <c r="AA35" s="79"/>
      <c r="AB35" s="82">
        <v>9</v>
      </c>
      <c r="AC35" s="89"/>
      <c r="AD35" s="89"/>
      <c r="AE35" s="82"/>
      <c r="AF35" s="88"/>
    </row>
    <row r="36" spans="1:32" ht="18">
      <c r="T36" s="81">
        <v>10</v>
      </c>
      <c r="U36" s="89">
        <v>8000</v>
      </c>
      <c r="V36" s="89">
        <v>50000</v>
      </c>
      <c r="W36" s="82" t="s">
        <v>263</v>
      </c>
      <c r="X36" s="82" t="s">
        <v>263</v>
      </c>
      <c r="Y36" s="79"/>
      <c r="Z36" s="79"/>
      <c r="AA36" s="79"/>
      <c r="AB36" s="82">
        <v>10</v>
      </c>
      <c r="AC36" s="89"/>
      <c r="AD36" s="89"/>
      <c r="AE36" s="82"/>
      <c r="AF36" s="88"/>
    </row>
    <row r="37" spans="1:32" ht="18">
      <c r="T37" s="81">
        <v>11</v>
      </c>
      <c r="U37" s="89">
        <v>20000</v>
      </c>
      <c r="V37" s="89">
        <v>100000</v>
      </c>
      <c r="W37" s="82" t="s">
        <v>263</v>
      </c>
      <c r="X37" s="82" t="s">
        <v>263</v>
      </c>
      <c r="Y37" s="79"/>
      <c r="Z37" s="79"/>
      <c r="AA37" s="79"/>
      <c r="AB37" s="82">
        <v>11</v>
      </c>
      <c r="AC37" s="89"/>
      <c r="AD37" s="89"/>
      <c r="AE37" s="82"/>
      <c r="AF37" s="88"/>
    </row>
    <row r="38" spans="1:32" ht="18">
      <c r="T38" s="81">
        <v>12</v>
      </c>
      <c r="U38" s="89">
        <v>50000</v>
      </c>
      <c r="V38" s="82" t="s">
        <v>263</v>
      </c>
      <c r="W38" s="82" t="s">
        <v>263</v>
      </c>
      <c r="X38" s="82" t="s">
        <v>263</v>
      </c>
      <c r="Y38" s="79"/>
      <c r="Z38" s="79"/>
      <c r="AA38" s="79"/>
      <c r="AB38" s="82">
        <v>12</v>
      </c>
      <c r="AC38" s="89"/>
      <c r="AD38" s="82"/>
      <c r="AE38" s="82"/>
      <c r="AF38" s="88"/>
    </row>
    <row r="39" spans="1:32" ht="18">
      <c r="T39" s="81">
        <v>13</v>
      </c>
      <c r="U39" s="89">
        <v>100000</v>
      </c>
      <c r="V39" s="82" t="s">
        <v>263</v>
      </c>
      <c r="W39" s="82" t="s">
        <v>263</v>
      </c>
      <c r="X39" s="82" t="s">
        <v>263</v>
      </c>
      <c r="Y39" s="79"/>
      <c r="Z39" s="79"/>
      <c r="AA39" s="79"/>
      <c r="AB39" s="82">
        <v>13</v>
      </c>
      <c r="AC39" s="89"/>
      <c r="AD39" s="82"/>
      <c r="AE39" s="82"/>
      <c r="AF39" s="88"/>
    </row>
    <row r="40" spans="1:32" ht="18">
      <c r="T40" s="81" t="s">
        <v>264</v>
      </c>
      <c r="U40" s="89">
        <v>185625</v>
      </c>
      <c r="V40" s="89">
        <v>185600</v>
      </c>
      <c r="W40" s="89">
        <v>184400</v>
      </c>
      <c r="X40" s="89">
        <v>175000</v>
      </c>
      <c r="Y40" s="79"/>
      <c r="Z40" s="79"/>
      <c r="AA40" s="79"/>
      <c r="AB40" s="82" t="s">
        <v>264</v>
      </c>
      <c r="AC40" s="89"/>
      <c r="AD40" s="89"/>
      <c r="AE40" s="89"/>
      <c r="AF40" s="90"/>
    </row>
    <row r="41" spans="1:32">
      <c r="T41" s="78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80"/>
    </row>
    <row r="42" spans="1:32">
      <c r="T42" s="78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80"/>
    </row>
    <row r="43" spans="1:32">
      <c r="T43" s="91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3"/>
    </row>
    <row r="45" spans="1:32">
      <c r="A45" s="28"/>
      <c r="B45" s="28"/>
      <c r="C45" s="28"/>
      <c r="D45" s="28"/>
      <c r="E45" s="28"/>
      <c r="F45" s="28" t="s">
        <v>607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>
      <c r="C51" s="1"/>
      <c r="D51" s="1"/>
      <c r="E51" s="65" t="s">
        <v>584</v>
      </c>
      <c r="F51" s="65"/>
      <c r="G51" s="65"/>
      <c r="I51" s="1"/>
      <c r="J51" s="65" t="s">
        <v>585</v>
      </c>
      <c r="K51" s="65"/>
      <c r="L51" s="65"/>
    </row>
    <row r="52" spans="3:1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>
      <c r="C55" s="1">
        <v>2</v>
      </c>
      <c r="D55" s="1"/>
      <c r="E55" s="94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>
      <c r="C56" s="1">
        <v>3</v>
      </c>
      <c r="D56" s="1"/>
      <c r="E56" s="94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>
      <c r="C57" s="1">
        <v>4</v>
      </c>
      <c r="D57" s="1"/>
      <c r="E57" s="94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>
      <c r="C58" s="1">
        <v>5</v>
      </c>
      <c r="D58" s="1"/>
      <c r="E58" s="94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>
      <c r="C59" s="1">
        <v>6</v>
      </c>
      <c r="D59" s="1"/>
      <c r="E59" s="94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>
      <c r="C60" s="1">
        <v>7</v>
      </c>
      <c r="D60" s="1"/>
      <c r="E60" s="94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>
      <c r="C61" s="1">
        <v>8</v>
      </c>
      <c r="D61" s="1"/>
      <c r="E61" s="94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>
      <c r="C62" s="1">
        <v>9</v>
      </c>
      <c r="D62" s="1"/>
      <c r="E62" s="94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>
      <c r="C63" s="1">
        <v>10</v>
      </c>
      <c r="D63" s="1"/>
      <c r="E63" s="94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topLeftCell="D1" workbookViewId="0">
      <pane ySplit="1" topLeftCell="A204" activePane="bottomLeft" state="frozen"/>
      <selection pane="bottomLeft" activeCell="G288" sqref="G288"/>
    </sheetView>
  </sheetViews>
  <sheetFormatPr baseColWidth="10" defaultRowHeight="16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>
      <c r="A1" t="s">
        <v>454</v>
      </c>
      <c r="C1" t="s">
        <v>449</v>
      </c>
      <c r="D1" t="s">
        <v>473</v>
      </c>
      <c r="E1" t="s">
        <v>450</v>
      </c>
      <c r="F1" t="s">
        <v>451</v>
      </c>
      <c r="G1" t="s">
        <v>605</v>
      </c>
      <c r="H1" t="s">
        <v>475</v>
      </c>
      <c r="I1" t="s">
        <v>54</v>
      </c>
      <c r="J1" t="s">
        <v>434</v>
      </c>
      <c r="K1" t="s">
        <v>452</v>
      </c>
      <c r="L1" t="s">
        <v>453</v>
      </c>
      <c r="M1" t="s">
        <v>509</v>
      </c>
      <c r="N1" t="s">
        <v>433</v>
      </c>
      <c r="O1" t="s">
        <v>474</v>
      </c>
    </row>
    <row r="2" spans="1:15" hidden="1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553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554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555</v>
      </c>
      <c r="I12">
        <v>60</v>
      </c>
      <c r="L12">
        <f>SUM($I$2:I12)</f>
        <v>280</v>
      </c>
      <c r="M12">
        <f t="shared" si="0"/>
        <v>2.8</v>
      </c>
    </row>
    <row r="13" spans="1:15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490</v>
      </c>
      <c r="I13">
        <v>300</v>
      </c>
      <c r="L13">
        <f>SUM($I$2:I13)</f>
        <v>580</v>
      </c>
      <c r="M13">
        <f t="shared" si="0"/>
        <v>5.8</v>
      </c>
    </row>
    <row r="14" spans="1:15" hidden="1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493</v>
      </c>
      <c r="I19">
        <v>270</v>
      </c>
      <c r="L19">
        <f>SUM($I$2:I19)</f>
        <v>850</v>
      </c>
      <c r="M19">
        <f t="shared" si="0"/>
        <v>8.5</v>
      </c>
    </row>
    <row r="20" spans="3:13" hidden="1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488</v>
      </c>
      <c r="I25">
        <v>720</v>
      </c>
      <c r="L25">
        <f>SUM($I$2:I25)</f>
        <v>1570</v>
      </c>
      <c r="M25">
        <f t="shared" si="0"/>
        <v>15.7</v>
      </c>
    </row>
    <row r="26" spans="3:13" hidden="1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492</v>
      </c>
      <c r="I30">
        <v>120</v>
      </c>
      <c r="L30">
        <f>SUM($I$2:I30)</f>
        <v>1690</v>
      </c>
      <c r="M30">
        <f t="shared" si="0"/>
        <v>16.899999999999999</v>
      </c>
    </row>
    <row r="31" spans="3:13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487</v>
      </c>
      <c r="I31">
        <v>500</v>
      </c>
      <c r="L31">
        <f>SUM($I$2:I31)</f>
        <v>2190</v>
      </c>
      <c r="M31">
        <f t="shared" si="0"/>
        <v>21.9</v>
      </c>
    </row>
    <row r="32" spans="3:13" hidden="1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488</v>
      </c>
      <c r="I37">
        <v>720</v>
      </c>
      <c r="L37">
        <f>SUM($I$2:I37)</f>
        <v>2910</v>
      </c>
      <c r="M37">
        <f t="shared" si="0"/>
        <v>29.1</v>
      </c>
    </row>
    <row r="38" spans="3:13" hidden="1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493</v>
      </c>
      <c r="I48">
        <v>270</v>
      </c>
      <c r="L48">
        <f>SUM($I$2:I48)</f>
        <v>3180</v>
      </c>
      <c r="M48">
        <f t="shared" si="0"/>
        <v>31.8</v>
      </c>
    </row>
    <row r="49" spans="3:13" hidden="1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486</v>
      </c>
      <c r="I60">
        <v>120</v>
      </c>
      <c r="L60">
        <f>SUM($I$2:I60)</f>
        <v>3300</v>
      </c>
      <c r="M60">
        <f t="shared" si="0"/>
        <v>33</v>
      </c>
    </row>
    <row r="61" spans="3:13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484</v>
      </c>
      <c r="I61">
        <v>1500</v>
      </c>
      <c r="L61">
        <f>SUM($I$2:I61)</f>
        <v>4800</v>
      </c>
      <c r="M61">
        <f t="shared" si="0"/>
        <v>48</v>
      </c>
    </row>
    <row r="62" spans="3:13" hidden="1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491</v>
      </c>
      <c r="I66">
        <v>180</v>
      </c>
      <c r="L66">
        <f>SUM($I$2:I66)</f>
        <v>4980</v>
      </c>
      <c r="M66">
        <f t="shared" si="0"/>
        <v>49.8</v>
      </c>
    </row>
    <row r="67" spans="3:13" hidden="1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488</v>
      </c>
      <c r="I74">
        <v>720</v>
      </c>
      <c r="L74">
        <f>SUM($I$2:I74)</f>
        <v>5700</v>
      </c>
      <c r="M74">
        <f t="shared" si="1"/>
        <v>57</v>
      </c>
    </row>
    <row r="75" spans="3:13" hidden="1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495</v>
      </c>
      <c r="I80">
        <v>750</v>
      </c>
      <c r="L80">
        <f>SUM($I$2:I80)</f>
        <v>6450</v>
      </c>
      <c r="M80">
        <f t="shared" si="1"/>
        <v>64.5</v>
      </c>
    </row>
    <row r="81" spans="3:13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494</v>
      </c>
      <c r="I81">
        <v>500</v>
      </c>
      <c r="L81">
        <f>SUM($I$2:I81)</f>
        <v>6950</v>
      </c>
      <c r="M81">
        <f t="shared" si="1"/>
        <v>69.5</v>
      </c>
    </row>
    <row r="82" spans="3:13" hidden="1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490</v>
      </c>
      <c r="I86">
        <v>300</v>
      </c>
      <c r="L86">
        <f>SUM($I$2:I86)</f>
        <v>7250</v>
      </c>
      <c r="M86">
        <f t="shared" si="1"/>
        <v>72.5</v>
      </c>
    </row>
    <row r="87" spans="3:13" hidden="1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488</v>
      </c>
      <c r="I91">
        <v>720</v>
      </c>
      <c r="L91">
        <f>SUM($I$2:I91)</f>
        <v>7970</v>
      </c>
      <c r="M91">
        <f t="shared" si="1"/>
        <v>79.7</v>
      </c>
    </row>
    <row r="92" spans="3:13" hidden="1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502</v>
      </c>
      <c r="I100">
        <v>300</v>
      </c>
      <c r="L100">
        <f>SUM($I$2:I100)</f>
        <v>8270</v>
      </c>
      <c r="M100">
        <f t="shared" si="1"/>
        <v>82.7</v>
      </c>
    </row>
    <row r="101" spans="3:13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496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497</v>
      </c>
      <c r="I105">
        <v>360</v>
      </c>
      <c r="L105">
        <f>SUM($I$2:I105)</f>
        <v>10630</v>
      </c>
      <c r="M105">
        <f t="shared" si="1"/>
        <v>106.3</v>
      </c>
    </row>
    <row r="106" spans="3:13" hidden="1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503</v>
      </c>
      <c r="I110">
        <v>200</v>
      </c>
      <c r="L110">
        <f>SUM($I$2:I110)</f>
        <v>10830</v>
      </c>
      <c r="M110">
        <f t="shared" si="1"/>
        <v>108.3</v>
      </c>
    </row>
    <row r="111" spans="3:13" hidden="1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501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487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495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504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497</v>
      </c>
      <c r="I135">
        <v>360</v>
      </c>
      <c r="L135">
        <f>SUM($I$2:I135)</f>
        <v>15540</v>
      </c>
      <c r="M135">
        <f t="shared" si="2"/>
        <v>155.4</v>
      </c>
    </row>
    <row r="136" spans="3:13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496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499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505</v>
      </c>
      <c r="I144">
        <v>500</v>
      </c>
      <c r="L144">
        <f>SUM($I$2:I144)</f>
        <v>22040</v>
      </c>
      <c r="M144">
        <f t="shared" si="2"/>
        <v>220.4</v>
      </c>
    </row>
    <row r="145" spans="3:13" hidden="1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488</v>
      </c>
      <c r="I150">
        <v>720</v>
      </c>
      <c r="L150">
        <f>SUM($I$2:I150)</f>
        <v>22760</v>
      </c>
      <c r="M150">
        <f t="shared" si="2"/>
        <v>227.6</v>
      </c>
    </row>
    <row r="151" spans="3:13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498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484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501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506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498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488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507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501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496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497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488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506</v>
      </c>
      <c r="I194">
        <v>1200</v>
      </c>
      <c r="L194">
        <f>SUM($I$2:I194)</f>
        <v>41710</v>
      </c>
      <c r="M194">
        <f t="shared" si="2"/>
        <v>417.1</v>
      </c>
    </row>
    <row r="195" spans="3:13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487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493</v>
      </c>
      <c r="I199">
        <v>270</v>
      </c>
      <c r="L199">
        <f>SUM($I$2:I199)</f>
        <v>42480</v>
      </c>
      <c r="M199">
        <f t="shared" si="3"/>
        <v>424.8</v>
      </c>
    </row>
    <row r="200" spans="3:13" hidden="1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501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499</v>
      </c>
      <c r="I210">
        <v>600</v>
      </c>
      <c r="L210">
        <f>SUM($I$2:I210)</f>
        <v>45580</v>
      </c>
      <c r="M210">
        <f t="shared" si="3"/>
        <v>455.8</v>
      </c>
    </row>
    <row r="211" spans="3:13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500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504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507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505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498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507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508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506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500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488</v>
      </c>
      <c r="I248">
        <v>720</v>
      </c>
      <c r="L248">
        <f>SUM($I$2:I248)</f>
        <v>65050</v>
      </c>
      <c r="M248">
        <f t="shared" si="3"/>
        <v>650.5</v>
      </c>
    </row>
    <row r="249" spans="3:13" hidden="1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493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503</v>
      </c>
      <c r="I260">
        <v>250</v>
      </c>
      <c r="L260">
        <f>SUM($I$2:I260)</f>
        <v>65570</v>
      </c>
      <c r="M260">
        <f t="shared" si="4"/>
        <v>655.7</v>
      </c>
    </row>
    <row r="261" spans="3:13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487</v>
      </c>
      <c r="I261">
        <v>500</v>
      </c>
      <c r="L261">
        <f>SUM($I$2:I261)</f>
        <v>66070</v>
      </c>
      <c r="M261">
        <f t="shared" si="4"/>
        <v>660.7</v>
      </c>
    </row>
    <row r="262" spans="3:13" hidden="1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502</v>
      </c>
      <c r="I268">
        <v>300</v>
      </c>
      <c r="L268">
        <f>SUM($I$2:I268)</f>
        <v>66370</v>
      </c>
      <c r="M268">
        <f t="shared" si="4"/>
        <v>663.7</v>
      </c>
    </row>
    <row r="269" spans="3:13" hidden="1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507</v>
      </c>
      <c r="I275">
        <v>750</v>
      </c>
      <c r="L275">
        <f>SUM($I$2:I275)</f>
        <v>67120</v>
      </c>
      <c r="M275">
        <f t="shared" si="4"/>
        <v>671.2</v>
      </c>
    </row>
    <row r="276" spans="3:13" hidden="1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493</v>
      </c>
      <c r="I280">
        <v>270</v>
      </c>
      <c r="L280">
        <f>SUM($I$2:I280)</f>
        <v>67390</v>
      </c>
      <c r="M280">
        <f t="shared" si="4"/>
        <v>673.9</v>
      </c>
    </row>
    <row r="281" spans="3:13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496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488</v>
      </c>
      <c r="I288">
        <v>720</v>
      </c>
      <c r="L288">
        <f>SUM($I$2:I288)</f>
        <v>71110</v>
      </c>
      <c r="M288">
        <f t="shared" si="4"/>
        <v>711.1</v>
      </c>
    </row>
    <row r="289" spans="3:13" hidden="1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493</v>
      </c>
      <c r="I295">
        <v>270</v>
      </c>
      <c r="L295">
        <f>SUM($I$2:I295)</f>
        <v>71380</v>
      </c>
      <c r="M295">
        <f t="shared" si="4"/>
        <v>713.8</v>
      </c>
    </row>
    <row r="296" spans="3:13" hidden="1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503</v>
      </c>
      <c r="I300">
        <v>250</v>
      </c>
      <c r="L300">
        <f>SUM($I$2:I300)</f>
        <v>71630</v>
      </c>
      <c r="M300">
        <f t="shared" si="4"/>
        <v>716.3</v>
      </c>
    </row>
    <row r="301" spans="3:13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487</v>
      </c>
      <c r="I301">
        <v>500</v>
      </c>
      <c r="L301">
        <f>SUM($I$2:I301)</f>
        <v>72130</v>
      </c>
      <c r="M301">
        <f t="shared" si="4"/>
        <v>721.3</v>
      </c>
    </row>
    <row r="302" spans="3:13" hidden="1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502</v>
      </c>
      <c r="I308">
        <v>300</v>
      </c>
      <c r="L308">
        <f>SUM($I$2:I308)</f>
        <v>72430</v>
      </c>
      <c r="M308">
        <f t="shared" si="4"/>
        <v>724.3</v>
      </c>
    </row>
    <row r="309" spans="3:13" hidden="1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507</v>
      </c>
      <c r="I315">
        <v>750</v>
      </c>
      <c r="L315">
        <f>SUM($I$2:I315)</f>
        <v>73180</v>
      </c>
      <c r="M315">
        <f t="shared" si="4"/>
        <v>731.8</v>
      </c>
    </row>
    <row r="316" spans="3:13" hidden="1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493</v>
      </c>
      <c r="I320">
        <v>270</v>
      </c>
      <c r="L320">
        <f>SUM($I$2:I320)</f>
        <v>73450</v>
      </c>
      <c r="M320">
        <f t="shared" si="4"/>
        <v>734.5</v>
      </c>
    </row>
    <row r="321" spans="3:13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496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488</v>
      </c>
      <c r="I328">
        <v>720</v>
      </c>
      <c r="L328">
        <f>SUM($I$2:I328)</f>
        <v>77170</v>
      </c>
      <c r="M328">
        <f t="shared" si="5"/>
        <v>771.7</v>
      </c>
    </row>
    <row r="329" spans="3:13" hidden="1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493</v>
      </c>
      <c r="I335">
        <v>270</v>
      </c>
      <c r="L335">
        <f>SUM($I$2:I335)</f>
        <v>77440</v>
      </c>
      <c r="M335">
        <f t="shared" si="5"/>
        <v>774.4</v>
      </c>
    </row>
    <row r="336" spans="3:13" hidden="1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503</v>
      </c>
      <c r="I340">
        <v>250</v>
      </c>
      <c r="L340">
        <f>SUM($I$2:I340)</f>
        <v>77690</v>
      </c>
      <c r="M340">
        <f t="shared" si="5"/>
        <v>776.9</v>
      </c>
    </row>
    <row r="341" spans="3:13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487</v>
      </c>
      <c r="I341">
        <v>500</v>
      </c>
      <c r="L341">
        <f>SUM($I$2:I341)</f>
        <v>78190</v>
      </c>
      <c r="M341">
        <f t="shared" si="5"/>
        <v>781.9</v>
      </c>
    </row>
    <row r="342" spans="3:13" hidden="1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502</v>
      </c>
      <c r="I348">
        <v>300</v>
      </c>
      <c r="L348">
        <f>SUM($I$2:I348)</f>
        <v>78490</v>
      </c>
      <c r="M348">
        <f t="shared" si="5"/>
        <v>784.9</v>
      </c>
    </row>
    <row r="349" spans="3:13" hidden="1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507</v>
      </c>
      <c r="I355">
        <v>750</v>
      </c>
      <c r="L355">
        <f>SUM($I$2:I355)</f>
        <v>79240</v>
      </c>
      <c r="M355">
        <f t="shared" si="5"/>
        <v>792.4</v>
      </c>
    </row>
    <row r="356" spans="3:13" hidden="1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493</v>
      </c>
      <c r="I360">
        <v>270</v>
      </c>
      <c r="L360">
        <f>SUM($I$2:I360)</f>
        <v>79510</v>
      </c>
      <c r="M360">
        <f t="shared" si="5"/>
        <v>795.1</v>
      </c>
    </row>
    <row r="361" spans="3:13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496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488</v>
      </c>
      <c r="I368">
        <v>720</v>
      </c>
      <c r="L368">
        <f>SUM($I$2:I368)</f>
        <v>83230</v>
      </c>
      <c r="M368">
        <f t="shared" si="5"/>
        <v>832.3</v>
      </c>
    </row>
    <row r="369" spans="3:13" hidden="1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493</v>
      </c>
      <c r="I375">
        <v>270</v>
      </c>
      <c r="L375">
        <f>SUM($I$2:I375)</f>
        <v>83500</v>
      </c>
      <c r="M375">
        <f t="shared" si="5"/>
        <v>835</v>
      </c>
    </row>
    <row r="376" spans="3:13" hidden="1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503</v>
      </c>
      <c r="I380">
        <v>250</v>
      </c>
      <c r="L380">
        <f>SUM($I$2:I380)</f>
        <v>83750</v>
      </c>
      <c r="M380">
        <f t="shared" si="5"/>
        <v>837.5</v>
      </c>
    </row>
    <row r="381" spans="3:13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487</v>
      </c>
      <c r="I381">
        <v>500</v>
      </c>
      <c r="L381">
        <f>SUM($I$2:I381)</f>
        <v>84250</v>
      </c>
      <c r="M381">
        <f t="shared" si="5"/>
        <v>842.5</v>
      </c>
    </row>
    <row r="382" spans="3:13" hidden="1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502</v>
      </c>
      <c r="I388">
        <v>300</v>
      </c>
      <c r="L388">
        <f>SUM($I$2:I388)</f>
        <v>84550</v>
      </c>
      <c r="M388">
        <f t="shared" si="6"/>
        <v>845.5</v>
      </c>
    </row>
    <row r="389" spans="3:13" hidden="1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507</v>
      </c>
      <c r="I395">
        <v>750</v>
      </c>
      <c r="L395">
        <f>SUM($I$2:I395)</f>
        <v>85300</v>
      </c>
      <c r="M395">
        <f t="shared" si="6"/>
        <v>853</v>
      </c>
    </row>
    <row r="396" spans="3:13" hidden="1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493</v>
      </c>
      <c r="I400">
        <v>270</v>
      </c>
      <c r="L400">
        <f>SUM($I$2:I400)</f>
        <v>85570</v>
      </c>
      <c r="M400">
        <f t="shared" si="6"/>
        <v>855.7</v>
      </c>
    </row>
    <row r="401" spans="3:13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496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488</v>
      </c>
      <c r="I405">
        <v>720</v>
      </c>
      <c r="L405">
        <f>SUM($I$2:I405)</f>
        <v>89290</v>
      </c>
      <c r="M405">
        <f t="shared" si="6"/>
        <v>892.9</v>
      </c>
    </row>
    <row r="406" spans="3:13" hidden="1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493</v>
      </c>
      <c r="I410">
        <v>270</v>
      </c>
      <c r="L410">
        <f>SUM($I$2:I410)</f>
        <v>89560</v>
      </c>
      <c r="M410">
        <f t="shared" si="6"/>
        <v>895.6</v>
      </c>
    </row>
    <row r="411" spans="3:13" hidden="1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503</v>
      </c>
      <c r="I416">
        <v>250</v>
      </c>
      <c r="L416">
        <f>SUM($I$2:I416)</f>
        <v>89810</v>
      </c>
      <c r="M416">
        <f t="shared" si="6"/>
        <v>898.1</v>
      </c>
    </row>
    <row r="417" spans="3:13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487</v>
      </c>
      <c r="I417">
        <v>500</v>
      </c>
      <c r="L417">
        <f>SUM($I$2:I417)</f>
        <v>90310</v>
      </c>
      <c r="M417">
        <f t="shared" si="6"/>
        <v>903.1</v>
      </c>
    </row>
    <row r="418" spans="3:13" hidden="1">
      <c r="G418" t="str">
        <f>IF( IFERROR(VLOOKUP(C418,'Dungeon&amp;Framework'!CG:CN,8,FALSE),"") = 0, "",IFERROR(VLOOKUP(C418,'Dungeon&amp;Framework'!CG:CN,8,FALSE),""))</f>
        <v/>
      </c>
    </row>
    <row r="419" spans="3:13" hidden="1">
      <c r="G419" t="str">
        <f>IF( IFERROR(VLOOKUP(C419,'Dungeon&amp;Framework'!CG:CN,8,FALSE),"") = 0, "",IFERROR(VLOOKUP(C419,'Dungeon&amp;Framework'!CG:CN,8,FALSE),""))</f>
        <v/>
      </c>
      <c r="L419" t="s">
        <v>523</v>
      </c>
    </row>
    <row r="420" spans="3:13" hidden="1">
      <c r="L420" t="s">
        <v>524</v>
      </c>
    </row>
    <row r="421" spans="3:13" hidden="1"/>
    <row r="422" spans="3:13" hidden="1">
      <c r="G422" t="str">
        <f>IF( IFERROR(VLOOKUP(C422,'Dungeon&amp;Framework'!CG:CN,8,FALSE),"") = 0, "",IFERROR(VLOOKUP(C422,'Dungeon&amp;Framework'!CG:CN,8,FALSE),""))</f>
        <v/>
      </c>
      <c r="L422" t="s">
        <v>525</v>
      </c>
    </row>
    <row r="423" spans="3:13" hidden="1">
      <c r="G423" t="str">
        <f>IF( IFERROR(VLOOKUP(C423,'Dungeon&amp;Framework'!CG:CN,8,FALSE),"") = 0, "",IFERROR(VLOOKUP(C423,'Dungeon&amp;Framework'!CG:CN,8,FALSE),""))</f>
        <v/>
      </c>
      <c r="L423" t="s">
        <v>526</v>
      </c>
    </row>
    <row r="424" spans="3:13" hidden="1">
      <c r="G424" t="str">
        <f>IF( IFERROR(VLOOKUP(C424,'Dungeon&amp;Framework'!CG:CN,8,FALSE),"") = 0, "",IFERROR(VLOOKUP(C424,'Dungeon&amp;Framework'!CG:CN,8,FALSE),""))</f>
        <v/>
      </c>
      <c r="L424" t="s">
        <v>527</v>
      </c>
    </row>
    <row r="425" spans="3:13" hidden="1">
      <c r="G425" t="str">
        <f>IF( IFERROR(VLOOKUP(C425,'Dungeon&amp;Framework'!CG:CN,8,FALSE),"") = 0, "",IFERROR(VLOOKUP(C425,'Dungeon&amp;Framework'!CG:CN,8,FALSE),""))</f>
        <v/>
      </c>
    </row>
    <row r="426" spans="3:13" hidden="1">
      <c r="L426" t="s">
        <v>528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abSelected="1" workbookViewId="0">
      <selection activeCell="D8" sqref="D8"/>
    </sheetView>
  </sheetViews>
  <sheetFormatPr baseColWidth="10" defaultRowHeight="16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>
      <c r="M2" t="s">
        <v>419</v>
      </c>
      <c r="N2" t="s">
        <v>420</v>
      </c>
      <c r="P2" t="s">
        <v>363</v>
      </c>
      <c r="R2" s="28" t="s">
        <v>604</v>
      </c>
    </row>
    <row r="3" spans="1:18">
      <c r="C3" t="s">
        <v>347</v>
      </c>
      <c r="D3" t="s">
        <v>344</v>
      </c>
      <c r="E3" t="s">
        <v>345</v>
      </c>
      <c r="F3" t="s">
        <v>346</v>
      </c>
      <c r="K3" t="s">
        <v>351</v>
      </c>
      <c r="L3" t="s">
        <v>102</v>
      </c>
      <c r="M3">
        <v>10</v>
      </c>
      <c r="N3">
        <f>M3*60*2</f>
        <v>1200</v>
      </c>
      <c r="P3">
        <f>720000/30</f>
        <v>24000</v>
      </c>
      <c r="R3" s="28">
        <f>P3/100</f>
        <v>240</v>
      </c>
    </row>
    <row r="4" spans="1:18">
      <c r="L4" t="s">
        <v>103</v>
      </c>
      <c r="M4">
        <v>100</v>
      </c>
      <c r="N4">
        <f t="shared" ref="N4:N5" si="0">M4*60*2</f>
        <v>12000</v>
      </c>
    </row>
    <row r="5" spans="1:18">
      <c r="B5" s="1" t="s">
        <v>431</v>
      </c>
      <c r="C5" s="1">
        <f>C11*$R$8</f>
        <v>36000</v>
      </c>
      <c r="D5" s="1">
        <f t="shared" ref="D5:F5" si="1">D11*$R$8</f>
        <v>72000</v>
      </c>
      <c r="E5" s="1">
        <f t="shared" si="1"/>
        <v>300000</v>
      </c>
      <c r="F5" s="1">
        <f>F11*$R$8</f>
        <v>480000</v>
      </c>
      <c r="L5" t="s">
        <v>348</v>
      </c>
      <c r="M5">
        <v>1000</v>
      </c>
      <c r="N5">
        <f t="shared" si="0"/>
        <v>120000</v>
      </c>
    </row>
    <row r="6" spans="1:18">
      <c r="A6" s="55" t="s">
        <v>349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>
      <c r="A7" s="55"/>
      <c r="B7" s="1" t="s">
        <v>103</v>
      </c>
      <c r="C7" s="1">
        <v>2</v>
      </c>
      <c r="D7" s="1">
        <v>4</v>
      </c>
      <c r="E7" s="1">
        <v>10</v>
      </c>
      <c r="F7" s="1">
        <v>30</v>
      </c>
      <c r="R7" s="28" t="s">
        <v>603</v>
      </c>
    </row>
    <row r="8" spans="1:18">
      <c r="A8" s="55"/>
      <c r="B8" s="1" t="s">
        <v>348</v>
      </c>
      <c r="C8" s="1">
        <v>0</v>
      </c>
      <c r="D8" s="1">
        <v>0</v>
      </c>
      <c r="E8" s="1">
        <v>1</v>
      </c>
      <c r="F8" s="1">
        <v>1</v>
      </c>
      <c r="R8" s="28">
        <f>ROUND('Dungeon&amp;Framework'!DZ71,0)</f>
        <v>240</v>
      </c>
    </row>
    <row r="10" spans="1:18">
      <c r="B10" s="1" t="s">
        <v>350</v>
      </c>
      <c r="C10" s="1">
        <f>C6*$N$3+C7*$N$4+C8*$N$5</f>
        <v>36000</v>
      </c>
      <c r="D10" s="1">
        <f t="shared" ref="D10:F10" si="2">D6*$N$3+D7*$N$4+D8*$N$5</f>
        <v>72000</v>
      </c>
      <c r="E10" s="1">
        <f>E6*$N$3+E7*$N$4+E8*$N$5</f>
        <v>300000</v>
      </c>
      <c r="F10" s="1">
        <f t="shared" si="2"/>
        <v>480000</v>
      </c>
    </row>
    <row r="11" spans="1:18">
      <c r="B11" s="1" t="s">
        <v>428</v>
      </c>
      <c r="C11" s="101">
        <f>C10/$R$3</f>
        <v>150</v>
      </c>
      <c r="D11" s="101">
        <f t="shared" ref="D11:F11" si="3">D10/$R$3</f>
        <v>300</v>
      </c>
      <c r="E11" s="101">
        <f t="shared" si="3"/>
        <v>1250</v>
      </c>
      <c r="F11" s="101">
        <f t="shared" si="3"/>
        <v>2000</v>
      </c>
    </row>
    <row r="14" spans="1:18">
      <c r="C14" s="65" t="s">
        <v>429</v>
      </c>
      <c r="D14" s="65"/>
      <c r="E14" s="65"/>
      <c r="F14" s="65"/>
      <c r="K14" t="s">
        <v>437</v>
      </c>
    </row>
    <row r="15" spans="1:18">
      <c r="C15" t="s">
        <v>347</v>
      </c>
      <c r="D15" t="s">
        <v>344</v>
      </c>
      <c r="E15" t="s">
        <v>345</v>
      </c>
      <c r="F15" t="s">
        <v>346</v>
      </c>
      <c r="K15" s="16" t="s">
        <v>438</v>
      </c>
    </row>
    <row r="16" spans="1:18">
      <c r="K16" s="16" t="s">
        <v>439</v>
      </c>
    </row>
    <row r="18" spans="1:10">
      <c r="B18" t="s">
        <v>102</v>
      </c>
      <c r="C18">
        <v>12</v>
      </c>
      <c r="D18">
        <v>25</v>
      </c>
      <c r="E18">
        <v>60</v>
      </c>
    </row>
    <row r="19" spans="1:10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>
      <c r="B20" t="s">
        <v>348</v>
      </c>
      <c r="C20">
        <v>0</v>
      </c>
      <c r="D20">
        <v>0</v>
      </c>
      <c r="E20">
        <v>1</v>
      </c>
      <c r="F20">
        <v>1</v>
      </c>
    </row>
    <row r="23" spans="1:10">
      <c r="A23" s="16" t="s">
        <v>430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>
      <c r="B25" s="48" t="s">
        <v>389</v>
      </c>
      <c r="C25" s="48"/>
      <c r="D25" s="48" t="s">
        <v>395</v>
      </c>
      <c r="E25" s="48">
        <v>3</v>
      </c>
    </row>
    <row r="26" spans="1:10">
      <c r="B26" s="48" t="s">
        <v>390</v>
      </c>
      <c r="C26" s="48"/>
      <c r="D26" s="48" t="s">
        <v>395</v>
      </c>
      <c r="E26" s="48">
        <v>3</v>
      </c>
    </row>
    <row r="27" spans="1:10">
      <c r="B27" t="s">
        <v>391</v>
      </c>
      <c r="D27" t="s">
        <v>396</v>
      </c>
      <c r="E27">
        <v>3</v>
      </c>
    </row>
    <row r="28" spans="1:10">
      <c r="B28" t="s">
        <v>392</v>
      </c>
      <c r="D28" t="s">
        <v>396</v>
      </c>
      <c r="E28">
        <v>3</v>
      </c>
    </row>
    <row r="29" spans="1:10">
      <c r="B29" t="s">
        <v>393</v>
      </c>
      <c r="D29" t="s">
        <v>396</v>
      </c>
      <c r="E29">
        <v>3</v>
      </c>
    </row>
    <row r="30" spans="1:10">
      <c r="B30" t="s">
        <v>394</v>
      </c>
      <c r="D30" t="s">
        <v>396</v>
      </c>
      <c r="E30">
        <v>3</v>
      </c>
    </row>
    <row r="31" spans="1:10">
      <c r="B31" t="s">
        <v>403</v>
      </c>
      <c r="D31" t="s">
        <v>396</v>
      </c>
      <c r="E31">
        <v>3</v>
      </c>
    </row>
    <row r="33" spans="1:15">
      <c r="A33" s="1"/>
      <c r="B33" s="1"/>
      <c r="C33" s="1"/>
      <c r="D33" s="1"/>
      <c r="E33" s="1"/>
      <c r="F33" s="1" t="s">
        <v>442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 t="s">
        <v>219</v>
      </c>
      <c r="D34" s="1" t="s">
        <v>103</v>
      </c>
      <c r="E34" s="1" t="s">
        <v>102</v>
      </c>
      <c r="F34" s="1" t="s">
        <v>440</v>
      </c>
      <c r="G34" s="1" t="s">
        <v>431</v>
      </c>
      <c r="H34" s="1" t="s">
        <v>432</v>
      </c>
      <c r="I34" s="1" t="s">
        <v>384</v>
      </c>
      <c r="J34" s="1" t="s">
        <v>435</v>
      </c>
      <c r="K34" s="1" t="s">
        <v>441</v>
      </c>
      <c r="L34" s="1" t="s">
        <v>436</v>
      </c>
      <c r="M34" s="1"/>
      <c r="N34" s="1" t="s">
        <v>434</v>
      </c>
      <c r="O34" s="1" t="s">
        <v>433</v>
      </c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4">(C36*$N$5+D36*$N$4+E36*$N$3+F36)/$P$3</f>
        <v>9.5</v>
      </c>
      <c r="K36" s="1">
        <f>H36/100</f>
        <v>0</v>
      </c>
      <c r="L36" s="1">
        <f t="shared" ref="L36:L41" si="5">I36</f>
        <v>5</v>
      </c>
      <c r="M36" s="1"/>
      <c r="N36" s="1">
        <f>SUM(J36:L36)</f>
        <v>14.5</v>
      </c>
      <c r="O36" s="1">
        <f t="shared" ref="O36:O41" si="6">N36/A36</f>
        <v>2.905811623246493</v>
      </c>
    </row>
    <row r="37" spans="1:15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4"/>
        <v>18</v>
      </c>
      <c r="K37" s="1">
        <f t="shared" ref="K37:K41" si="7">H37/100</f>
        <v>0</v>
      </c>
      <c r="L37" s="1">
        <f t="shared" si="5"/>
        <v>10</v>
      </c>
      <c r="M37" s="1"/>
      <c r="N37" s="1">
        <f t="shared" ref="N37:N41" si="8">SUM(J37:L37)</f>
        <v>28</v>
      </c>
      <c r="O37" s="1">
        <f t="shared" si="6"/>
        <v>2.8028028028028027</v>
      </c>
    </row>
    <row r="38" spans="1:15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4"/>
        <v>35</v>
      </c>
      <c r="K38" s="1">
        <f t="shared" si="7"/>
        <v>0</v>
      </c>
      <c r="L38" s="1">
        <f t="shared" si="5"/>
        <v>20</v>
      </c>
      <c r="M38" s="1"/>
      <c r="N38" s="1">
        <f t="shared" si="8"/>
        <v>55</v>
      </c>
      <c r="O38" s="1">
        <f t="shared" si="6"/>
        <v>2.7513756878439222</v>
      </c>
    </row>
    <row r="39" spans="1:15">
      <c r="A39" s="50">
        <v>29.99</v>
      </c>
      <c r="B39" s="50"/>
      <c r="C39" s="50">
        <v>3</v>
      </c>
      <c r="D39" s="50">
        <v>40</v>
      </c>
      <c r="E39" s="50"/>
      <c r="F39" s="50">
        <v>360000</v>
      </c>
      <c r="G39" s="50"/>
      <c r="H39" s="50"/>
      <c r="I39" s="50">
        <v>30</v>
      </c>
      <c r="J39" s="50">
        <f t="shared" ref="J39:J41" si="9">(C39*$N$5+D39*$N$4+E39*$N$3+F39)/$P$3</f>
        <v>50</v>
      </c>
      <c r="K39" s="50">
        <f t="shared" si="7"/>
        <v>0</v>
      </c>
      <c r="L39" s="50">
        <f t="shared" si="5"/>
        <v>30</v>
      </c>
      <c r="M39" s="50"/>
      <c r="N39" s="50">
        <f t="shared" si="8"/>
        <v>80</v>
      </c>
      <c r="O39" s="50">
        <f t="shared" si="6"/>
        <v>2.6675558519506501</v>
      </c>
    </row>
    <row r="40" spans="1:15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9"/>
        <v>80</v>
      </c>
      <c r="K40" s="1">
        <f t="shared" si="7"/>
        <v>0</v>
      </c>
      <c r="L40" s="1">
        <f t="shared" si="5"/>
        <v>50</v>
      </c>
      <c r="M40" s="1"/>
      <c r="N40" s="1">
        <f t="shared" si="8"/>
        <v>130</v>
      </c>
      <c r="O40" s="1">
        <f t="shared" si="6"/>
        <v>2.6005201040208039</v>
      </c>
    </row>
    <row r="41" spans="1:15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9"/>
        <v>140</v>
      </c>
      <c r="K41" s="1">
        <f t="shared" si="7"/>
        <v>0</v>
      </c>
      <c r="L41" s="1">
        <f t="shared" si="5"/>
        <v>100</v>
      </c>
      <c r="M41" s="1"/>
      <c r="N41" s="1">
        <f t="shared" si="8"/>
        <v>240</v>
      </c>
      <c r="O41" s="1">
        <f t="shared" si="6"/>
        <v>2.4002400240024002</v>
      </c>
    </row>
    <row r="46" spans="1:15">
      <c r="A46" s="16" t="s">
        <v>443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>
      <c r="B49" t="s">
        <v>444</v>
      </c>
    </row>
    <row r="50" spans="2:2">
      <c r="B50" t="s">
        <v>459</v>
      </c>
    </row>
    <row r="51" spans="2:2">
      <c r="B51" t="s">
        <v>460</v>
      </c>
    </row>
    <row r="67" spans="1:10">
      <c r="A67" s="16" t="s">
        <v>446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>
      <c r="C69" t="s">
        <v>447</v>
      </c>
      <c r="D69" t="s">
        <v>384</v>
      </c>
      <c r="F69" t="s">
        <v>54</v>
      </c>
      <c r="G69" t="s">
        <v>433</v>
      </c>
      <c r="J69" t="s">
        <v>448</v>
      </c>
    </row>
    <row r="70" spans="1:10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>
      <c r="B71">
        <v>4.99</v>
      </c>
      <c r="C71">
        <v>10</v>
      </c>
      <c r="D71">
        <v>10</v>
      </c>
      <c r="F71">
        <f t="shared" ref="F71:F75" si="10">(C71*$J$70+D71*100)/100</f>
        <v>19</v>
      </c>
      <c r="G71">
        <f t="shared" ref="G71:G75" si="11">F71/B71</f>
        <v>3.8076152304609217</v>
      </c>
    </row>
    <row r="72" spans="1:10">
      <c r="B72">
        <v>9.99</v>
      </c>
      <c r="C72">
        <v>22</v>
      </c>
      <c r="D72">
        <v>15</v>
      </c>
      <c r="F72">
        <f t="shared" si="10"/>
        <v>34.799999999999997</v>
      </c>
      <c r="G72">
        <f t="shared" si="11"/>
        <v>3.4834834834834831</v>
      </c>
    </row>
    <row r="73" spans="1:10">
      <c r="B73" s="7">
        <v>19.989999999999998</v>
      </c>
      <c r="C73" s="7">
        <v>50</v>
      </c>
      <c r="D73" s="7">
        <v>20</v>
      </c>
      <c r="E73" s="7"/>
      <c r="F73" s="7">
        <f t="shared" si="10"/>
        <v>65</v>
      </c>
      <c r="G73" s="7">
        <f t="shared" si="11"/>
        <v>3.2516258129064535</v>
      </c>
      <c r="H73" s="7"/>
      <c r="I73" s="7"/>
      <c r="J73" s="7"/>
    </row>
    <row r="74" spans="1:10">
      <c r="B74" s="51">
        <v>29.99</v>
      </c>
      <c r="C74" s="51">
        <v>60</v>
      </c>
      <c r="D74" s="51">
        <v>40</v>
      </c>
      <c r="E74" s="51"/>
      <c r="F74" s="51">
        <f t="shared" si="10"/>
        <v>94</v>
      </c>
      <c r="G74" s="51">
        <f t="shared" si="11"/>
        <v>3.134378126042014</v>
      </c>
      <c r="H74" s="51"/>
      <c r="I74" s="51"/>
      <c r="J74" s="51"/>
    </row>
    <row r="75" spans="1:10">
      <c r="B75">
        <v>49.99</v>
      </c>
      <c r="C75">
        <v>120</v>
      </c>
      <c r="D75">
        <v>50</v>
      </c>
      <c r="F75">
        <f t="shared" si="10"/>
        <v>158</v>
      </c>
      <c r="G75">
        <f t="shared" si="11"/>
        <v>3.160632126425285</v>
      </c>
    </row>
    <row r="79" spans="1:10">
      <c r="A79" s="16" t="s">
        <v>522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O1" workbookViewId="0">
      <selection activeCell="J19" sqref="J19"/>
    </sheetView>
  </sheetViews>
  <sheetFormatPr baseColWidth="10" defaultRowHeight="16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>
      <c r="A1" t="s">
        <v>191</v>
      </c>
      <c r="U1" t="s">
        <v>556</v>
      </c>
      <c r="W1">
        <f>'Dungeon&amp;Framework'!EF22</f>
        <v>35.243238095238091</v>
      </c>
    </row>
    <row r="2" spans="1:32">
      <c r="A2" t="s">
        <v>192</v>
      </c>
      <c r="O2" t="s">
        <v>193</v>
      </c>
      <c r="U2" t="s">
        <v>557</v>
      </c>
      <c r="W2">
        <f>'Dungeon&amp;Framework'!EF40</f>
        <v>66.457606837606832</v>
      </c>
    </row>
    <row r="3" spans="1:32">
      <c r="O3" t="s">
        <v>194</v>
      </c>
      <c r="U3" t="s">
        <v>558</v>
      </c>
      <c r="W3">
        <f>'Dungeon&amp;Framework'!EF58</f>
        <v>179.59389743589745</v>
      </c>
    </row>
    <row r="4" spans="1:32">
      <c r="C4" t="s">
        <v>195</v>
      </c>
      <c r="U4" t="s">
        <v>559</v>
      </c>
      <c r="W4">
        <f>'Dungeon&amp;Framework'!EF64</f>
        <v>242.43761061946901</v>
      </c>
    </row>
    <row r="5" spans="1:32">
      <c r="A5" s="69" t="s">
        <v>37</v>
      </c>
      <c r="B5" s="70"/>
      <c r="C5" s="70"/>
      <c r="D5" s="70"/>
      <c r="E5" s="70"/>
      <c r="F5" s="70"/>
      <c r="G5" s="70"/>
      <c r="H5" s="71"/>
      <c r="J5" s="72" t="s">
        <v>38</v>
      </c>
      <c r="K5" s="73"/>
      <c r="L5" s="73"/>
      <c r="M5" s="73"/>
      <c r="N5" s="73"/>
      <c r="O5" s="73"/>
      <c r="P5" s="73"/>
      <c r="Q5" s="74"/>
      <c r="S5" s="66" t="s">
        <v>39</v>
      </c>
      <c r="T5" s="67"/>
      <c r="U5" s="67"/>
      <c r="V5" s="67"/>
      <c r="W5" s="67"/>
      <c r="X5" s="67"/>
      <c r="Y5" s="67"/>
      <c r="Z5" s="68"/>
    </row>
    <row r="6" spans="1:3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328</v>
      </c>
      <c r="AC6" s="7"/>
      <c r="AD6">
        <f>(Z10+Z28+Z48+Z67)*2</f>
        <v>64</v>
      </c>
    </row>
    <row r="7" spans="1:3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329</v>
      </c>
      <c r="AC7" s="7"/>
      <c r="AD7">
        <f>(Q11+Q30+Q49+AD31)*4</f>
        <v>120</v>
      </c>
    </row>
    <row r="8" spans="1:32">
      <c r="A8" s="24">
        <v>-1</v>
      </c>
      <c r="B8" s="24">
        <v>1</v>
      </c>
      <c r="C8" s="23" t="s">
        <v>560</v>
      </c>
      <c r="D8" s="24">
        <v>-1</v>
      </c>
      <c r="E8" s="24">
        <v>2</v>
      </c>
      <c r="F8" s="23" t="s">
        <v>562</v>
      </c>
      <c r="G8" s="23"/>
      <c r="H8" s="23">
        <v>6</v>
      </c>
      <c r="I8" t="s">
        <v>561</v>
      </c>
      <c r="J8" s="20">
        <v>-1</v>
      </c>
      <c r="K8" s="20">
        <v>1</v>
      </c>
      <c r="L8" s="19" t="s">
        <v>560</v>
      </c>
      <c r="M8" s="20">
        <v>-1</v>
      </c>
      <c r="N8" s="20">
        <v>2</v>
      </c>
      <c r="O8" s="19" t="s">
        <v>562</v>
      </c>
      <c r="P8" s="20">
        <v>-1</v>
      </c>
      <c r="Q8" s="20">
        <v>4</v>
      </c>
      <c r="R8" t="s">
        <v>571</v>
      </c>
      <c r="S8" s="22">
        <v>-1</v>
      </c>
      <c r="T8" s="22">
        <v>1</v>
      </c>
      <c r="U8" s="21" t="s">
        <v>562</v>
      </c>
      <c r="V8" s="22">
        <v>-1</v>
      </c>
      <c r="W8" s="22">
        <v>2</v>
      </c>
      <c r="X8" s="21" t="s">
        <v>560</v>
      </c>
      <c r="Y8" s="22">
        <v>-1</v>
      </c>
      <c r="Z8" s="22">
        <v>4</v>
      </c>
      <c r="AA8" t="s">
        <v>570</v>
      </c>
      <c r="AB8" s="7" t="s">
        <v>330</v>
      </c>
      <c r="AC8" s="7"/>
      <c r="AD8">
        <f>(MAX(H9:H21)+MAX(H25:H41)+MAX(H45:H62)+MAX(H65:H73))*2</f>
        <v>136</v>
      </c>
    </row>
    <row r="9" spans="1:32">
      <c r="A9" s="23"/>
      <c r="B9" s="24"/>
      <c r="C9" s="23"/>
      <c r="D9" s="24"/>
      <c r="E9" s="24">
        <v>3</v>
      </c>
      <c r="F9" s="23" t="s">
        <v>560</v>
      </c>
      <c r="G9" s="23"/>
      <c r="H9" s="23">
        <v>7</v>
      </c>
      <c r="I9" t="s">
        <v>560</v>
      </c>
      <c r="J9" s="20"/>
      <c r="K9" s="20"/>
      <c r="L9" s="19"/>
      <c r="M9" s="20"/>
      <c r="N9" s="20">
        <v>3</v>
      </c>
      <c r="O9" s="19" t="s">
        <v>560</v>
      </c>
      <c r="P9" s="19"/>
      <c r="Q9" s="19">
        <v>5</v>
      </c>
      <c r="R9" t="s">
        <v>560</v>
      </c>
      <c r="S9" s="22"/>
      <c r="T9" s="22"/>
      <c r="U9" s="21"/>
      <c r="V9" s="22"/>
      <c r="W9" s="22">
        <v>3</v>
      </c>
      <c r="X9" s="21" t="s">
        <v>567</v>
      </c>
      <c r="Y9" s="21"/>
      <c r="Z9" s="21">
        <v>5</v>
      </c>
      <c r="AA9" t="s">
        <v>560</v>
      </c>
    </row>
    <row r="10" spans="1:32">
      <c r="A10" s="24"/>
      <c r="B10" s="24"/>
      <c r="C10" s="23"/>
      <c r="D10" s="24"/>
      <c r="E10" s="24">
        <v>4</v>
      </c>
      <c r="F10" s="23" t="s">
        <v>562</v>
      </c>
      <c r="G10" s="23"/>
      <c r="H10" s="23">
        <v>8</v>
      </c>
      <c r="I10" t="s">
        <v>562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563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570</v>
      </c>
      <c r="AD10">
        <f>SUM(AD6:AD8)</f>
        <v>320</v>
      </c>
    </row>
    <row r="11" spans="1:32">
      <c r="A11" s="24"/>
      <c r="B11" s="24"/>
      <c r="C11" s="23"/>
      <c r="D11" s="24"/>
      <c r="E11" s="24">
        <v>5</v>
      </c>
      <c r="F11" s="23" t="s">
        <v>567</v>
      </c>
      <c r="G11" s="23"/>
      <c r="H11" s="23">
        <v>9</v>
      </c>
      <c r="I11" t="s">
        <v>560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560</v>
      </c>
      <c r="S11" s="22"/>
      <c r="T11" s="22"/>
      <c r="U11" s="21"/>
      <c r="V11" s="22"/>
      <c r="W11" s="22"/>
      <c r="X11" s="21"/>
      <c r="Y11" s="21"/>
      <c r="Z11" s="21"/>
    </row>
    <row r="12" spans="1:32">
      <c r="A12" s="24"/>
      <c r="B12" s="24"/>
      <c r="C12" s="23"/>
      <c r="D12" s="24"/>
      <c r="E12" s="24"/>
      <c r="F12" s="23"/>
      <c r="G12" s="23"/>
      <c r="H12" s="23">
        <v>10</v>
      </c>
      <c r="I12" t="s">
        <v>563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567</v>
      </c>
      <c r="S12" s="21"/>
      <c r="T12" s="21"/>
      <c r="U12" s="21"/>
      <c r="V12" s="22"/>
      <c r="W12" s="22"/>
      <c r="X12" s="21"/>
      <c r="Y12" s="21"/>
      <c r="Z12" s="21"/>
    </row>
    <row r="13" spans="1:32" ht="18">
      <c r="A13" s="24"/>
      <c r="B13" s="24"/>
      <c r="C13" s="23"/>
      <c r="D13" s="24"/>
      <c r="E13" s="24"/>
      <c r="F13" s="23"/>
      <c r="G13" s="23"/>
      <c r="H13" s="23">
        <v>11</v>
      </c>
      <c r="I13" t="s">
        <v>560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560</v>
      </c>
      <c r="S13" s="22"/>
      <c r="T13" s="21"/>
      <c r="U13" s="21"/>
      <c r="V13" s="21"/>
      <c r="W13" s="21"/>
      <c r="X13" s="21"/>
      <c r="Y13" s="21"/>
      <c r="Z13" s="21"/>
      <c r="AC13" t="s">
        <v>368</v>
      </c>
      <c r="AD13" t="s">
        <v>367</v>
      </c>
      <c r="AE13" t="s">
        <v>369</v>
      </c>
      <c r="AF13" t="s">
        <v>370</v>
      </c>
    </row>
    <row r="14" spans="1:32">
      <c r="A14" s="24"/>
      <c r="B14" s="24"/>
      <c r="C14" s="23"/>
      <c r="D14" s="24"/>
      <c r="E14" s="24"/>
      <c r="F14" s="23"/>
      <c r="G14" s="23"/>
      <c r="H14" s="23">
        <v>12</v>
      </c>
      <c r="I14" t="s">
        <v>562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571</v>
      </c>
      <c r="S14" s="22"/>
      <c r="T14" s="21"/>
      <c r="U14" s="21"/>
      <c r="V14" s="21"/>
      <c r="W14" s="21"/>
      <c r="X14" s="21"/>
      <c r="Y14" s="21"/>
      <c r="Z14" s="21"/>
      <c r="AB14" t="s">
        <v>371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>
      <c r="A15" s="24"/>
      <c r="B15" s="23"/>
      <c r="C15" s="23"/>
      <c r="D15" s="24"/>
      <c r="E15" s="23"/>
      <c r="F15" s="23"/>
      <c r="G15" s="23"/>
      <c r="H15" s="23">
        <v>13</v>
      </c>
      <c r="I15" t="s">
        <v>560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372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>
      <c r="A16" s="24"/>
      <c r="B16" s="23"/>
      <c r="C16" s="23"/>
      <c r="D16" s="24"/>
      <c r="E16" s="23"/>
      <c r="F16" s="23"/>
      <c r="G16" s="23"/>
      <c r="H16" s="23">
        <v>14</v>
      </c>
      <c r="I16" t="s">
        <v>561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373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411</v>
      </c>
      <c r="AD19" t="s">
        <v>412</v>
      </c>
      <c r="AE19" t="s">
        <v>413</v>
      </c>
      <c r="AF19" t="s">
        <v>414</v>
      </c>
    </row>
    <row r="20" spans="1:3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371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372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373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>
      <c r="A25" s="24">
        <v>-1</v>
      </c>
      <c r="B25" s="24">
        <v>1</v>
      </c>
      <c r="C25" s="23" t="s">
        <v>564</v>
      </c>
      <c r="D25" s="24">
        <v>-1</v>
      </c>
      <c r="E25" s="24">
        <v>3</v>
      </c>
      <c r="F25" s="23" t="s">
        <v>563</v>
      </c>
      <c r="G25" s="23"/>
      <c r="H25" s="23">
        <v>8</v>
      </c>
      <c r="I25" t="s">
        <v>569</v>
      </c>
      <c r="J25" s="20">
        <v>-1</v>
      </c>
      <c r="K25" s="20">
        <v>1</v>
      </c>
      <c r="L25" s="19" t="s">
        <v>564</v>
      </c>
      <c r="M25" s="20">
        <v>-1</v>
      </c>
      <c r="N25" s="20">
        <v>2</v>
      </c>
      <c r="O25" s="19" t="s">
        <v>563</v>
      </c>
      <c r="P25" s="20">
        <v>-1</v>
      </c>
      <c r="Q25" s="19">
        <v>6</v>
      </c>
      <c r="R25" t="s">
        <v>572</v>
      </c>
      <c r="S25" s="22">
        <v>-1</v>
      </c>
      <c r="T25" s="22">
        <v>1</v>
      </c>
      <c r="U25" s="21" t="s">
        <v>564</v>
      </c>
      <c r="V25" s="22">
        <v>-1</v>
      </c>
      <c r="W25" s="22">
        <v>2</v>
      </c>
      <c r="X25" s="21" t="s">
        <v>563</v>
      </c>
      <c r="Y25" s="22">
        <v>-1</v>
      </c>
      <c r="Z25" s="21">
        <v>5</v>
      </c>
      <c r="AA25" t="s">
        <v>561</v>
      </c>
    </row>
    <row r="26" spans="1:32">
      <c r="A26" s="23"/>
      <c r="B26" s="24">
        <v>2</v>
      </c>
      <c r="C26" s="23" t="s">
        <v>562</v>
      </c>
      <c r="D26" s="24"/>
      <c r="E26" s="24">
        <v>4</v>
      </c>
      <c r="F26" s="23" t="s">
        <v>565</v>
      </c>
      <c r="G26" s="23"/>
      <c r="H26" s="23">
        <v>9</v>
      </c>
      <c r="I26" t="s">
        <v>562</v>
      </c>
      <c r="J26" s="20"/>
      <c r="K26" s="20"/>
      <c r="L26" s="19"/>
      <c r="M26" s="20"/>
      <c r="N26" s="20">
        <v>3</v>
      </c>
      <c r="O26" s="19" t="s">
        <v>565</v>
      </c>
      <c r="P26" s="19"/>
      <c r="Q26" s="19">
        <v>7</v>
      </c>
      <c r="R26" t="s">
        <v>564</v>
      </c>
      <c r="S26" s="22"/>
      <c r="T26" s="22"/>
      <c r="U26" s="21"/>
      <c r="V26" s="22"/>
      <c r="W26" s="22">
        <v>3</v>
      </c>
      <c r="X26" s="21" t="s">
        <v>564</v>
      </c>
      <c r="Y26" s="21"/>
      <c r="Z26" s="21">
        <v>6</v>
      </c>
      <c r="AA26" t="s">
        <v>564</v>
      </c>
    </row>
    <row r="27" spans="1:32">
      <c r="A27" s="24"/>
      <c r="B27" s="24"/>
      <c r="C27" s="23"/>
      <c r="D27" s="24"/>
      <c r="E27" s="24">
        <v>5</v>
      </c>
      <c r="F27" s="23" t="s">
        <v>562</v>
      </c>
      <c r="G27" s="23"/>
      <c r="H27" s="23">
        <v>10</v>
      </c>
      <c r="I27" t="s">
        <v>565</v>
      </c>
      <c r="J27" s="20"/>
      <c r="K27" s="20"/>
      <c r="L27" s="19"/>
      <c r="M27" s="20"/>
      <c r="N27" s="20">
        <v>4</v>
      </c>
      <c r="O27" s="19" t="s">
        <v>562</v>
      </c>
      <c r="P27" s="19"/>
      <c r="Q27" s="19">
        <v>8</v>
      </c>
      <c r="R27" t="s">
        <v>563</v>
      </c>
      <c r="S27" s="22"/>
      <c r="T27" s="22"/>
      <c r="U27" s="21"/>
      <c r="V27" s="22"/>
      <c r="W27" s="22">
        <v>4</v>
      </c>
      <c r="X27" s="21" t="s">
        <v>568</v>
      </c>
      <c r="Y27" s="21"/>
      <c r="Z27" s="21">
        <v>7</v>
      </c>
      <c r="AA27" t="s">
        <v>562</v>
      </c>
      <c r="AB27" t="s">
        <v>455</v>
      </c>
      <c r="AC27">
        <f>(MAX(Z8:Z23)+MAX(Z25:Z43)+MAX(Z45:Z63)+MAX(Z65:Z78))*2</f>
        <v>72</v>
      </c>
    </row>
    <row r="28" spans="1:32">
      <c r="A28" s="24"/>
      <c r="B28" s="24"/>
      <c r="C28" s="23"/>
      <c r="D28" s="24"/>
      <c r="E28" s="24">
        <v>6</v>
      </c>
      <c r="F28" s="23" t="s">
        <v>565</v>
      </c>
      <c r="G28" s="23"/>
      <c r="H28" s="23">
        <v>11</v>
      </c>
      <c r="I28" t="s">
        <v>562</v>
      </c>
      <c r="J28" s="20"/>
      <c r="K28" s="20"/>
      <c r="L28" s="19"/>
      <c r="M28" s="20"/>
      <c r="N28" s="20">
        <v>5</v>
      </c>
      <c r="O28" s="19" t="s">
        <v>568</v>
      </c>
      <c r="P28" s="19"/>
      <c r="Q28" s="19">
        <v>9</v>
      </c>
      <c r="R28" t="s">
        <v>565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561</v>
      </c>
      <c r="AB28" t="s">
        <v>456</v>
      </c>
      <c r="AC28">
        <f>(MAX(Q8:Q23)+MAX(Q25:Q43)+MAX(Q45:Q63)+MAX(Q65:Q76))*4</f>
        <v>208</v>
      </c>
    </row>
    <row r="29" spans="1:32">
      <c r="A29" s="24"/>
      <c r="B29" s="24"/>
      <c r="C29" s="23"/>
      <c r="D29" s="24"/>
      <c r="E29" s="24">
        <v>7</v>
      </c>
      <c r="F29" s="23" t="s">
        <v>568</v>
      </c>
      <c r="G29" s="23"/>
      <c r="H29" s="23">
        <v>12</v>
      </c>
      <c r="I29" t="s">
        <v>564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567</v>
      </c>
      <c r="S29" s="21"/>
      <c r="T29" s="21"/>
      <c r="U29" s="21"/>
      <c r="V29" s="22"/>
      <c r="W29" s="22"/>
      <c r="X29" s="21"/>
      <c r="Y29" s="21"/>
      <c r="Z29" s="21"/>
      <c r="AB29" t="s">
        <v>457</v>
      </c>
      <c r="AC29">
        <f>(MAX(H8:H23)+MAX(H25:H43)+MAX(H45:H63)+MAX(H65:H76))*2</f>
        <v>136</v>
      </c>
    </row>
    <row r="30" spans="1:32">
      <c r="A30" s="24"/>
      <c r="B30" s="24"/>
      <c r="C30" s="23"/>
      <c r="D30" s="24"/>
      <c r="E30" s="24"/>
      <c r="F30" s="23"/>
      <c r="G30" s="23"/>
      <c r="H30" s="23">
        <v>13</v>
      </c>
      <c r="I30" t="s">
        <v>562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565</v>
      </c>
      <c r="S30" s="21"/>
      <c r="T30" s="21"/>
      <c r="U30" s="21"/>
      <c r="V30" s="21"/>
      <c r="W30" s="21"/>
      <c r="X30" s="21"/>
      <c r="Y30" s="21"/>
      <c r="Z30" s="21"/>
    </row>
    <row r="31" spans="1:32">
      <c r="A31" s="24"/>
      <c r="B31" s="24"/>
      <c r="C31" s="23"/>
      <c r="D31" s="24"/>
      <c r="E31" s="24"/>
      <c r="F31" s="23"/>
      <c r="G31" s="23"/>
      <c r="H31" s="23">
        <v>14</v>
      </c>
      <c r="I31" t="s">
        <v>565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572</v>
      </c>
      <c r="S31" s="21"/>
      <c r="T31" s="21"/>
      <c r="U31" s="21"/>
      <c r="V31" s="21"/>
      <c r="W31" s="21"/>
      <c r="X31" s="21"/>
      <c r="Y31" s="21"/>
      <c r="Z31" s="21"/>
    </row>
    <row r="32" spans="1:32">
      <c r="A32" s="23"/>
      <c r="B32" s="23"/>
      <c r="C32" s="23"/>
      <c r="D32" s="23"/>
      <c r="E32" s="23"/>
      <c r="F32" s="23"/>
      <c r="G32" s="23"/>
      <c r="H32" s="23">
        <v>15</v>
      </c>
      <c r="I32" t="s">
        <v>562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458</v>
      </c>
      <c r="AC32">
        <f>SUM(AC27:AC29)</f>
        <v>416</v>
      </c>
    </row>
    <row r="33" spans="1:27">
      <c r="A33" s="23"/>
      <c r="B33" s="23"/>
      <c r="C33" s="23"/>
      <c r="D33" s="23"/>
      <c r="E33" s="23"/>
      <c r="F33" s="23"/>
      <c r="G33" s="23"/>
      <c r="H33" s="23">
        <v>16</v>
      </c>
      <c r="I33" t="s">
        <v>569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>
      <c r="A45" s="24">
        <v>-1</v>
      </c>
      <c r="B45" s="24">
        <v>1</v>
      </c>
      <c r="C45" s="23" t="s">
        <v>566</v>
      </c>
      <c r="D45" s="24">
        <v>-1</v>
      </c>
      <c r="E45" s="24">
        <v>4</v>
      </c>
      <c r="F45" s="23" t="s">
        <v>566</v>
      </c>
      <c r="G45" s="23"/>
      <c r="H45" s="23">
        <v>10</v>
      </c>
      <c r="I45" t="s">
        <v>573</v>
      </c>
      <c r="J45" s="20">
        <v>-1</v>
      </c>
      <c r="K45" s="20">
        <v>1</v>
      </c>
      <c r="L45" s="19" t="s">
        <v>566</v>
      </c>
      <c r="M45" s="20">
        <v>-1</v>
      </c>
      <c r="N45" s="20">
        <v>3</v>
      </c>
      <c r="O45" s="19" t="s">
        <v>566</v>
      </c>
      <c r="P45" s="20">
        <v>-1</v>
      </c>
      <c r="Q45" s="20">
        <v>8</v>
      </c>
      <c r="R45" t="s">
        <v>574</v>
      </c>
      <c r="S45" s="22">
        <v>-1</v>
      </c>
      <c r="T45" s="22">
        <v>1</v>
      </c>
      <c r="U45" s="21" t="s">
        <v>566</v>
      </c>
      <c r="V45" s="22">
        <v>-1</v>
      </c>
      <c r="W45" s="22">
        <v>2</v>
      </c>
      <c r="X45" s="21" t="s">
        <v>566</v>
      </c>
      <c r="Y45" s="22">
        <v>-1</v>
      </c>
      <c r="Z45" s="21">
        <v>6</v>
      </c>
      <c r="AA45" t="s">
        <v>575</v>
      </c>
    </row>
    <row r="46" spans="1:27">
      <c r="A46" s="23"/>
      <c r="B46" s="24">
        <v>2</v>
      </c>
      <c r="C46" s="23" t="s">
        <v>486</v>
      </c>
      <c r="D46" s="24"/>
      <c r="E46" s="24">
        <v>5</v>
      </c>
      <c r="F46" s="23" t="s">
        <v>489</v>
      </c>
      <c r="G46" s="23"/>
      <c r="H46" s="23">
        <v>11</v>
      </c>
      <c r="I46" t="s">
        <v>566</v>
      </c>
      <c r="J46" s="20"/>
      <c r="K46" s="20">
        <v>2</v>
      </c>
      <c r="L46" s="19" t="s">
        <v>486</v>
      </c>
      <c r="M46" s="20"/>
      <c r="N46" s="20">
        <v>4</v>
      </c>
      <c r="O46" s="19" t="s">
        <v>489</v>
      </c>
      <c r="P46" s="19"/>
      <c r="Q46" s="19">
        <v>9</v>
      </c>
      <c r="R46" t="s">
        <v>566</v>
      </c>
      <c r="S46" s="22"/>
      <c r="T46" s="22"/>
      <c r="U46" s="21"/>
      <c r="V46" s="22"/>
      <c r="W46" s="22">
        <v>3</v>
      </c>
      <c r="X46" s="21" t="s">
        <v>489</v>
      </c>
      <c r="Y46" s="21"/>
      <c r="Z46" s="21">
        <v>7</v>
      </c>
      <c r="AA46" t="s">
        <v>566</v>
      </c>
    </row>
    <row r="47" spans="1:27">
      <c r="A47" s="24"/>
      <c r="B47" s="24">
        <v>3</v>
      </c>
      <c r="C47" s="23" t="s">
        <v>568</v>
      </c>
      <c r="D47" s="24"/>
      <c r="E47" s="24">
        <v>6</v>
      </c>
      <c r="F47" s="23" t="s">
        <v>485</v>
      </c>
      <c r="G47" s="23"/>
      <c r="H47" s="23">
        <v>12</v>
      </c>
      <c r="I47" t="s">
        <v>486</v>
      </c>
      <c r="J47" s="20"/>
      <c r="K47" s="20"/>
      <c r="L47" s="19"/>
      <c r="M47" s="20"/>
      <c r="N47" s="20">
        <v>5</v>
      </c>
      <c r="O47" s="19" t="s">
        <v>485</v>
      </c>
      <c r="P47" s="19"/>
      <c r="Q47" s="19">
        <v>10</v>
      </c>
      <c r="R47" t="s">
        <v>486</v>
      </c>
      <c r="S47" s="22"/>
      <c r="T47" s="22"/>
      <c r="U47" s="21"/>
      <c r="V47" s="22"/>
      <c r="W47" s="22">
        <v>4</v>
      </c>
      <c r="X47" s="21" t="s">
        <v>485</v>
      </c>
      <c r="Y47" s="21"/>
      <c r="Z47" s="21">
        <v>8</v>
      </c>
      <c r="AA47" t="s">
        <v>489</v>
      </c>
    </row>
    <row r="48" spans="1:27">
      <c r="A48" s="24"/>
      <c r="B48" s="24"/>
      <c r="C48" s="23"/>
      <c r="D48" s="24"/>
      <c r="E48" s="24">
        <v>7</v>
      </c>
      <c r="F48" s="23" t="s">
        <v>489</v>
      </c>
      <c r="G48" s="23"/>
      <c r="H48" s="23">
        <v>13</v>
      </c>
      <c r="I48" t="s">
        <v>485</v>
      </c>
      <c r="J48" s="20"/>
      <c r="K48" s="20"/>
      <c r="L48" s="19"/>
      <c r="M48" s="20"/>
      <c r="N48" s="20">
        <v>6</v>
      </c>
      <c r="O48" s="19" t="s">
        <v>489</v>
      </c>
      <c r="P48" s="19"/>
      <c r="Q48" s="19">
        <v>11</v>
      </c>
      <c r="R48" t="s">
        <v>568</v>
      </c>
      <c r="S48" s="22"/>
      <c r="T48" s="22"/>
      <c r="U48" s="21"/>
      <c r="V48" s="22"/>
      <c r="W48" s="22">
        <v>5</v>
      </c>
      <c r="X48" s="21" t="s">
        <v>489</v>
      </c>
      <c r="Y48" s="21"/>
      <c r="Z48" s="21">
        <v>9</v>
      </c>
      <c r="AA48" t="s">
        <v>568</v>
      </c>
    </row>
    <row r="49" spans="1:27">
      <c r="A49" s="24"/>
      <c r="B49" s="24"/>
      <c r="C49" s="23"/>
      <c r="D49" s="24"/>
      <c r="E49" s="24">
        <v>8</v>
      </c>
      <c r="F49" s="23" t="s">
        <v>485</v>
      </c>
      <c r="G49" s="23"/>
      <c r="H49" s="23">
        <v>14</v>
      </c>
      <c r="I49" t="s">
        <v>489</v>
      </c>
      <c r="J49" s="19"/>
      <c r="K49" s="20"/>
      <c r="L49" s="19"/>
      <c r="M49" s="20"/>
      <c r="N49" s="20">
        <v>7</v>
      </c>
      <c r="O49" s="19" t="s">
        <v>485</v>
      </c>
      <c r="P49" s="19"/>
      <c r="Q49" s="19">
        <v>12</v>
      </c>
      <c r="R49" t="s">
        <v>489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575</v>
      </c>
    </row>
    <row r="50" spans="1:27">
      <c r="A50" s="24"/>
      <c r="B50" s="24"/>
      <c r="C50" s="23"/>
      <c r="D50" s="24"/>
      <c r="E50" s="24">
        <v>9</v>
      </c>
      <c r="F50" s="23" t="s">
        <v>568</v>
      </c>
      <c r="G50" s="23"/>
      <c r="H50" s="23">
        <v>15</v>
      </c>
      <c r="I50" t="s">
        <v>485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485</v>
      </c>
      <c r="S50" s="21"/>
      <c r="T50" s="21"/>
      <c r="U50" s="21"/>
      <c r="V50" s="21"/>
      <c r="W50" s="21"/>
      <c r="X50" s="21"/>
      <c r="Y50" s="21"/>
      <c r="Z50" s="21"/>
    </row>
    <row r="51" spans="1:27">
      <c r="A51" s="24"/>
      <c r="B51" s="24"/>
      <c r="C51" s="23"/>
      <c r="D51" s="24"/>
      <c r="E51" s="24"/>
      <c r="F51" s="23"/>
      <c r="G51" s="23"/>
      <c r="H51" s="23">
        <v>16</v>
      </c>
      <c r="I51" t="s">
        <v>568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574</v>
      </c>
      <c r="S51" s="21"/>
      <c r="T51" s="21"/>
      <c r="U51" s="21"/>
      <c r="V51" s="21"/>
      <c r="W51" s="21"/>
      <c r="X51" s="21"/>
      <c r="Y51" s="21"/>
      <c r="Z51" s="21"/>
    </row>
    <row r="52" spans="1:27">
      <c r="A52" s="23"/>
      <c r="B52" s="23"/>
      <c r="C52" s="23"/>
      <c r="D52" s="23"/>
      <c r="E52" s="23"/>
      <c r="F52" s="23"/>
      <c r="G52" s="23"/>
      <c r="H52" s="23">
        <v>17</v>
      </c>
      <c r="I52" t="s">
        <v>486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>
      <c r="A53" s="23"/>
      <c r="B53" s="23"/>
      <c r="C53" s="23"/>
      <c r="D53" s="23"/>
      <c r="E53" s="23"/>
      <c r="F53" s="23"/>
      <c r="G53" s="23"/>
      <c r="H53" s="23">
        <v>18</v>
      </c>
      <c r="I53" t="s">
        <v>573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>
      <c r="A65" s="24">
        <v>-1</v>
      </c>
      <c r="B65" s="24">
        <v>1</v>
      </c>
      <c r="C65" s="23" t="s">
        <v>580</v>
      </c>
      <c r="D65" s="24">
        <v>-1</v>
      </c>
      <c r="E65" s="24">
        <v>5</v>
      </c>
      <c r="F65" s="23" t="s">
        <v>583</v>
      </c>
      <c r="G65" s="23"/>
      <c r="H65" s="23">
        <v>12</v>
      </c>
      <c r="I65" t="s">
        <v>577</v>
      </c>
      <c r="J65" s="20">
        <v>-1</v>
      </c>
      <c r="K65" s="20">
        <v>1</v>
      </c>
      <c r="L65" s="19" t="s">
        <v>580</v>
      </c>
      <c r="M65" s="20">
        <v>-1</v>
      </c>
      <c r="N65" s="20">
        <v>4</v>
      </c>
      <c r="O65" s="19" t="s">
        <v>583</v>
      </c>
      <c r="P65" s="20">
        <v>-1</v>
      </c>
      <c r="Q65" s="19">
        <v>10</v>
      </c>
      <c r="R65" t="s">
        <v>578</v>
      </c>
      <c r="S65" s="22">
        <v>-1</v>
      </c>
      <c r="T65" s="22">
        <v>1</v>
      </c>
      <c r="U65" s="21" t="s">
        <v>580</v>
      </c>
      <c r="V65" s="22">
        <v>-1</v>
      </c>
      <c r="W65" s="22">
        <v>2</v>
      </c>
      <c r="X65" s="21" t="s">
        <v>583</v>
      </c>
      <c r="Y65" s="22">
        <v>-1</v>
      </c>
      <c r="Z65" s="22">
        <v>7</v>
      </c>
      <c r="AA65" t="s">
        <v>579</v>
      </c>
    </row>
    <row r="66" spans="1:27">
      <c r="A66" s="23"/>
      <c r="B66" s="24">
        <v>2</v>
      </c>
      <c r="C66" s="23" t="s">
        <v>576</v>
      </c>
      <c r="D66" s="24"/>
      <c r="E66" s="24">
        <v>6</v>
      </c>
      <c r="F66" s="23" t="s">
        <v>576</v>
      </c>
      <c r="G66" s="23"/>
      <c r="H66" s="23">
        <v>13</v>
      </c>
      <c r="I66" t="s">
        <v>580</v>
      </c>
      <c r="J66" s="20"/>
      <c r="K66" s="20">
        <v>2</v>
      </c>
      <c r="L66" s="19" t="s">
        <v>576</v>
      </c>
      <c r="M66" s="20"/>
      <c r="N66" s="20">
        <v>5</v>
      </c>
      <c r="O66" s="19" t="s">
        <v>576</v>
      </c>
      <c r="P66" s="19"/>
      <c r="Q66" s="19">
        <v>11</v>
      </c>
      <c r="R66" t="s">
        <v>580</v>
      </c>
      <c r="S66" s="22"/>
      <c r="T66" s="22"/>
      <c r="U66" s="21"/>
      <c r="V66" s="22"/>
      <c r="W66" s="22">
        <v>3</v>
      </c>
      <c r="X66" s="21" t="s">
        <v>576</v>
      </c>
      <c r="Y66" s="21"/>
      <c r="Z66" s="21">
        <v>8</v>
      </c>
      <c r="AA66" t="s">
        <v>580</v>
      </c>
    </row>
    <row r="67" spans="1:27">
      <c r="A67" s="24"/>
      <c r="B67" s="24">
        <v>3</v>
      </c>
      <c r="C67" s="23" t="s">
        <v>581</v>
      </c>
      <c r="D67" s="24"/>
      <c r="E67" s="24">
        <v>7</v>
      </c>
      <c r="F67" s="23" t="s">
        <v>583</v>
      </c>
      <c r="G67" s="23"/>
      <c r="H67" s="23">
        <v>14</v>
      </c>
      <c r="I67" t="s">
        <v>576</v>
      </c>
      <c r="J67" s="20"/>
      <c r="K67" s="20">
        <v>3</v>
      </c>
      <c r="L67" s="19" t="s">
        <v>582</v>
      </c>
      <c r="M67" s="20"/>
      <c r="N67" s="20">
        <v>6</v>
      </c>
      <c r="O67" s="19" t="s">
        <v>583</v>
      </c>
      <c r="P67" s="19"/>
      <c r="Q67" s="19">
        <v>12</v>
      </c>
      <c r="R67" t="s">
        <v>576</v>
      </c>
      <c r="S67" s="22"/>
      <c r="T67" s="22"/>
      <c r="U67" s="21"/>
      <c r="V67" s="22"/>
      <c r="W67" s="22">
        <v>4</v>
      </c>
      <c r="X67" s="21" t="s">
        <v>583</v>
      </c>
      <c r="Y67" s="21"/>
      <c r="Z67" s="21">
        <v>9</v>
      </c>
      <c r="AA67" t="s">
        <v>576</v>
      </c>
    </row>
    <row r="68" spans="1:27">
      <c r="A68" s="24"/>
      <c r="B68" s="24">
        <v>4</v>
      </c>
      <c r="C68" s="23" t="s">
        <v>582</v>
      </c>
      <c r="D68" s="24"/>
      <c r="E68" s="24">
        <v>8</v>
      </c>
      <c r="F68" s="23" t="s">
        <v>582</v>
      </c>
      <c r="G68" s="23"/>
      <c r="H68" s="23">
        <v>15</v>
      </c>
      <c r="I68" t="s">
        <v>583</v>
      </c>
      <c r="J68" s="20"/>
      <c r="K68" s="20"/>
      <c r="L68" s="19"/>
      <c r="M68" s="20"/>
      <c r="N68" s="20">
        <v>7</v>
      </c>
      <c r="O68" s="19" t="s">
        <v>582</v>
      </c>
      <c r="P68" s="19"/>
      <c r="Q68" s="19">
        <v>13</v>
      </c>
      <c r="R68" t="s">
        <v>583</v>
      </c>
      <c r="S68" s="22"/>
      <c r="T68" s="22"/>
      <c r="U68" s="21"/>
      <c r="V68" s="22"/>
      <c r="W68" s="22">
        <v>5</v>
      </c>
      <c r="X68" s="21" t="s">
        <v>582</v>
      </c>
      <c r="Y68" s="21"/>
      <c r="Z68" s="21">
        <v>10</v>
      </c>
      <c r="AA68" t="s">
        <v>583</v>
      </c>
    </row>
    <row r="69" spans="1:27">
      <c r="A69" s="24"/>
      <c r="B69" s="24"/>
      <c r="C69" s="23"/>
      <c r="D69" s="24"/>
      <c r="E69" s="24">
        <v>9</v>
      </c>
      <c r="F69" s="23" t="s">
        <v>583</v>
      </c>
      <c r="G69" s="23"/>
      <c r="H69" s="23">
        <v>16</v>
      </c>
      <c r="I69" t="s">
        <v>582</v>
      </c>
      <c r="J69" s="19"/>
      <c r="K69" s="20"/>
      <c r="L69" s="19"/>
      <c r="M69" s="20"/>
      <c r="N69" s="20">
        <v>8</v>
      </c>
      <c r="O69" s="19" t="s">
        <v>583</v>
      </c>
      <c r="P69" s="19"/>
      <c r="Q69" s="19">
        <v>14</v>
      </c>
      <c r="R69" t="s">
        <v>582</v>
      </c>
      <c r="S69" s="21"/>
      <c r="T69" s="22"/>
      <c r="U69" s="21"/>
      <c r="V69" s="22"/>
      <c r="W69" s="22">
        <v>6</v>
      </c>
      <c r="X69" s="21" t="s">
        <v>583</v>
      </c>
      <c r="Y69" s="21"/>
      <c r="Z69" s="21">
        <v>11</v>
      </c>
      <c r="AA69" t="s">
        <v>582</v>
      </c>
    </row>
    <row r="70" spans="1:27">
      <c r="A70" s="24"/>
      <c r="B70" s="24"/>
      <c r="C70" s="23"/>
      <c r="D70" s="24"/>
      <c r="E70" s="24">
        <v>10</v>
      </c>
      <c r="F70" s="23" t="s">
        <v>582</v>
      </c>
      <c r="G70" s="23"/>
      <c r="H70" s="23">
        <v>17</v>
      </c>
      <c r="I70" t="s">
        <v>576</v>
      </c>
      <c r="J70" s="20"/>
      <c r="K70" s="20"/>
      <c r="L70" s="19"/>
      <c r="M70" s="20"/>
      <c r="N70" s="19">
        <v>9</v>
      </c>
      <c r="O70" s="19" t="s">
        <v>582</v>
      </c>
      <c r="P70" s="19"/>
      <c r="Q70" s="19">
        <v>15</v>
      </c>
      <c r="R70" t="s">
        <v>576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579</v>
      </c>
    </row>
    <row r="71" spans="1:27">
      <c r="A71" s="24"/>
      <c r="B71" s="24"/>
      <c r="C71" s="23"/>
      <c r="D71" s="24"/>
      <c r="E71" s="24">
        <v>11</v>
      </c>
      <c r="F71" s="23" t="s">
        <v>576</v>
      </c>
      <c r="G71" s="23"/>
      <c r="H71" s="23">
        <v>18</v>
      </c>
      <c r="I71" t="s">
        <v>580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578</v>
      </c>
      <c r="S71" s="21"/>
      <c r="T71" s="21"/>
      <c r="U71" s="21"/>
      <c r="V71" s="21"/>
      <c r="W71" s="21"/>
      <c r="X71" s="21"/>
      <c r="Y71" s="21"/>
      <c r="Z71" s="21"/>
    </row>
    <row r="72" spans="1:27">
      <c r="A72" s="23"/>
      <c r="B72" s="23"/>
      <c r="C72" s="23"/>
      <c r="D72" s="23"/>
      <c r="E72" s="24"/>
      <c r="F72" s="23"/>
      <c r="G72" s="23"/>
      <c r="H72" s="23">
        <v>19</v>
      </c>
      <c r="I72" t="s">
        <v>582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>
      <c r="A73" s="23"/>
      <c r="B73" s="23"/>
      <c r="C73" s="23"/>
      <c r="D73" s="23"/>
      <c r="E73" s="23"/>
      <c r="F73" s="23"/>
      <c r="G73" s="23"/>
      <c r="H73" s="23">
        <v>20</v>
      </c>
      <c r="I73" t="s">
        <v>577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>
      <c r="J74" s="19"/>
      <c r="K74" s="19"/>
      <c r="L74" s="19"/>
      <c r="M74" s="19"/>
      <c r="N74" s="19"/>
      <c r="O74" s="19"/>
      <c r="P74" s="19"/>
      <c r="Q74" s="19"/>
    </row>
    <row r="80" spans="1:27">
      <c r="G80" t="s">
        <v>196</v>
      </c>
      <c r="M80" t="s">
        <v>199</v>
      </c>
    </row>
    <row r="81" spans="7:14">
      <c r="G81" t="s">
        <v>197</v>
      </c>
      <c r="M81" t="s">
        <v>200</v>
      </c>
    </row>
    <row r="82" spans="7:14">
      <c r="G82" t="s">
        <v>198</v>
      </c>
    </row>
    <row r="83" spans="7:14">
      <c r="M83" t="s">
        <v>201</v>
      </c>
      <c r="N83" s="2" t="s">
        <v>206</v>
      </c>
    </row>
    <row r="84" spans="7:14">
      <c r="M84" t="s">
        <v>202</v>
      </c>
      <c r="N84" s="2"/>
    </row>
    <row r="85" spans="7:14">
      <c r="G85" t="s">
        <v>207</v>
      </c>
      <c r="M85" t="s">
        <v>203</v>
      </c>
      <c r="N85" s="2"/>
    </row>
    <row r="86" spans="7:14">
      <c r="G86" t="s">
        <v>208</v>
      </c>
      <c r="M86" t="s">
        <v>204</v>
      </c>
      <c r="N86" s="2"/>
    </row>
    <row r="87" spans="7:14">
      <c r="G87" t="s">
        <v>209</v>
      </c>
      <c r="M87" t="s">
        <v>205</v>
      </c>
      <c r="N87" s="2"/>
    </row>
    <row r="88" spans="7:14">
      <c r="M88" t="s">
        <v>364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2022-04-08T16:46:40Z</dcterms:modified>
</cp:coreProperties>
</file>