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63173362-A12F-DB43-B5BA-494C2EC6B69C}" xr6:coauthVersionLast="47" xr6:coauthVersionMax="47" xr10:uidLastSave="{00000000-0000-0000-0000-000000000000}"/>
  <bookViews>
    <workbookView xWindow="0" yWindow="780" windowWidth="30240" windowHeight="17580" firstSheet="2" activeTab="7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Review" sheetId="3" r:id="rId13"/>
    <sheet name="剧本精细设计" sheetId="18" r:id="rId14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4" l="1"/>
  <c r="F28" i="14"/>
  <c r="D29" i="14"/>
  <c r="D28" i="14"/>
  <c r="B28" i="14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7" i="14"/>
  <c r="F38" i="14"/>
  <c r="F39" i="14"/>
  <c r="F40" i="14"/>
  <c r="F36" i="14"/>
  <c r="D22" i="14"/>
  <c r="E22" i="14"/>
  <c r="F22" i="14"/>
  <c r="C22" i="14"/>
  <c r="O5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G30" i="11"/>
  <c r="G32" i="11"/>
  <c r="G33" i="11"/>
  <c r="P3" i="14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M44" i="15"/>
  <c r="M53" i="15"/>
  <c r="M63" i="15"/>
  <c r="M3" i="15"/>
  <c r="M13" i="15"/>
  <c r="M22" i="15"/>
  <c r="M23" i="15"/>
  <c r="M28" i="15"/>
  <c r="M32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M31" i="15" s="1"/>
  <c r="L32" i="15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G31" i="11" l="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D10" i="14"/>
  <c r="D11" i="14" s="1"/>
  <c r="D5" i="14" s="1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BJ6" i="4"/>
  <c r="BJ5" i="4"/>
  <c r="BJ7" i="4"/>
  <c r="DK7" i="4" s="1"/>
  <c r="AD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AT58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F11" i="14" l="1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F5" i="14" l="1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Z37" i="4" s="1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M8" i="18" s="1"/>
  <c r="N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M5" i="18" s="1"/>
  <c r="N5" i="18" s="1"/>
  <c r="BX6" i="4"/>
  <c r="M6" i="18" s="1"/>
  <c r="N6" i="18" s="1"/>
  <c r="BX7" i="4"/>
  <c r="M7" i="18" s="1"/>
  <c r="N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P7" i="18" l="1"/>
  <c r="O7" i="18"/>
  <c r="Q7" i="18"/>
  <c r="Q8" i="18"/>
  <c r="O8" i="18"/>
  <c r="P8" i="18"/>
  <c r="P6" i="18"/>
  <c r="O6" i="18"/>
  <c r="Q6" i="18"/>
  <c r="P5" i="18"/>
  <c r="O5" i="18"/>
  <c r="Q5" i="18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120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240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L6" i="18" s="1"/>
  <c r="S6" i="18" s="1"/>
  <c r="DT5" i="4"/>
  <c r="DT44" i="4"/>
  <c r="DT8" i="4"/>
  <c r="L8" i="18" s="1"/>
  <c r="S8" i="18" s="1"/>
  <c r="DT15" i="4"/>
  <c r="L15" i="18" s="1"/>
  <c r="S15" i="18" s="1"/>
  <c r="DT12" i="4"/>
  <c r="L12" i="18" s="1"/>
  <c r="S12" i="18" s="1"/>
  <c r="DT19" i="4"/>
  <c r="L19" i="18" s="1"/>
  <c r="S19" i="18" s="1"/>
  <c r="DT17" i="4"/>
  <c r="L17" i="18" s="1"/>
  <c r="S17" i="18" s="1"/>
  <c r="DT21" i="4"/>
  <c r="L21" i="18" s="1"/>
  <c r="S21" i="18" s="1"/>
  <c r="DT13" i="4"/>
  <c r="L13" i="18" s="1"/>
  <c r="S13" i="18" s="1"/>
  <c r="DT7" i="4"/>
  <c r="L7" i="18" s="1"/>
  <c r="S7" i="18" s="1"/>
  <c r="DT42" i="4"/>
  <c r="DT20" i="4"/>
  <c r="L20" i="18" s="1"/>
  <c r="S20" i="18" s="1"/>
  <c r="DT9" i="4"/>
  <c r="L9" i="18" s="1"/>
  <c r="S9" i="18" s="1"/>
  <c r="DT18" i="4"/>
  <c r="L18" i="18" s="1"/>
  <c r="S18" i="18" s="1"/>
  <c r="DT16" i="4"/>
  <c r="L16" i="18" s="1"/>
  <c r="S16" i="18" s="1"/>
  <c r="DT14" i="4"/>
  <c r="L14" i="18" s="1"/>
  <c r="S14" i="18" s="1"/>
  <c r="DT11" i="4"/>
  <c r="L11" i="18" s="1"/>
  <c r="S11" i="18" s="1"/>
  <c r="DT10" i="4"/>
  <c r="L10" i="18" s="1"/>
  <c r="S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EB5" i="4" l="1"/>
  <c r="ED5" i="4" s="1"/>
  <c r="DY5" i="4"/>
  <c r="DU5" i="4"/>
  <c r="L5" i="18"/>
  <c r="S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L22" i="18" s="1"/>
  <c r="S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EB12" i="4" l="1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CN64" i="4" s="1"/>
  <c r="G241" i="15" s="1"/>
  <c r="BF58" i="4"/>
  <c r="CB58" i="4" s="1"/>
  <c r="CC58" i="4" s="1"/>
  <c r="CK58" i="4"/>
  <c r="CN58" i="4" s="1"/>
  <c r="G205" i="15" s="1"/>
  <c r="BF22" i="4"/>
  <c r="CB22" i="4" s="1"/>
  <c r="CC22" i="4" s="1"/>
  <c r="CK22" i="4"/>
  <c r="CN22" i="4" s="1"/>
  <c r="G55" i="15" s="1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EB36" i="4" l="1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M9" i="18"/>
  <c r="N9" i="18" s="1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N40" i="4" s="1"/>
  <c r="G121" i="15" s="1"/>
  <c r="BX10" i="4"/>
  <c r="BZ10" i="4" l="1"/>
  <c r="M10" i="18"/>
  <c r="N10" i="18" s="1"/>
  <c r="Q9" i="18"/>
  <c r="O9" i="18"/>
  <c r="P9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O10" i="18" l="1"/>
  <c r="P10" i="18"/>
  <c r="Q10" i="18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BZ11" i="4" l="1"/>
  <c r="M11" i="18"/>
  <c r="N11" i="18" s="1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BZ12" i="4" l="1"/>
  <c r="M12" i="18"/>
  <c r="N12" i="18" s="1"/>
  <c r="P11" i="18"/>
  <c r="O11" i="18"/>
  <c r="Q11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BZ13" i="4" l="1"/>
  <c r="M13" i="18"/>
  <c r="N13" i="18" s="1"/>
  <c r="P12" i="18"/>
  <c r="O12" i="18"/>
  <c r="Q12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BZ14" i="4" l="1"/>
  <c r="M14" i="18"/>
  <c r="N14" i="18" s="1"/>
  <c r="Q13" i="18"/>
  <c r="O13" i="18"/>
  <c r="P13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Q14" i="18" l="1"/>
  <c r="P14" i="18"/>
  <c r="O14" i="18"/>
  <c r="BZ15" i="4"/>
  <c r="M15" i="18"/>
  <c r="N15" i="18" s="1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BZ16" i="4" l="1"/>
  <c r="M16" i="18"/>
  <c r="N16" i="18" s="1"/>
  <c r="O15" i="18"/>
  <c r="P15" i="18"/>
  <c r="Q15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O16" i="18" l="1"/>
  <c r="P16" i="18"/>
  <c r="Q16" i="18"/>
  <c r="BZ17" i="4"/>
  <c r="M17" i="18"/>
  <c r="N17" i="18" s="1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M18" i="18"/>
  <c r="N18" i="18" s="1"/>
  <c r="Q17" i="18"/>
  <c r="O17" i="18"/>
  <c r="P17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M19" i="18"/>
  <c r="N19" i="18" s="1"/>
  <c r="Q18" i="18"/>
  <c r="P18" i="18"/>
  <c r="O18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M20" i="18"/>
  <c r="N20" i="18" s="1"/>
  <c r="Q19" i="18"/>
  <c r="O19" i="18"/>
  <c r="P19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M21" i="18"/>
  <c r="N21" i="18" s="1"/>
  <c r="O20" i="18"/>
  <c r="P20" i="18"/>
  <c r="Q20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M22" i="18"/>
  <c r="N22" i="18" s="1"/>
  <c r="Q21" i="18"/>
  <c r="O21" i="18"/>
  <c r="P21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O22" i="18" l="1"/>
  <c r="P22" i="18"/>
  <c r="Q22" i="18"/>
  <c r="DJ23" i="4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Z76" i="4"/>
  <c r="DS63" i="4"/>
  <c r="DU64" i="4"/>
  <c r="DV64" i="4"/>
  <c r="K241" i="13" s="1"/>
  <c r="DS64" i="4"/>
  <c r="EA76" i="4" l="1"/>
  <c r="EB76" i="4" s="1"/>
  <c r="EA77" i="4"/>
  <c r="DZ5" i="4" l="1"/>
  <c r="EB77" i="4"/>
  <c r="EC77" i="4" s="1"/>
</calcChain>
</file>

<file path=xl/sharedStrings.xml><?xml version="1.0" encoding="utf-8"?>
<sst xmlns="http://schemas.openxmlformats.org/spreadsheetml/2006/main" count="1464" uniqueCount="700">
  <si>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</si>
  <si>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</si>
  <si>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</si>
  <si>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</si>
  <si>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</si>
  <si>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</si>
  <si>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</si>
  <si>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</si>
  <si>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</si>
  <si>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</si>
  <si>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</si>
  <si>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</si>
  <si>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</si>
  <si>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</si>
  <si>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</si>
  <si>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</si>
  <si>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</si>
  <si>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</si>
  <si>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</si>
  <si>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</si>
  <si>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</si>
  <si>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</si>
  <si>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</si>
  <si>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</si>
  <si>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</si>
  <si>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</si>
  <si>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</si>
  <si>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</si>
  <si>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</si>
  <si>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</si>
  <si>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</si>
  <si>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</si>
  <si>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</si>
  <si>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</si>
  <si>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</si>
  <si>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</si>
  <si>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</si>
  <si>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</si>
  <si>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</si>
  <si>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</si>
  <si>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</si>
  <si>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</si>
  <si>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</si>
  <si>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</si>
  <si>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</si>
  <si>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</si>
  <si>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</si>
  <si>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</si>
  <si>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</si>
  <si>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</si>
  <si>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</si>
  <si>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</si>
  <si>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</si>
  <si>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</si>
  <si>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</si>
  <si>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</si>
  <si>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</si>
  <si>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</si>
  <si>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</si>
  <si>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</si>
  <si>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</si>
  <si>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</si>
  <si>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</si>
  <si>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</si>
  <si>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</si>
  <si>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</si>
  <si>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</si>
  <si>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</si>
  <si>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</si>
  <si>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</si>
  <si>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</si>
  <si>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</si>
  <si>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</si>
  <si>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</si>
  <si>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</si>
  <si>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</si>
  <si>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</si>
  <si>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</si>
  <si>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</si>
  <si>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</si>
  <si>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</si>
  <si>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</si>
  <si>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</si>
  <si>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</si>
  <si>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</si>
  <si>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</si>
  <si>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</si>
  <si>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</si>
  <si>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</si>
  <si>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</si>
  <si>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</si>
  <si>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</si>
  <si>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</si>
  <si>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</si>
  <si>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</si>
  <si>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</si>
  <si>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</si>
  <si>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</si>
  <si>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</si>
  <si>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</si>
  <si>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</si>
  <si>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</si>
  <si>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</si>
  <si>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</si>
  <si>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</si>
  <si>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</si>
  <si>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</si>
  <si>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</si>
  <si>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</si>
  <si>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</si>
  <si>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</si>
  <si>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</si>
  <si>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</si>
  <si>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</si>
  <si>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</si>
  <si>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</si>
  <si>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</si>
  <si>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</si>
  <si>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</si>
  <si>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</si>
  <si>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</si>
  <si>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</si>
  <si>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</si>
  <si>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</si>
  <si>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</si>
  <si>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</si>
  <si>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</si>
  <si>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</si>
  <si>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</si>
  <si>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</si>
  <si>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</si>
  <si>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</si>
  <si>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</si>
  <si>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</si>
  <si>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</si>
  <si>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</si>
  <si>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</si>
  <si>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</si>
  <si>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</si>
  <si>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</si>
  <si>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</si>
  <si>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</si>
  <si>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</si>
  <si>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</si>
  <si>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</si>
  <si>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</si>
  <si>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</si>
  <si>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</si>
  <si>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</si>
  <si>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</si>
  <si>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</si>
  <si>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</si>
  <si>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</si>
  <si>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</si>
  <si>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</si>
  <si>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</si>
  <si>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</si>
  <si>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</si>
  <si>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</si>
  <si>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</si>
  <si>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</si>
  <si>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</si>
  <si>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</si>
  <si>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</si>
  <si>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</si>
  <si>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</si>
  <si>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</si>
  <si>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</si>
  <si>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</si>
  <si>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</si>
  <si>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</si>
  <si>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</si>
  <si>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</si>
  <si>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</si>
  <si>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</si>
  <si>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</si>
  <si>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</si>
  <si>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</si>
  <si>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</si>
  <si>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</si>
  <si>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</si>
  <si>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</si>
  <si>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</si>
  <si>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</si>
  <si>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</si>
  <si>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</si>
  <si>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</si>
  <si>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</si>
  <si>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</si>
  <si>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</si>
  <si>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</si>
  <si>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</si>
  <si>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</si>
  <si>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</si>
  <si>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</si>
  <si>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</si>
  <si>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</si>
  <si>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</si>
  <si>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</si>
  <si>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</si>
  <si>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</si>
  <si>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</si>
  <si>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</si>
  <si>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</si>
  <si>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</si>
  <si>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</si>
  <si>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</si>
  <si>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</si>
  <si>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</si>
  <si>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</si>
  <si>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</si>
  <si>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</si>
  <si>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</si>
  <si>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</si>
  <si>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</si>
  <si>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</si>
  <si>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</si>
  <si>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</si>
  <si>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</si>
  <si>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</si>
  <si>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</si>
  <si>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</si>
  <si>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</si>
  <si>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</si>
  <si>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</si>
  <si>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</si>
  <si>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</si>
  <si>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</si>
  <si>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</si>
  <si>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</si>
  <si>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</si>
  <si>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</si>
  <si>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</si>
  <si>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</si>
  <si>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</si>
  <si>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</si>
  <si>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</si>
  <si>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</si>
  <si>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</si>
  <si>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</si>
  <si>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</si>
  <si>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</si>
  <si>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</si>
  <si>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</si>
  <si>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</si>
  <si>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</si>
  <si>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</si>
  <si>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</si>
  <si>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</si>
  <si>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</si>
  <si>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</si>
  <si>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</si>
  <si>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</si>
  <si>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</si>
  <si>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</si>
  <si>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</si>
  <si>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</si>
  <si>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</si>
  <si>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</si>
  <si>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</si>
  <si>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</si>
  <si>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</si>
  <si>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</si>
  <si>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</si>
  <si>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</si>
  <si>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</si>
  <si>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</si>
  <si>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</si>
  <si>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</si>
  <si>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</si>
  <si>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</si>
  <si>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</si>
  <si>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</si>
  <si>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</si>
  <si>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</si>
  <si>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</si>
  <si>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</si>
  <si>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</si>
  <si>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</si>
  <si>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</si>
  <si>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</si>
  <si>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</si>
  <si>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</si>
  <si>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</si>
  <si>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</si>
  <si>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</si>
  <si>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</si>
  <si>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</si>
  <si>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</si>
  <si>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</si>
  <si>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</si>
  <si>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</si>
  <si>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</si>
  <si>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</si>
  <si>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</si>
  <si>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</si>
  <si>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</si>
  <si>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</si>
  <si>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</si>
  <si>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</si>
  <si>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</si>
  <si>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</si>
  <si>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</si>
  <si>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</si>
  <si>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</si>
  <si>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</si>
  <si>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</si>
  <si>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</si>
  <si>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</si>
  <si>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</si>
  <si>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</si>
  <si>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</si>
  <si>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</si>
  <si>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</si>
  <si>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</si>
  <si>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</si>
  <si>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</si>
  <si>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</si>
  <si>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</si>
  <si>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</si>
  <si>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</si>
  <si>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</si>
  <si>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</si>
  <si>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</si>
  <si>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</si>
  <si>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</si>
  <si>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</si>
  <si>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</si>
  <si>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</si>
  <si>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</si>
  <si>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</si>
  <si>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</si>
  <si>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</si>
  <si>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</si>
  <si>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</si>
  <si>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</si>
  <si>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</si>
  <si>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</si>
  <si>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</si>
  <si>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</si>
  <si>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</si>
  <si>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</si>
  <si>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</si>
  <si>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</si>
  <si>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</si>
  <si>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</si>
  <si>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</si>
  <si>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</si>
  <si>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</si>
  <si>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</si>
  <si>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</si>
  <si>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</si>
  <si>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</si>
  <si>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</si>
  <si>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</si>
  <si>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</si>
  <si>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</si>
  <si>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</si>
  <si>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</si>
  <si>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</si>
  <si>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</si>
  <si>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</si>
  <si>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</si>
  <si>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</si>
  <si>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</si>
  <si>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</si>
  <si>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</si>
  <si>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</si>
  <si>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</si>
  <si>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</si>
  <si>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</si>
  <si>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</si>
  <si>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</si>
  <si>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</si>
  <si>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</si>
  <si>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</si>
  <si>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</si>
  <si>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</si>
  <si>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</si>
  <si>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</si>
  <si>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</si>
  <si>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</si>
  <si>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</si>
  <si>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</si>
  <si>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</si>
  <si>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</si>
  <si>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</si>
  <si>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</si>
  <si>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</si>
  <si>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</si>
  <si>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</si>
  <si>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</si>
  <si>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</si>
  <si>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</si>
  <si>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</si>
  <si>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</si>
  <si>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</si>
  <si>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</si>
  <si>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</si>
  <si>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</si>
  <si>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</si>
  <si>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</si>
  <si>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</si>
  <si>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</si>
  <si>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</si>
  <si>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</si>
  <si>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</si>
  <si>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</si>
  <si>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</si>
  <si>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</si>
  <si>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</si>
  <si>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</si>
  <si>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</si>
  <si>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</si>
  <si>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</si>
  <si>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</si>
  <si>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</si>
  <si>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</si>
  <si>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</si>
  <si>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</si>
  <si>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</si>
  <si>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</si>
  <si>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</si>
  <si>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</si>
  <si>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</si>
  <si>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</si>
  <si>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</si>
  <si>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</si>
  <si>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</si>
  <si>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</si>
  <si>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</si>
  <si>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</si>
  <si>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</si>
  <si>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</si>
  <si>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</si>
  <si>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</si>
  <si>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</si>
  <si>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</si>
  <si>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</si>
  <si>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</si>
  <si>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</si>
  <si>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</si>
  <si>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</si>
  <si>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</si>
  <si>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</si>
  <si>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</si>
  <si>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</si>
  <si>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</si>
  <si>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</si>
  <si>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</si>
  <si>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</si>
  <si>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</si>
  <si>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</si>
  <si>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</si>
  <si>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</si>
  <si>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</si>
  <si>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</si>
  <si>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</si>
  <si>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</si>
  <si>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</si>
  <si>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</si>
  <si>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</si>
  <si>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</si>
  <si>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</si>
  <si>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</si>
  <si>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</si>
  <si>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</si>
  <si>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</si>
  <si>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</si>
  <si>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</si>
  <si>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</si>
  <si>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</si>
  <si>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</si>
  <si>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</si>
  <si>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</si>
  <si>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</si>
  <si>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关卡一次性奖励（局外奖励） 1倍</t>
  </si>
  <si>
    <t>关卡一次性奖励（局内奖励）</t>
  </si>
  <si>
    <t>特殊球*5</t>
  </si>
  <si>
    <t>弹球*2</t>
  </si>
  <si>
    <t>紫卡*2</t>
  </si>
  <si>
    <t>传奇卡宝箱</t>
  </si>
  <si>
    <t>Epic宝箱</t>
  </si>
  <si>
    <t>橙卡*10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</si>
  <si>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</si>
  <si>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</si>
  <si>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</si>
  <si>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</si>
  <si>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</si>
  <si>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</si>
  <si>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</si>
  <si>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</si>
  <si>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</si>
  <si>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</si>
  <si>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</si>
  <si>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</si>
  <si>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</si>
  <si>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</si>
  <si>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</si>
  <si>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</si>
  <si>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</si>
  <si>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</si>
  <si>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</si>
  <si>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</si>
  <si>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</si>
  <si>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</si>
  <si>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</si>
  <si>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</si>
  <si>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</si>
  <si>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</si>
  <si>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</si>
  <si>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</si>
  <si>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</si>
  <si>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</si>
  <si>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</si>
  <si>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</si>
  <si>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</si>
  <si>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</si>
  <si>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</si>
  <si>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</si>
  <si>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</si>
  <si>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</si>
  <si>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</si>
  <si>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</si>
  <si>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</si>
  <si>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</si>
  <si>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</si>
  <si>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</si>
  <si>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</si>
  <si>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</si>
  <si>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</si>
  <si>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</si>
  <si>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</si>
  <si>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</si>
  <si>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</si>
  <si>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</si>
  <si>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</si>
  <si>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</si>
  <si>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</si>
  <si>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</si>
  <si>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</si>
  <si>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</si>
  <si>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</si>
  <si>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</si>
  <si>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</si>
  <si>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</si>
  <si>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</si>
  <si>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弹球*2 { 临时 - 第2张橙卡*1}</t>
  </si>
  <si>
    <t>紫卡*2 { 临时 - 第1张橙卡*5}</t>
  </si>
  <si>
    <t>橙卡*10 { 临时 - 第2张橙卡*5}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</si>
  <si>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</si>
  <si>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</si>
  <si>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</si>
  <si>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</si>
  <si>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</si>
  <si>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</si>
  <si>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</si>
  <si>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</si>
  <si>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</si>
  <si>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</si>
  <si>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</si>
  <si>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</si>
  <si>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</si>
  <si>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</si>
  <si>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</si>
  <si>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</si>
  <si>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</si>
  <si>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</si>
  <si>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</si>
  <si>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</si>
  <si>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</si>
  <si>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</si>
  <si>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</si>
  <si>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</si>
  <si>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</si>
  <si>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</si>
  <si>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</si>
  <si>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</si>
  <si>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</si>
  <si>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</si>
  <si>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</si>
  <si>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</si>
  <si>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</si>
  <si>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</si>
  <si>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</si>
  <si>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</si>
  <si>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</si>
  <si>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</si>
  <si>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</si>
  <si>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</si>
  <si>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</si>
  <si>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</si>
  <si>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</si>
  <si>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</si>
  <si>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</si>
  <si>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</si>
  <si>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</si>
  <si>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</si>
  <si>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</si>
  <si>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</si>
  <si>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</si>
  <si>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</si>
  <si>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</si>
  <si>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</si>
  <si>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</si>
  <si>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</si>
  <si>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</si>
  <si>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</si>
  <si>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</si>
  <si>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</si>
  <si>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</si>
  <si>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</si>
  <si>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</si>
  <si>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</si>
  <si>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</si>
  <si>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</si>
  <si>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</si>
  <si>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</si>
  <si>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</si>
  <si>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</si>
  <si>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</si>
  <si>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</si>
  <si>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</si>
  <si>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</si>
  <si>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</si>
  <si>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</si>
  <si>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</si>
  <si>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</si>
  <si>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</si>
  <si>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</si>
  <si>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</si>
  <si>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</si>
  <si>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</si>
  <si>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</si>
  <si>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</si>
  <si>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</si>
  <si>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</si>
  <si>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</si>
  <si>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</si>
  <si>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</si>
  <si>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</si>
  <si>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</si>
  <si>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</si>
  <si>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</si>
  <si>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</si>
  <si>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</si>
  <si>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</si>
  <si>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</si>
  <si>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</si>
  <si>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</si>
  <si>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</si>
  <si>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</si>
  <si>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</si>
  <si>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</si>
  <si>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</si>
  <si>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</si>
  <si>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</si>
  <si>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</si>
  <si>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</si>
  <si>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</si>
  <si>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</si>
  <si>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</si>
  <si>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</si>
  <si>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</si>
  <si>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</si>
  <si>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</si>
  <si>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</si>
  <si>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</si>
  <si>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</si>
  <si>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</si>
  <si>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</si>
  <si>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</si>
  <si>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</si>
  <si>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</si>
  <si>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</si>
  <si>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</si>
  <si>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</si>
  <si>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</si>
  <si>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</si>
  <si>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</si>
  <si>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</si>
  <si>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</si>
  <si>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</si>
  <si>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</si>
  <si>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</si>
  <si>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</si>
  <si>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</si>
  <si>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</si>
  <si>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</si>
  <si>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</si>
  <si>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</si>
  <si>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</si>
  <si>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</si>
  <si>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最佳值为 10/100/300?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</si>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</sst>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1" xfId="0" applyFill="1" applyBorder="1"/>
    <xf numFmtId="0" fontId="16" fillId="0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6000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12000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12000</c:v>
                </c:pt>
                <c:pt idx="16">
                  <c:v>120000</c:v>
                </c:pt>
                <c:pt idx="17">
                  <c:v>120000</c:v>
                </c:pt>
                <c:pt idx="18">
                  <c:v>24000</c:v>
                </c:pt>
                <c:pt idx="19">
                  <c:v>24000</c:v>
                </c:pt>
                <c:pt idx="20">
                  <c:v>36000</c:v>
                </c:pt>
                <c:pt idx="21">
                  <c:v>36000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60000</c:v>
                </c:pt>
                <c:pt idx="31">
                  <c:v>60000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96000</c:v>
                </c:pt>
                <c:pt idx="37">
                  <c:v>96000</c:v>
                </c:pt>
                <c:pt idx="38">
                  <c:v>144000</c:v>
                </c:pt>
                <c:pt idx="39">
                  <c:v>144000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204000</c:v>
                </c:pt>
                <c:pt idx="49">
                  <c:v>204000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276000</c:v>
                </c:pt>
                <c:pt idx="55">
                  <c:v>276000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187</xdr:col>
      <xdr:colOff>186422</xdr:colOff>
      <xdr:row>14</xdr:row>
      <xdr:rowOff>81559</xdr:rowOff>
    </xdr:from>
    <xdr:to>
      <xdr:col>187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233028</xdr:colOff>
      <xdr:row>32</xdr:row>
      <xdr:rowOff>81559</xdr:rowOff>
    </xdr:from>
    <xdr:to>
      <xdr:col>192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139817</xdr:colOff>
      <xdr:row>33</xdr:row>
      <xdr:rowOff>34954</xdr:rowOff>
    </xdr:from>
    <xdr:to>
      <xdr:col>190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185</xdr:col>
      <xdr:colOff>792294</xdr:colOff>
      <xdr:row>16</xdr:row>
      <xdr:rowOff>104862</xdr:rowOff>
    </xdr:from>
    <xdr:to>
      <xdr:col>186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187</xdr:col>
      <xdr:colOff>241301</xdr:colOff>
      <xdr:row>14</xdr:row>
      <xdr:rowOff>152400</xdr:rowOff>
    </xdr:from>
    <xdr:to>
      <xdr:col>194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6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6</xdr:col>
      <xdr:colOff>4296230</xdr:colOff>
      <xdr:row>32</xdr:row>
      <xdr:rowOff>81503</xdr:rowOff>
    </xdr:from>
    <xdr:to>
      <xdr:col>7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7</xdr:col>
      <xdr:colOff>4085772</xdr:colOff>
      <xdr:row>32</xdr:row>
      <xdr:rowOff>80387</xdr:rowOff>
    </xdr:from>
    <xdr:to>
      <xdr:col>8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3013390</xdr:colOff>
      <xdr:row>35</xdr:row>
      <xdr:rowOff>11723</xdr:rowOff>
    </xdr:from>
    <xdr:to>
      <xdr:col>6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2649417</xdr:colOff>
      <xdr:row>35</xdr:row>
      <xdr:rowOff>10607</xdr:rowOff>
    </xdr:from>
    <xdr:to>
      <xdr:col>7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7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91" t="s">
        <v>14</v>
      </c>
      <c r="E2" s="91"/>
      <c r="F2" s="91"/>
      <c r="G2" s="91"/>
      <c r="H2" s="91" t="s">
        <v>15</v>
      </c>
      <c r="I2" s="91"/>
      <c r="J2" s="91"/>
      <c r="K2" s="91" t="s">
        <v>16</v>
      </c>
      <c r="L2" s="91"/>
      <c r="M2" s="91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91" t="s">
        <v>14</v>
      </c>
      <c r="B4" s="91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91"/>
      <c r="B5" s="91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91"/>
      <c r="B6" s="91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91"/>
      <c r="B7" s="91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91"/>
      <c r="B8" s="91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91"/>
      <c r="B9" s="91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91"/>
      <c r="B10" s="91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91"/>
      <c r="B11" s="91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91"/>
      <c r="B12" s="91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91"/>
      <c r="B13" s="91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91"/>
      <c r="B14" s="91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91"/>
      <c r="B15" s="91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91" t="s">
        <v>15</v>
      </c>
      <c r="B16" s="91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91"/>
      <c r="B17" s="91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91"/>
      <c r="B18" s="91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91"/>
      <c r="B19" s="91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91"/>
      <c r="B20" s="91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91"/>
      <c r="B21" s="91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91"/>
      <c r="B22" s="91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91"/>
      <c r="B23" s="91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91"/>
      <c r="B24" s="91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91" t="s">
        <v>16</v>
      </c>
      <c r="B25" s="91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91"/>
      <c r="B26" s="91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91"/>
      <c r="B27" s="91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91"/>
      <c r="B28" s="91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91"/>
      <c r="B29" s="91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91"/>
      <c r="B30" s="91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91"/>
      <c r="B31" s="91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91"/>
      <c r="B32" s="91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91"/>
      <c r="B33" s="91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91" t="s">
        <v>17</v>
      </c>
      <c r="B34" s="91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91"/>
      <c r="B35" s="91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91"/>
      <c r="B36" s="91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91" t="s">
        <v>214</v>
      </c>
      <c r="D5" s="91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R22" sqref="R22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91" t="s">
        <v>54</v>
      </c>
      <c r="H42" s="91"/>
      <c r="I42" s="91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3:F18"/>
  <sheetViews>
    <sheetView workbookViewId="0">
      <selection activeCell="A11" sqref="A11:XFD11"/>
    </sheetView>
  </sheetViews>
  <sheetFormatPr baseColWidth="10" defaultRowHeight="16" x14ac:dyDescent="0.2"/>
  <cols>
    <col min="3" max="3" width="11.33203125" customWidth="1"/>
  </cols>
  <sheetData>
    <row r="3" spans="1:6" x14ac:dyDescent="0.2">
      <c r="A3" t="s">
        <v>527</v>
      </c>
      <c r="B3" t="s">
        <v>582</v>
      </c>
      <c r="C3" t="s">
        <v>583</v>
      </c>
      <c r="D3" t="s">
        <v>584</v>
      </c>
      <c r="E3" t="s">
        <v>585</v>
      </c>
      <c r="F3" t="s">
        <v>586</v>
      </c>
    </row>
    <row r="4" spans="1:6" x14ac:dyDescent="0.2">
      <c r="A4">
        <v>1</v>
      </c>
      <c r="B4">
        <f>VLOOKUP(A4,'Dungeon&amp;Framework'!EP:EQ,2,FALSE)</f>
        <v>48</v>
      </c>
      <c r="C4">
        <v>40</v>
      </c>
      <c r="D4" t="s">
        <v>480</v>
      </c>
    </row>
    <row r="5" spans="1:6" x14ac:dyDescent="0.2">
      <c r="A5">
        <v>2</v>
      </c>
      <c r="B5">
        <f>VLOOKUP(A5,'Dungeon&amp;Framework'!EP:EQ,2,FALSE)</f>
        <v>100</v>
      </c>
      <c r="C5">
        <v>100</v>
      </c>
      <c r="D5" t="s">
        <v>563</v>
      </c>
    </row>
    <row r="6" spans="1:6" x14ac:dyDescent="0.2">
      <c r="A6">
        <v>3</v>
      </c>
      <c r="B6">
        <f>VLOOKUP(A6,'Dungeon&amp;Framework'!EP:EQ,2,FALSE)</f>
        <v>296</v>
      </c>
      <c r="C6">
        <v>300</v>
      </c>
      <c r="D6" t="s">
        <v>570</v>
      </c>
    </row>
    <row r="7" spans="1:6" x14ac:dyDescent="0.2">
      <c r="A7">
        <v>4</v>
      </c>
      <c r="B7">
        <f>VLOOKUP(A7,'Dungeon&amp;Framework'!EP:EQ,2,FALSE)</f>
        <v>636</v>
      </c>
      <c r="C7">
        <v>600</v>
      </c>
      <c r="D7" t="s">
        <v>567</v>
      </c>
    </row>
    <row r="8" spans="1:6" x14ac:dyDescent="0.2">
      <c r="A8">
        <v>5</v>
      </c>
      <c r="B8">
        <f>VLOOKUP(A8,'Dungeon&amp;Framework'!EP:EQ,2,FALSE)</f>
        <v>1116</v>
      </c>
      <c r="C8">
        <v>1000</v>
      </c>
      <c r="D8" t="s">
        <v>587</v>
      </c>
    </row>
    <row r="9" spans="1:6" x14ac:dyDescent="0.2">
      <c r="A9">
        <v>6</v>
      </c>
      <c r="B9">
        <f>VLOOKUP(A9,'Dungeon&amp;Framework'!EP:EQ,2,FALSE)</f>
        <v>1816</v>
      </c>
      <c r="C9">
        <v>1800</v>
      </c>
      <c r="D9" t="s">
        <v>572</v>
      </c>
    </row>
    <row r="10" spans="1:6" x14ac:dyDescent="0.2">
      <c r="A10">
        <v>7</v>
      </c>
      <c r="B10">
        <f>VLOOKUP(A10,'Dungeon&amp;Framework'!EP:EQ,2,FALSE)</f>
        <v>3016</v>
      </c>
      <c r="C10">
        <v>3000</v>
      </c>
      <c r="D10" t="s">
        <v>588</v>
      </c>
    </row>
    <row r="11" spans="1:6" x14ac:dyDescent="0.2">
      <c r="A11">
        <v>8</v>
      </c>
      <c r="B11">
        <f>VLOOKUP(A11,'Dungeon&amp;Framework'!EP:EQ,2,FALSE)</f>
        <v>4616</v>
      </c>
      <c r="C11">
        <v>4600</v>
      </c>
      <c r="D11" t="s">
        <v>571</v>
      </c>
    </row>
    <row r="12" spans="1:6" x14ac:dyDescent="0.2">
      <c r="A12">
        <v>9</v>
      </c>
      <c r="B12">
        <f>VLOOKUP(A12,'Dungeon&amp;Framework'!EP:EQ,2,FALSE)</f>
        <v>8386</v>
      </c>
      <c r="C12">
        <v>8000</v>
      </c>
      <c r="D12" t="s">
        <v>498</v>
      </c>
    </row>
    <row r="13" spans="1:6" x14ac:dyDescent="0.2">
      <c r="A13">
        <v>10</v>
      </c>
      <c r="B13">
        <f>VLOOKUP(A13,'Dungeon&amp;Framework'!EP:EQ,2,FALSE)</f>
        <v>12636</v>
      </c>
      <c r="C13">
        <v>12000</v>
      </c>
      <c r="D13" t="s">
        <v>592</v>
      </c>
    </row>
    <row r="14" spans="1:6" x14ac:dyDescent="0.2">
      <c r="A14">
        <v>11</v>
      </c>
      <c r="B14">
        <f>VLOOKUP(A14,'Dungeon&amp;Framework'!EP:EQ,2,FALSE)</f>
        <v>14476</v>
      </c>
      <c r="C14">
        <v>14000</v>
      </c>
      <c r="D14" t="s">
        <v>589</v>
      </c>
    </row>
    <row r="15" spans="1:6" x14ac:dyDescent="0.2">
      <c r="A15">
        <v>12</v>
      </c>
      <c r="B15">
        <f>VLOOKUP(A15,'Dungeon&amp;Framework'!EP:EQ,2,FALSE)</f>
        <v>18616</v>
      </c>
      <c r="C15">
        <v>18000</v>
      </c>
      <c r="D15" t="s">
        <v>593</v>
      </c>
    </row>
    <row r="16" spans="1:6" x14ac:dyDescent="0.2">
      <c r="A16">
        <v>13</v>
      </c>
      <c r="B16">
        <f>VLOOKUP(A16,'Dungeon&amp;Framework'!ER:ES,2,FALSE)</f>
        <v>27168</v>
      </c>
      <c r="C16">
        <v>26000</v>
      </c>
      <c r="D16" t="s">
        <v>590</v>
      </c>
    </row>
    <row r="17" spans="1:4" x14ac:dyDescent="0.2">
      <c r="A17">
        <v>14</v>
      </c>
      <c r="B17">
        <f>VLOOKUP(A17,'Dungeon&amp;Framework'!ER:ES,2,FALSE)</f>
        <v>35088</v>
      </c>
      <c r="C17">
        <v>35000</v>
      </c>
      <c r="D17" t="s">
        <v>594</v>
      </c>
    </row>
    <row r="18" spans="1:4" x14ac:dyDescent="0.2">
      <c r="A18">
        <v>15</v>
      </c>
      <c r="B18">
        <f>VLOOKUP(A18,'Dungeon&amp;Framework'!ER:ES,2,FALSE)</f>
        <v>41528</v>
      </c>
      <c r="C18">
        <v>41000</v>
      </c>
      <c r="D18" t="s">
        <v>591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T23"/>
  <sheetViews>
    <sheetView topLeftCell="A3" zoomScale="91" workbookViewId="0">
      <selection activeCell="G20" sqref="G20"/>
    </sheetView>
  </sheetViews>
  <sheetFormatPr baseColWidth="10" defaultRowHeight="16" x14ac:dyDescent="0.2"/>
  <cols>
    <col min="1" max="1" width="24.83203125" customWidth="1"/>
    <col min="6" max="6" width="24.5" customWidth="1"/>
    <col min="7" max="8" width="62.1640625" style="17" customWidth="1"/>
    <col min="9" max="9" width="53.33203125" style="17" customWidth="1"/>
    <col min="10" max="10" width="23.1640625" style="17" customWidth="1"/>
    <col min="12" max="12" width="36.1640625" customWidth="1"/>
    <col min="13" max="13" width="37.33203125" customWidth="1"/>
    <col min="14" max="14" width="23.83203125" customWidth="1"/>
    <col min="15" max="15" width="17.6640625" customWidth="1"/>
    <col min="16" max="16" width="18" customWidth="1"/>
    <col min="17" max="17" width="26" customWidth="1"/>
    <col min="19" max="19" width="38.83203125" customWidth="1"/>
    <col min="20" max="20" width="31" customWidth="1"/>
  </cols>
  <sheetData>
    <row r="1" spans="1:124" x14ac:dyDescent="0.2">
      <c r="A1" s="88" t="s">
        <v>662</v>
      </c>
    </row>
    <row r="2" spans="1:124" x14ac:dyDescent="0.2">
      <c r="A2" s="88"/>
      <c r="L2" s="89"/>
      <c r="M2" s="89" t="s">
        <v>674</v>
      </c>
      <c r="N2" s="89"/>
      <c r="O2" s="89"/>
      <c r="P2" s="89"/>
      <c r="Q2" s="89"/>
      <c r="S2" s="6" t="s">
        <v>675</v>
      </c>
    </row>
    <row r="3" spans="1:124" x14ac:dyDescent="0.2">
      <c r="U3" t="s">
        <v>668</v>
      </c>
    </row>
    <row r="4" spans="1:124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81" t="s">
        <v>182</v>
      </c>
      <c r="G4" s="17" t="s">
        <v>656</v>
      </c>
      <c r="H4" s="17" t="s">
        <v>657</v>
      </c>
      <c r="L4" t="s">
        <v>670</v>
      </c>
      <c r="M4" t="s">
        <v>664</v>
      </c>
      <c r="N4" t="s">
        <v>665</v>
      </c>
      <c r="O4" t="s">
        <v>666</v>
      </c>
      <c r="P4" t="s">
        <v>667</v>
      </c>
      <c r="Q4" t="s">
        <v>669</v>
      </c>
      <c r="S4" t="s">
        <v>672</v>
      </c>
    </row>
    <row r="5" spans="1:124" ht="51" x14ac:dyDescent="0.2">
      <c r="A5" s="82">
        <v>1</v>
      </c>
      <c r="B5" s="39">
        <v>1</v>
      </c>
      <c r="C5" s="83" t="s">
        <v>49</v>
      </c>
      <c r="D5" s="39">
        <v>1</v>
      </c>
      <c r="E5" s="39" t="s">
        <v>633</v>
      </c>
      <c r="F5" s="81" t="s">
        <v>184</v>
      </c>
      <c r="G5" s="86" t="s">
        <v>651</v>
      </c>
      <c r="H5" s="86"/>
      <c r="I5" s="17" t="s">
        <v>652</v>
      </c>
      <c r="J5" s="17" t="s">
        <v>661</v>
      </c>
      <c r="L5">
        <f>'Dungeon&amp;Framework'!DT5</f>
        <v>4800</v>
      </c>
      <c r="M5">
        <f>'Dungeon&amp;Framework'!BX5</f>
        <v>9600</v>
      </c>
      <c r="N5">
        <f>M5/'Chest&amp;Cards&amp;Offer'!$D$10</f>
        <v>0.11428571428571428</v>
      </c>
      <c r="O5">
        <f>N5*'Chest&amp;Cards&amp;Offer'!$D$7</f>
        <v>0.5714285714285714</v>
      </c>
      <c r="P5">
        <f>N5*'Chest&amp;Cards&amp;Offer'!$D$6</f>
        <v>2.2857142857142856</v>
      </c>
      <c r="Q5">
        <f>N5*'Chest&amp;Cards&amp;Offer'!$D$5</f>
        <v>9600</v>
      </c>
      <c r="S5">
        <f>L5/'Chest&amp;Cards&amp;Offer'!$E$5</f>
        <v>1.3333333333333334E-2</v>
      </c>
      <c r="DT5" s="16"/>
    </row>
    <row r="6" spans="1:124" ht="61" x14ac:dyDescent="0.2">
      <c r="A6" s="82">
        <v>2</v>
      </c>
      <c r="B6" s="39">
        <v>2</v>
      </c>
      <c r="C6" s="83" t="s">
        <v>50</v>
      </c>
      <c r="D6" s="39">
        <v>1</v>
      </c>
      <c r="E6" s="39" t="s">
        <v>634</v>
      </c>
      <c r="F6" s="81" t="s">
        <v>185</v>
      </c>
      <c r="G6" s="86" t="s">
        <v>653</v>
      </c>
      <c r="H6" s="86"/>
      <c r="I6" s="17" t="s">
        <v>654</v>
      </c>
      <c r="L6">
        <f>'Dungeon&amp;Framework'!DT6</f>
        <v>14400</v>
      </c>
      <c r="M6">
        <f>'Dungeon&amp;Framework'!BX6</f>
        <v>24000</v>
      </c>
      <c r="N6">
        <f>M6/'Chest&amp;Cards&amp;Offer'!$D$10</f>
        <v>0.2857142857142857</v>
      </c>
      <c r="O6">
        <f>N6*'Chest&amp;Cards&amp;Offer'!$D$7</f>
        <v>1.4285714285714284</v>
      </c>
      <c r="P6">
        <f>N6*'Chest&amp;Cards&amp;Offer'!$D$6</f>
        <v>5.7142857142857135</v>
      </c>
      <c r="Q6">
        <f>N6*'Chest&amp;Cards&amp;Offer'!$D$5</f>
        <v>24000</v>
      </c>
      <c r="S6">
        <f>L6/'Chest&amp;Cards&amp;Offer'!$E$5</f>
        <v>0.04</v>
      </c>
      <c r="DT6" s="16"/>
    </row>
    <row r="7" spans="1:124" ht="68" x14ac:dyDescent="0.2">
      <c r="A7" s="82">
        <v>3</v>
      </c>
      <c r="B7" s="39">
        <v>3</v>
      </c>
      <c r="C7" s="83" t="s">
        <v>49</v>
      </c>
      <c r="D7" s="39">
        <v>2</v>
      </c>
      <c r="E7" s="39" t="s">
        <v>635</v>
      </c>
      <c r="F7" s="81" t="s">
        <v>186</v>
      </c>
      <c r="G7" s="87" t="s">
        <v>655</v>
      </c>
      <c r="H7" s="87"/>
      <c r="I7" s="17" t="s">
        <v>659</v>
      </c>
      <c r="L7">
        <f>'Dungeon&amp;Framework'!DT7</f>
        <v>24000</v>
      </c>
      <c r="M7">
        <f>'Dungeon&amp;Framework'!BX7</f>
        <v>38400</v>
      </c>
      <c r="N7">
        <f>M7/'Chest&amp;Cards&amp;Offer'!$D$10</f>
        <v>0.45714285714285713</v>
      </c>
      <c r="O7">
        <f>N7*'Chest&amp;Cards&amp;Offer'!$D$7</f>
        <v>2.2857142857142856</v>
      </c>
      <c r="P7">
        <f>N7*'Chest&amp;Cards&amp;Offer'!$D$6</f>
        <v>9.1428571428571423</v>
      </c>
      <c r="Q7">
        <f>N7*'Chest&amp;Cards&amp;Offer'!$D$5</f>
        <v>38400</v>
      </c>
      <c r="S7">
        <f>L7/'Chest&amp;Cards&amp;Offer'!$E$5</f>
        <v>6.6666666666666666E-2</v>
      </c>
      <c r="DT7" s="16"/>
    </row>
    <row r="8" spans="1:124" ht="17" x14ac:dyDescent="0.2">
      <c r="A8" s="82">
        <v>4</v>
      </c>
      <c r="B8" s="39">
        <v>4</v>
      </c>
      <c r="C8" s="83" t="s">
        <v>50</v>
      </c>
      <c r="D8" s="39">
        <v>2</v>
      </c>
      <c r="E8" s="39" t="s">
        <v>636</v>
      </c>
      <c r="F8" s="81" t="s">
        <v>187</v>
      </c>
      <c r="L8">
        <f>'Dungeon&amp;Framework'!DT8</f>
        <v>38400</v>
      </c>
      <c r="M8">
        <f>'Dungeon&amp;Framework'!BX8</f>
        <v>57600</v>
      </c>
      <c r="N8">
        <f>M8/'Chest&amp;Cards&amp;Offer'!$D$10</f>
        <v>0.68571428571428572</v>
      </c>
      <c r="O8">
        <f>N8*'Chest&amp;Cards&amp;Offer'!$D$7</f>
        <v>3.4285714285714288</v>
      </c>
      <c r="P8">
        <f>N8*'Chest&amp;Cards&amp;Offer'!$D$6</f>
        <v>13.714285714285715</v>
      </c>
      <c r="Q8">
        <f>N8*'Chest&amp;Cards&amp;Offer'!$D$5</f>
        <v>57600</v>
      </c>
      <c r="S8">
        <f>L8/'Chest&amp;Cards&amp;Offer'!$E$5</f>
        <v>0.10666666666666667</v>
      </c>
      <c r="DT8" s="16"/>
    </row>
    <row r="9" spans="1:124" ht="34" x14ac:dyDescent="0.2">
      <c r="A9" s="82">
        <v>5</v>
      </c>
      <c r="B9" s="39">
        <v>5</v>
      </c>
      <c r="C9" s="84" t="s">
        <v>51</v>
      </c>
      <c r="D9" s="39">
        <v>1</v>
      </c>
      <c r="E9" s="39" t="s">
        <v>637</v>
      </c>
      <c r="F9" s="81"/>
      <c r="G9" s="90" t="s">
        <v>678</v>
      </c>
      <c r="H9" s="17" t="s">
        <v>658</v>
      </c>
      <c r="I9" s="17" t="s">
        <v>660</v>
      </c>
      <c r="L9">
        <f>'Dungeon&amp;Framework'!DT9</f>
        <v>52800</v>
      </c>
      <c r="M9">
        <f>'Dungeon&amp;Framework'!BX9</f>
        <v>76800</v>
      </c>
      <c r="N9">
        <f>M9/'Chest&amp;Cards&amp;Offer'!$D$10</f>
        <v>0.91428571428571426</v>
      </c>
      <c r="O9">
        <f>N9*'Chest&amp;Cards&amp;Offer'!$D$7</f>
        <v>4.5714285714285712</v>
      </c>
      <c r="P9">
        <f>N9*'Chest&amp;Cards&amp;Offer'!$D$6</f>
        <v>18.285714285714285</v>
      </c>
      <c r="Q9">
        <f>N9*'Chest&amp;Cards&amp;Offer'!$D$5</f>
        <v>76800</v>
      </c>
      <c r="S9">
        <f>L9/'Chest&amp;Cards&amp;Offer'!$E$5</f>
        <v>0.14666666666666667</v>
      </c>
      <c r="DT9" s="16"/>
    </row>
    <row r="10" spans="1:124" ht="34" x14ac:dyDescent="0.2">
      <c r="A10" s="82">
        <v>6</v>
      </c>
      <c r="B10" s="39">
        <v>6</v>
      </c>
      <c r="C10" s="84" t="s">
        <v>51</v>
      </c>
      <c r="D10" s="39">
        <v>2</v>
      </c>
      <c r="E10" s="39" t="s">
        <v>638</v>
      </c>
      <c r="F10" s="81"/>
      <c r="H10" s="17" t="s">
        <v>676</v>
      </c>
      <c r="I10" s="17" t="s">
        <v>671</v>
      </c>
      <c r="L10">
        <f>'Dungeon&amp;Framework'!DT10</f>
        <v>72000</v>
      </c>
      <c r="M10">
        <f>'Dungeon&amp;Framework'!BX10</f>
        <v>100800</v>
      </c>
      <c r="N10">
        <f>M10/'Chest&amp;Cards&amp;Offer'!$D$10</f>
        <v>1.2</v>
      </c>
      <c r="O10">
        <f>N10*'Chest&amp;Cards&amp;Offer'!$D$7</f>
        <v>6</v>
      </c>
      <c r="P10">
        <f>N10*'Chest&amp;Cards&amp;Offer'!$D$6</f>
        <v>24</v>
      </c>
      <c r="Q10">
        <f>N10*'Chest&amp;Cards&amp;Offer'!$D$5</f>
        <v>100800</v>
      </c>
      <c r="S10">
        <f>L10/'Chest&amp;Cards&amp;Offer'!$E$5</f>
        <v>0.2</v>
      </c>
      <c r="DT10" s="16"/>
    </row>
    <row r="11" spans="1:124" x14ac:dyDescent="0.2">
      <c r="A11" s="82">
        <v>7</v>
      </c>
      <c r="B11" s="39">
        <v>7</v>
      </c>
      <c r="C11" s="84" t="s">
        <v>104</v>
      </c>
      <c r="D11" s="39">
        <v>1</v>
      </c>
      <c r="E11" s="39" t="s">
        <v>639</v>
      </c>
      <c r="F11" s="81"/>
      <c r="L11">
        <f>'Dungeon&amp;Framework'!DT11</f>
        <v>91200</v>
      </c>
      <c r="M11">
        <f>'Dungeon&amp;Framework'!BX11</f>
        <v>124800</v>
      </c>
      <c r="N11">
        <f>M11/'Chest&amp;Cards&amp;Offer'!$D$10</f>
        <v>1.4857142857142858</v>
      </c>
      <c r="O11">
        <f>N11*'Chest&amp;Cards&amp;Offer'!$D$7</f>
        <v>7.4285714285714288</v>
      </c>
      <c r="P11">
        <f>N11*'Chest&amp;Cards&amp;Offer'!$D$6</f>
        <v>29.714285714285715</v>
      </c>
      <c r="Q11">
        <f>N11*'Chest&amp;Cards&amp;Offer'!$D$5</f>
        <v>124800</v>
      </c>
      <c r="S11">
        <f>L11/'Chest&amp;Cards&amp;Offer'!$E$5</f>
        <v>0.25333333333333335</v>
      </c>
      <c r="DT11" s="16"/>
    </row>
    <row r="12" spans="1:124" ht="17" x14ac:dyDescent="0.2">
      <c r="A12" s="82">
        <v>8</v>
      </c>
      <c r="B12" s="39">
        <v>8</v>
      </c>
      <c r="C12" s="84" t="s">
        <v>104</v>
      </c>
      <c r="D12" s="39">
        <v>2</v>
      </c>
      <c r="E12" s="39" t="s">
        <v>640</v>
      </c>
      <c r="F12" s="81"/>
      <c r="H12" s="17" t="s">
        <v>677</v>
      </c>
      <c r="L12">
        <f>'Dungeon&amp;Framework'!DT12</f>
        <v>115200</v>
      </c>
      <c r="M12">
        <f>'Dungeon&amp;Framework'!BX12</f>
        <v>153600</v>
      </c>
      <c r="N12">
        <f>M12/'Chest&amp;Cards&amp;Offer'!$D$10</f>
        <v>1.8285714285714285</v>
      </c>
      <c r="O12">
        <f>N12*'Chest&amp;Cards&amp;Offer'!$D$7</f>
        <v>9.1428571428571423</v>
      </c>
      <c r="P12">
        <f>N12*'Chest&amp;Cards&amp;Offer'!$D$6</f>
        <v>36.571428571428569</v>
      </c>
      <c r="Q12">
        <f>N12*'Chest&amp;Cards&amp;Offer'!$D$5</f>
        <v>153600</v>
      </c>
      <c r="S12">
        <f>L12/'Chest&amp;Cards&amp;Offer'!$E$5</f>
        <v>0.32</v>
      </c>
      <c r="DT12" s="16"/>
    </row>
    <row r="13" spans="1:124" ht="34" x14ac:dyDescent="0.2">
      <c r="A13" s="82">
        <v>9</v>
      </c>
      <c r="B13" s="39">
        <v>9</v>
      </c>
      <c r="C13" s="83" t="s">
        <v>49</v>
      </c>
      <c r="D13" s="39">
        <v>3</v>
      </c>
      <c r="E13" s="39" t="s">
        <v>641</v>
      </c>
      <c r="F13" s="81"/>
      <c r="G13" s="90" t="s">
        <v>680</v>
      </c>
      <c r="L13">
        <f>'Dungeon&amp;Framework'!DT13</f>
        <v>139200</v>
      </c>
      <c r="M13">
        <f>'Dungeon&amp;Framework'!BX13</f>
        <v>182400</v>
      </c>
      <c r="N13">
        <f>M13/'Chest&amp;Cards&amp;Offer'!$D$10</f>
        <v>2.1714285714285713</v>
      </c>
      <c r="O13">
        <f>N13*'Chest&amp;Cards&amp;Offer'!$D$7</f>
        <v>10.857142857142856</v>
      </c>
      <c r="P13">
        <f>N13*'Chest&amp;Cards&amp;Offer'!$D$6</f>
        <v>43.428571428571423</v>
      </c>
      <c r="Q13">
        <f>N13*'Chest&amp;Cards&amp;Offer'!$D$5</f>
        <v>182400</v>
      </c>
      <c r="S13">
        <f>L13/'Chest&amp;Cards&amp;Offer'!$E$5</f>
        <v>0.38666666666666666</v>
      </c>
    </row>
    <row r="14" spans="1:124" ht="64" customHeight="1" x14ac:dyDescent="0.2">
      <c r="A14" s="82">
        <v>10</v>
      </c>
      <c r="B14" s="39">
        <v>10</v>
      </c>
      <c r="C14" s="84" t="s">
        <v>112</v>
      </c>
      <c r="D14" s="39">
        <v>1</v>
      </c>
      <c r="E14" s="39" t="s">
        <v>642</v>
      </c>
      <c r="F14" s="111" t="s">
        <v>183</v>
      </c>
      <c r="H14" s="17" t="s">
        <v>681</v>
      </c>
      <c r="L14">
        <f>'Dungeon&amp;Framework'!DT14</f>
        <v>168000</v>
      </c>
      <c r="M14">
        <f>'Dungeon&amp;Framework'!BX14</f>
        <v>216000</v>
      </c>
      <c r="N14">
        <f>M14/'Chest&amp;Cards&amp;Offer'!$D$10</f>
        <v>2.5714285714285716</v>
      </c>
      <c r="O14">
        <f>N14*'Chest&amp;Cards&amp;Offer'!$D$7</f>
        <v>12.857142857142858</v>
      </c>
      <c r="P14">
        <f>N14*'Chest&amp;Cards&amp;Offer'!$D$6</f>
        <v>51.428571428571431</v>
      </c>
      <c r="Q14">
        <f>N14*'Chest&amp;Cards&amp;Offer'!$D$5</f>
        <v>216000.00000000003</v>
      </c>
      <c r="S14">
        <f>L14/'Chest&amp;Cards&amp;Offer'!$E$5</f>
        <v>0.46666666666666667</v>
      </c>
    </row>
    <row r="15" spans="1:124" x14ac:dyDescent="0.2">
      <c r="A15" s="82">
        <v>11</v>
      </c>
      <c r="B15" s="39">
        <v>11</v>
      </c>
      <c r="C15" s="84" t="s">
        <v>112</v>
      </c>
      <c r="D15" s="39">
        <v>2</v>
      </c>
      <c r="E15" s="39" t="s">
        <v>643</v>
      </c>
      <c r="F15" s="111"/>
      <c r="L15">
        <f>'Dungeon&amp;Framework'!DT15</f>
        <v>196800</v>
      </c>
      <c r="M15">
        <f>'Dungeon&amp;Framework'!BX15</f>
        <v>249600</v>
      </c>
      <c r="N15">
        <f>M15/'Chest&amp;Cards&amp;Offer'!$D$10</f>
        <v>2.9714285714285715</v>
      </c>
      <c r="O15">
        <f>N15*'Chest&amp;Cards&amp;Offer'!$D$7</f>
        <v>14.857142857142858</v>
      </c>
      <c r="P15">
        <f>N15*'Chest&amp;Cards&amp;Offer'!$D$6</f>
        <v>59.428571428571431</v>
      </c>
      <c r="Q15">
        <f>N15*'Chest&amp;Cards&amp;Offer'!$D$5</f>
        <v>249600</v>
      </c>
      <c r="S15">
        <f>L15/'Chest&amp;Cards&amp;Offer'!$E$5</f>
        <v>0.54666666666666663</v>
      </c>
    </row>
    <row r="16" spans="1:124" x14ac:dyDescent="0.2">
      <c r="A16" s="82">
        <v>12</v>
      </c>
      <c r="B16" s="39">
        <v>12</v>
      </c>
      <c r="C16" s="84" t="s">
        <v>112</v>
      </c>
      <c r="D16" s="39">
        <v>3</v>
      </c>
      <c r="E16" s="39" t="s">
        <v>644</v>
      </c>
      <c r="F16" s="111"/>
      <c r="L16">
        <f>'Dungeon&amp;Framework'!DT16</f>
        <v>230400</v>
      </c>
      <c r="M16">
        <f>'Dungeon&amp;Framework'!BX16</f>
        <v>288000</v>
      </c>
      <c r="N16">
        <f>M16/'Chest&amp;Cards&amp;Offer'!$D$10</f>
        <v>3.4285714285714284</v>
      </c>
      <c r="O16">
        <f>N16*'Chest&amp;Cards&amp;Offer'!$D$7</f>
        <v>17.142857142857142</v>
      </c>
      <c r="P16">
        <f>N16*'Chest&amp;Cards&amp;Offer'!$D$6</f>
        <v>68.571428571428569</v>
      </c>
      <c r="Q16">
        <f>N16*'Chest&amp;Cards&amp;Offer'!$D$5</f>
        <v>288000</v>
      </c>
      <c r="S16">
        <f>L16/'Chest&amp;Cards&amp;Offer'!$E$5</f>
        <v>0.64</v>
      </c>
    </row>
    <row r="17" spans="1:20" ht="17" x14ac:dyDescent="0.2">
      <c r="A17" s="82">
        <v>13</v>
      </c>
      <c r="B17" s="39">
        <v>13</v>
      </c>
      <c r="C17" s="84" t="s">
        <v>113</v>
      </c>
      <c r="D17" s="39">
        <v>1</v>
      </c>
      <c r="E17" s="39" t="s">
        <v>645</v>
      </c>
      <c r="F17" s="111"/>
      <c r="H17" s="17" t="s">
        <v>682</v>
      </c>
      <c r="L17">
        <f>'Dungeon&amp;Framework'!DT17</f>
        <v>264000</v>
      </c>
      <c r="M17">
        <f>'Dungeon&amp;Framework'!BX17</f>
        <v>326400</v>
      </c>
      <c r="N17">
        <f>M17/'Chest&amp;Cards&amp;Offer'!$D$10</f>
        <v>3.8857142857142857</v>
      </c>
      <c r="O17">
        <f>N17*'Chest&amp;Cards&amp;Offer'!$D$7</f>
        <v>19.428571428571427</v>
      </c>
      <c r="P17">
        <f>N17*'Chest&amp;Cards&amp;Offer'!$D$6</f>
        <v>77.714285714285708</v>
      </c>
      <c r="Q17">
        <f>N17*'Chest&amp;Cards&amp;Offer'!$D$5</f>
        <v>326400</v>
      </c>
      <c r="S17">
        <f>L17/'Chest&amp;Cards&amp;Offer'!$E$5</f>
        <v>0.73333333333333328</v>
      </c>
    </row>
    <row r="18" spans="1:20" x14ac:dyDescent="0.2">
      <c r="A18" s="82">
        <v>14</v>
      </c>
      <c r="B18" s="39">
        <v>14</v>
      </c>
      <c r="C18" s="84" t="s">
        <v>113</v>
      </c>
      <c r="D18" s="39">
        <v>2</v>
      </c>
      <c r="E18" s="39" t="s">
        <v>646</v>
      </c>
      <c r="F18" s="111"/>
      <c r="L18">
        <f>'Dungeon&amp;Framework'!DT18</f>
        <v>302400</v>
      </c>
      <c r="M18">
        <f>'Dungeon&amp;Framework'!BX18</f>
        <v>369600</v>
      </c>
      <c r="N18">
        <f>M18/'Chest&amp;Cards&amp;Offer'!$D$10</f>
        <v>4.4000000000000004</v>
      </c>
      <c r="O18">
        <f>N18*'Chest&amp;Cards&amp;Offer'!$D$7</f>
        <v>22</v>
      </c>
      <c r="P18">
        <f>N18*'Chest&amp;Cards&amp;Offer'!$D$6</f>
        <v>88</v>
      </c>
      <c r="Q18">
        <f>N18*'Chest&amp;Cards&amp;Offer'!$D$5</f>
        <v>369600.00000000006</v>
      </c>
      <c r="S18">
        <f>L18/'Chest&amp;Cards&amp;Offer'!$E$5</f>
        <v>0.84</v>
      </c>
    </row>
    <row r="19" spans="1:20" ht="17" x14ac:dyDescent="0.2">
      <c r="A19" s="82">
        <v>15</v>
      </c>
      <c r="B19" s="39">
        <v>15</v>
      </c>
      <c r="C19" s="84" t="s">
        <v>113</v>
      </c>
      <c r="D19" s="39">
        <v>3</v>
      </c>
      <c r="E19" s="39" t="s">
        <v>647</v>
      </c>
      <c r="F19" s="111"/>
      <c r="H19" s="17" t="s">
        <v>683</v>
      </c>
      <c r="L19">
        <f>'Dungeon&amp;Framework'!DT19</f>
        <v>340800</v>
      </c>
      <c r="M19">
        <f>'Dungeon&amp;Framework'!BX19</f>
        <v>412800</v>
      </c>
      <c r="N19">
        <f>M19/'Chest&amp;Cards&amp;Offer'!$D$10</f>
        <v>4.9142857142857146</v>
      </c>
      <c r="O19">
        <f>N19*'Chest&amp;Cards&amp;Offer'!$D$7</f>
        <v>24.571428571428573</v>
      </c>
      <c r="P19">
        <f>N19*'Chest&amp;Cards&amp;Offer'!$D$6</f>
        <v>98.285714285714292</v>
      </c>
      <c r="Q19">
        <f>N19*'Chest&amp;Cards&amp;Offer'!$D$5</f>
        <v>412800</v>
      </c>
      <c r="S19">
        <f>L19/'Chest&amp;Cards&amp;Offer'!$E$5</f>
        <v>0.94666666666666666</v>
      </c>
      <c r="T19" t="s">
        <v>673</v>
      </c>
    </row>
    <row r="20" spans="1:20" ht="51" x14ac:dyDescent="0.2">
      <c r="A20" s="82">
        <v>16</v>
      </c>
      <c r="B20" s="39">
        <v>16</v>
      </c>
      <c r="C20" s="83" t="s">
        <v>50</v>
      </c>
      <c r="D20" s="39">
        <v>3</v>
      </c>
      <c r="E20" s="39" t="s">
        <v>648</v>
      </c>
      <c r="F20" s="81"/>
      <c r="H20" s="17" t="s">
        <v>663</v>
      </c>
      <c r="L20">
        <f>'Dungeon&amp;Framework'!DT20</f>
        <v>384000</v>
      </c>
      <c r="M20">
        <f>'Dungeon&amp;Framework'!BX20</f>
        <v>460800</v>
      </c>
      <c r="N20">
        <f>M20/'Chest&amp;Cards&amp;Offer'!$D$10</f>
        <v>5.4857142857142858</v>
      </c>
      <c r="O20">
        <f>N20*'Chest&amp;Cards&amp;Offer'!$D$7</f>
        <v>27.428571428571431</v>
      </c>
      <c r="P20">
        <f>N20*'Chest&amp;Cards&amp;Offer'!$D$6</f>
        <v>109.71428571428572</v>
      </c>
      <c r="Q20">
        <f>N20*'Chest&amp;Cards&amp;Offer'!$D$5</f>
        <v>460800</v>
      </c>
      <c r="S20">
        <f>L20/'Chest&amp;Cards&amp;Offer'!$E$5</f>
        <v>1.0666666666666667</v>
      </c>
    </row>
    <row r="21" spans="1:20" x14ac:dyDescent="0.2">
      <c r="A21" s="82">
        <v>17</v>
      </c>
      <c r="B21" s="39">
        <v>17</v>
      </c>
      <c r="C21" s="84" t="s">
        <v>51</v>
      </c>
      <c r="D21" s="39">
        <v>3</v>
      </c>
      <c r="E21" s="39" t="s">
        <v>649</v>
      </c>
      <c r="F21" s="81"/>
      <c r="L21">
        <f>'Dungeon&amp;Framework'!DT21</f>
        <v>427200</v>
      </c>
      <c r="M21">
        <f>'Dungeon&amp;Framework'!BX21</f>
        <v>508800</v>
      </c>
      <c r="N21">
        <f>M21/'Chest&amp;Cards&amp;Offer'!$D$10</f>
        <v>6.0571428571428569</v>
      </c>
      <c r="O21">
        <f>N21*'Chest&amp;Cards&amp;Offer'!$D$7</f>
        <v>30.285714285714285</v>
      </c>
      <c r="P21">
        <f>N21*'Chest&amp;Cards&amp;Offer'!$D$6</f>
        <v>121.14285714285714</v>
      </c>
      <c r="Q21">
        <f>N21*'Chest&amp;Cards&amp;Offer'!$D$5</f>
        <v>508800</v>
      </c>
      <c r="S21">
        <f>L21/'Chest&amp;Cards&amp;Offer'!$E$5</f>
        <v>1.1866666666666668</v>
      </c>
    </row>
    <row r="22" spans="1:20" x14ac:dyDescent="0.2">
      <c r="A22" s="82">
        <v>18</v>
      </c>
      <c r="B22" s="39">
        <v>18</v>
      </c>
      <c r="C22" s="84" t="s">
        <v>104</v>
      </c>
      <c r="D22" s="39">
        <v>3</v>
      </c>
      <c r="E22" s="39" t="s">
        <v>650</v>
      </c>
      <c r="F22" s="81"/>
      <c r="L22">
        <f>'Dungeon&amp;Framework'!DT22</f>
        <v>475200</v>
      </c>
      <c r="M22">
        <f>'Dungeon&amp;Framework'!BX22</f>
        <v>561600</v>
      </c>
      <c r="N22">
        <f>M22/'Chest&amp;Cards&amp;Offer'!$D$10</f>
        <v>6.6857142857142859</v>
      </c>
      <c r="O22">
        <f>N22*'Chest&amp;Cards&amp;Offer'!$D$7</f>
        <v>33.428571428571431</v>
      </c>
      <c r="P22">
        <f>N22*'Chest&amp;Cards&amp;Offer'!$D$6</f>
        <v>133.71428571428572</v>
      </c>
      <c r="Q22">
        <f>N22*'Chest&amp;Cards&amp;Offer'!$D$5</f>
        <v>561600</v>
      </c>
      <c r="S22">
        <f>L22/'Chest&amp;Cards&amp;Offer'!$E$5</f>
        <v>1.32</v>
      </c>
    </row>
    <row r="23" spans="1:20" x14ac:dyDescent="0.2">
      <c r="A23" s="85"/>
      <c r="B23" s="39"/>
      <c r="C23" s="83"/>
      <c r="D23" s="39"/>
      <c r="E23" s="39"/>
      <c r="F23" s="81"/>
    </row>
  </sheetData>
  <mergeCells count="1">
    <mergeCell ref="F14:F19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504</v>
      </c>
    </row>
    <row r="188" spans="3:3" x14ac:dyDescent="0.2">
      <c r="C188" t="s">
        <v>505</v>
      </c>
    </row>
    <row r="189" spans="3:3" x14ac:dyDescent="0.2">
      <c r="C189" t="s">
        <v>506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G95"/>
  <sheetViews>
    <sheetView workbookViewId="0">
      <pane xSplit="4" ySplit="4" topLeftCell="AE30" activePane="bottomRight" state="frozen"/>
      <selection pane="topRight" activeCell="E1" sqref="E1"/>
      <selection pane="bottomLeft" activeCell="A5" sqref="A5"/>
      <selection pane="bottomRight" activeCell="F54" sqref="F54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2" customWidth="1"/>
    <col min="107" max="107" width="17.1640625" customWidth="1"/>
    <col min="108" max="108" width="13.6640625" customWidth="1"/>
    <col min="109" max="109" width="19.1640625" customWidth="1"/>
    <col min="110" max="110" width="22" style="75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83203125" customWidth="1"/>
    <col min="151" max="151" width="11.1640625" style="5" customWidth="1"/>
    <col min="153" max="153" width="38" customWidth="1"/>
    <col min="154" max="154" width="24.5" customWidth="1"/>
    <col min="155" max="155" width="27.5" customWidth="1"/>
    <col min="156" max="157" width="23" customWidth="1"/>
    <col min="158" max="158" width="20.83203125" customWidth="1"/>
    <col min="160" max="160" width="14.33203125" customWidth="1"/>
    <col min="161" max="161" width="14.6640625" customWidth="1"/>
    <col min="162" max="162" width="13.83203125" customWidth="1"/>
    <col min="163" max="163" width="14.1640625" customWidth="1"/>
    <col min="187" max="187" width="0" hidden="1" customWidth="1"/>
    <col min="207" max="207" width="29.33203125" customWidth="1"/>
    <col min="208" max="208" width="18.83203125" style="31" customWidth="1"/>
    <col min="209" max="209" width="16.1640625" style="31" customWidth="1"/>
    <col min="210" max="210" width="25.5" style="31" customWidth="1"/>
    <col min="212" max="215" width="10.83203125" style="31"/>
    <col min="217" max="219" width="10.83203125" style="32"/>
    <col min="221" max="223" width="10.83203125" style="32"/>
    <col min="225" max="227" width="10.83203125" style="32"/>
    <col min="229" max="231" width="10.83203125" style="32"/>
    <col min="232" max="232" width="10.83203125" style="34"/>
    <col min="234" max="236" width="10.83203125" style="35"/>
    <col min="239" max="241" width="10.83203125" style="35"/>
  </cols>
  <sheetData>
    <row r="1" spans="1:241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540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G1">
        <v>40</v>
      </c>
      <c r="FH1">
        <v>41</v>
      </c>
      <c r="FI1">
        <v>42</v>
      </c>
      <c r="FJ1">
        <v>43</v>
      </c>
      <c r="FK1">
        <v>44</v>
      </c>
      <c r="FL1">
        <v>45</v>
      </c>
      <c r="FM1">
        <v>46</v>
      </c>
      <c r="FN1">
        <v>47</v>
      </c>
      <c r="FO1">
        <v>48</v>
      </c>
      <c r="FP1">
        <v>49</v>
      </c>
      <c r="FQ1">
        <v>50</v>
      </c>
      <c r="FR1">
        <v>51</v>
      </c>
      <c r="FS1">
        <v>52</v>
      </c>
      <c r="FT1">
        <v>53</v>
      </c>
      <c r="FU1">
        <v>54</v>
      </c>
      <c r="FV1">
        <v>55</v>
      </c>
      <c r="FW1">
        <v>56</v>
      </c>
      <c r="FX1">
        <v>57</v>
      </c>
      <c r="FY1">
        <v>58</v>
      </c>
      <c r="FZ1">
        <v>59</v>
      </c>
      <c r="GA1">
        <v>60</v>
      </c>
      <c r="GB1">
        <v>61</v>
      </c>
      <c r="GC1">
        <v>62</v>
      </c>
      <c r="GD1">
        <v>63</v>
      </c>
      <c r="GE1">
        <v>64</v>
      </c>
      <c r="GF1">
        <v>65</v>
      </c>
      <c r="GG1">
        <v>66</v>
      </c>
      <c r="GH1">
        <v>67</v>
      </c>
      <c r="GI1">
        <v>68</v>
      </c>
      <c r="GJ1">
        <v>69</v>
      </c>
      <c r="GK1">
        <v>70</v>
      </c>
    </row>
    <row r="2" spans="1:241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535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536</v>
      </c>
      <c r="BW2" s="2"/>
      <c r="BX2" s="2"/>
      <c r="BY2" s="2"/>
      <c r="BZ2" s="2"/>
      <c r="CB2" s="2"/>
      <c r="CC2" s="2" t="s">
        <v>537</v>
      </c>
      <c r="CD2" s="2"/>
      <c r="CF2" s="11"/>
      <c r="CG2" s="11" t="s">
        <v>458</v>
      </c>
      <c r="CH2" s="11"/>
      <c r="CI2" s="11"/>
      <c r="CJ2" s="11"/>
      <c r="CK2" s="50" t="s">
        <v>538</v>
      </c>
      <c r="CL2" s="50"/>
      <c r="CM2" s="50"/>
      <c r="CN2" s="50"/>
      <c r="CO2" s="41"/>
      <c r="CP2" s="41"/>
      <c r="CQ2" s="51"/>
      <c r="CR2" s="51"/>
      <c r="CS2" s="51"/>
      <c r="CT2" s="51"/>
      <c r="CU2" s="51"/>
      <c r="CV2" s="51"/>
      <c r="CW2" s="51"/>
      <c r="CX2" s="51"/>
      <c r="CY2" s="51"/>
      <c r="CZ2" s="51" t="s">
        <v>539</v>
      </c>
      <c r="DA2" s="51"/>
      <c r="DB2" s="73"/>
      <c r="DC2" s="51"/>
      <c r="DD2" s="51"/>
      <c r="DE2" s="51"/>
      <c r="DF2" s="76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541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EW2" s="28" t="s">
        <v>293</v>
      </c>
      <c r="EX2" s="28"/>
      <c r="EY2" s="28"/>
      <c r="EZ2" s="28"/>
      <c r="FA2" s="28"/>
      <c r="FB2" s="28"/>
      <c r="FI2" t="s">
        <v>233</v>
      </c>
      <c r="FW2" t="s">
        <v>238</v>
      </c>
      <c r="GD2" s="6"/>
      <c r="GE2" s="6"/>
      <c r="GF2" s="6"/>
      <c r="GG2" s="6"/>
      <c r="GH2" s="30"/>
      <c r="GI2" s="6" t="s">
        <v>283</v>
      </c>
      <c r="GJ2" s="6"/>
      <c r="GK2" s="6"/>
      <c r="GL2" s="6"/>
      <c r="GM2" s="6"/>
      <c r="GN2" s="6"/>
      <c r="GO2" s="6"/>
      <c r="GP2" s="6"/>
      <c r="GQ2" s="6"/>
      <c r="GR2" s="6"/>
      <c r="GX2" s="27" t="s">
        <v>315</v>
      </c>
      <c r="GY2" s="27"/>
    </row>
    <row r="3" spans="1:241" ht="24" x14ac:dyDescent="0.3">
      <c r="AZ3" s="91" t="s">
        <v>376</v>
      </c>
      <c r="BA3" s="91"/>
      <c r="BB3" s="91"/>
      <c r="BD3" s="91" t="s">
        <v>374</v>
      </c>
      <c r="BE3" s="91"/>
      <c r="BF3" s="91"/>
      <c r="BG3" s="91"/>
      <c r="CG3" t="s">
        <v>471</v>
      </c>
      <c r="CK3" t="s">
        <v>474</v>
      </c>
      <c r="CM3" t="s">
        <v>459</v>
      </c>
      <c r="CQ3" s="91" t="s">
        <v>509</v>
      </c>
      <c r="CR3" s="91"/>
      <c r="CS3" s="91"/>
      <c r="CT3" s="91"/>
      <c r="CU3" s="91"/>
      <c r="CV3" s="91"/>
      <c r="CW3" s="91"/>
      <c r="CX3" s="91"/>
      <c r="CY3" s="46"/>
      <c r="CZ3" s="46"/>
      <c r="DA3" s="46"/>
      <c r="DB3" s="74"/>
      <c r="DC3" s="46"/>
      <c r="DD3" s="46"/>
      <c r="DE3" s="46"/>
      <c r="DF3" s="77"/>
      <c r="DU3" t="s">
        <v>616</v>
      </c>
      <c r="EH3" s="7"/>
      <c r="EW3" s="29" t="s">
        <v>294</v>
      </c>
      <c r="FD3" t="s">
        <v>286</v>
      </c>
      <c r="GD3" s="6"/>
      <c r="GE3" s="6"/>
      <c r="GF3" s="6"/>
      <c r="GG3" s="6"/>
      <c r="GH3" s="30" t="s">
        <v>285</v>
      </c>
      <c r="GI3" s="6"/>
      <c r="GJ3" s="6"/>
      <c r="GK3" s="6"/>
      <c r="GL3" s="6"/>
      <c r="GM3" s="6"/>
      <c r="GN3" s="6"/>
      <c r="GO3" s="6"/>
      <c r="GP3" s="6"/>
      <c r="GQ3" s="6"/>
      <c r="GR3" s="6"/>
      <c r="GX3" s="27" t="s">
        <v>314</v>
      </c>
      <c r="GY3" s="27"/>
      <c r="GZ3" s="96" t="s">
        <v>49</v>
      </c>
      <c r="HA3" s="96"/>
      <c r="HB3" s="96"/>
      <c r="HD3" s="96" t="s">
        <v>50</v>
      </c>
      <c r="HE3" s="96"/>
      <c r="HF3" s="96"/>
      <c r="HI3" s="97" t="s">
        <v>51</v>
      </c>
      <c r="HJ3" s="97"/>
      <c r="HK3" s="97"/>
      <c r="HM3" s="97" t="s">
        <v>104</v>
      </c>
      <c r="HN3" s="97"/>
      <c r="HO3" s="97"/>
      <c r="HQ3" s="97" t="s">
        <v>112</v>
      </c>
      <c r="HR3" s="97"/>
      <c r="HS3" s="97"/>
      <c r="HU3" s="97" t="s">
        <v>113</v>
      </c>
      <c r="HV3" s="97"/>
      <c r="HW3" s="97"/>
      <c r="HZ3" s="98" t="s">
        <v>129</v>
      </c>
      <c r="IA3" s="98"/>
      <c r="IB3" s="98"/>
      <c r="IE3" s="98" t="s">
        <v>105</v>
      </c>
      <c r="IF3" s="98"/>
      <c r="IG3" s="98"/>
    </row>
    <row r="4" spans="1:241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686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9" t="s">
        <v>365</v>
      </c>
      <c r="BH4" s="39" t="s">
        <v>414</v>
      </c>
      <c r="BI4" s="39" t="s">
        <v>409</v>
      </c>
      <c r="BJ4" s="45" t="s">
        <v>415</v>
      </c>
      <c r="BS4" t="s">
        <v>408</v>
      </c>
      <c r="BT4" t="s">
        <v>387</v>
      </c>
      <c r="BU4" t="s">
        <v>396</v>
      </c>
      <c r="BV4" t="s">
        <v>528</v>
      </c>
      <c r="BW4" t="s">
        <v>397</v>
      </c>
      <c r="BX4" t="s">
        <v>595</v>
      </c>
      <c r="BY4" t="s">
        <v>596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476</v>
      </c>
      <c r="CO4" t="s">
        <v>477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530</v>
      </c>
      <c r="CZ4" t="s">
        <v>608</v>
      </c>
      <c r="DA4" t="s">
        <v>617</v>
      </c>
      <c r="DB4" s="72" t="s">
        <v>609</v>
      </c>
      <c r="DC4" t="s">
        <v>510</v>
      </c>
      <c r="DD4" t="s">
        <v>511</v>
      </c>
      <c r="DE4" t="s">
        <v>512</v>
      </c>
      <c r="DF4" s="75" t="s">
        <v>610</v>
      </c>
      <c r="DG4" t="s">
        <v>611</v>
      </c>
      <c r="DH4" t="s">
        <v>533</v>
      </c>
      <c r="DI4" t="s">
        <v>612</v>
      </c>
      <c r="DJ4" t="s">
        <v>613</v>
      </c>
      <c r="DK4" t="s">
        <v>523</v>
      </c>
      <c r="DL4" t="s">
        <v>514</v>
      </c>
      <c r="DM4" t="s">
        <v>529</v>
      </c>
      <c r="DN4" t="s">
        <v>614</v>
      </c>
      <c r="DO4" t="s">
        <v>615</v>
      </c>
      <c r="DP4" t="s">
        <v>513</v>
      </c>
      <c r="DQ4" t="s">
        <v>515</v>
      </c>
      <c r="DR4" t="s">
        <v>531</v>
      </c>
      <c r="DS4" t="s">
        <v>534</v>
      </c>
      <c r="DT4" t="s">
        <v>524</v>
      </c>
      <c r="DU4" t="s">
        <v>525</v>
      </c>
      <c r="DV4" t="s">
        <v>526</v>
      </c>
      <c r="DX4" t="s">
        <v>618</v>
      </c>
      <c r="DY4" t="s">
        <v>606</v>
      </c>
      <c r="DZ4" t="s">
        <v>607</v>
      </c>
      <c r="EB4" t="s">
        <v>542</v>
      </c>
      <c r="EC4" t="s">
        <v>543</v>
      </c>
      <c r="ED4" t="s">
        <v>544</v>
      </c>
      <c r="EE4" t="s">
        <v>545</v>
      </c>
      <c r="EF4" t="s">
        <v>546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580</v>
      </c>
      <c r="ES4" s="7" t="s">
        <v>581</v>
      </c>
      <c r="EW4" t="s">
        <v>291</v>
      </c>
      <c r="EX4" t="s">
        <v>295</v>
      </c>
      <c r="EY4" t="s">
        <v>296</v>
      </c>
      <c r="EZ4" t="s">
        <v>297</v>
      </c>
      <c r="FA4" t="s">
        <v>298</v>
      </c>
      <c r="FB4" t="s">
        <v>292</v>
      </c>
      <c r="FD4" t="s">
        <v>287</v>
      </c>
      <c r="FE4" t="s">
        <v>288</v>
      </c>
      <c r="FF4" t="s">
        <v>289</v>
      </c>
      <c r="FG4" t="s">
        <v>290</v>
      </c>
      <c r="FI4" t="s">
        <v>224</v>
      </c>
      <c r="FJ4" t="s">
        <v>225</v>
      </c>
      <c r="FK4" t="s">
        <v>226</v>
      </c>
      <c r="FL4" t="s">
        <v>227</v>
      </c>
      <c r="FM4" t="s">
        <v>228</v>
      </c>
      <c r="FN4" t="s">
        <v>229</v>
      </c>
      <c r="FO4" t="s">
        <v>230</v>
      </c>
      <c r="FP4" t="s">
        <v>231</v>
      </c>
      <c r="FR4" t="s">
        <v>234</v>
      </c>
      <c r="FT4" t="s">
        <v>235</v>
      </c>
      <c r="FW4" t="s">
        <v>239</v>
      </c>
      <c r="FX4" t="s">
        <v>240</v>
      </c>
      <c r="FY4" t="s">
        <v>241</v>
      </c>
      <c r="GD4" s="6"/>
      <c r="GE4" s="6"/>
      <c r="GF4" s="6"/>
      <c r="GG4" s="6"/>
      <c r="GH4" s="6" t="s">
        <v>301</v>
      </c>
      <c r="GI4" s="6"/>
      <c r="GJ4" s="6"/>
      <c r="GK4" s="6"/>
      <c r="GL4" s="6"/>
      <c r="GM4" s="6"/>
      <c r="GN4" s="6"/>
      <c r="GO4" s="6"/>
      <c r="GP4" s="6"/>
      <c r="GQ4" s="6"/>
      <c r="GR4" s="6"/>
      <c r="GT4" t="s">
        <v>313</v>
      </c>
      <c r="GX4" t="s">
        <v>312</v>
      </c>
      <c r="GZ4" s="31" t="s">
        <v>309</v>
      </c>
      <c r="HA4" s="31" t="s">
        <v>311</v>
      </c>
      <c r="HB4" s="31" t="s">
        <v>310</v>
      </c>
      <c r="HD4" s="31" t="s">
        <v>309</v>
      </c>
      <c r="HE4" s="31" t="s">
        <v>311</v>
      </c>
      <c r="HF4" s="31" t="s">
        <v>310</v>
      </c>
      <c r="HI4" s="33" t="s">
        <v>309</v>
      </c>
      <c r="HJ4" s="33" t="s">
        <v>311</v>
      </c>
      <c r="HK4" s="33" t="s">
        <v>310</v>
      </c>
      <c r="HM4" s="33" t="s">
        <v>309</v>
      </c>
      <c r="HN4" s="33" t="s">
        <v>311</v>
      </c>
      <c r="HO4" s="33" t="s">
        <v>310</v>
      </c>
      <c r="HQ4" s="33" t="s">
        <v>309</v>
      </c>
      <c r="HR4" s="33" t="s">
        <v>311</v>
      </c>
      <c r="HS4" s="33" t="s">
        <v>310</v>
      </c>
      <c r="HU4" s="33" t="s">
        <v>309</v>
      </c>
      <c r="HV4" s="33" t="s">
        <v>311</v>
      </c>
      <c r="HW4" s="33" t="s">
        <v>310</v>
      </c>
      <c r="HZ4" s="36" t="s">
        <v>309</v>
      </c>
      <c r="IA4" s="36" t="s">
        <v>311</v>
      </c>
      <c r="IB4" s="36" t="s">
        <v>310</v>
      </c>
      <c r="IE4" s="36" t="s">
        <v>309</v>
      </c>
      <c r="IF4" s="36" t="s">
        <v>311</v>
      </c>
      <c r="IG4" s="36" t="s">
        <v>310</v>
      </c>
    </row>
    <row r="5" spans="1:241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94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1200</v>
      </c>
      <c r="AT5">
        <f>SUM(AO5:AP5)*'Chest&amp;Cards&amp;Offer'!$N$5</f>
        <v>0</v>
      </c>
      <c r="AU5" s="2">
        <f>AS5</f>
        <v>1200</v>
      </c>
      <c r="AW5" s="41">
        <v>0</v>
      </c>
      <c r="AX5">
        <f>AU5*(1-AW5)</f>
        <v>1200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1200</v>
      </c>
      <c r="BZ5" s="47">
        <f>(BX5-BY5)/BY5</f>
        <v>7</v>
      </c>
      <c r="CG5">
        <f>BJ5</f>
        <v>3</v>
      </c>
      <c r="CH5" s="92" t="s">
        <v>460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8">
        <v>0</v>
      </c>
      <c r="DB5" s="72">
        <f>CZ5*(1-DA5)</f>
        <v>15000</v>
      </c>
      <c r="DC5">
        <f>SUM($DB$5:DB5)</f>
        <v>15000</v>
      </c>
      <c r="DD5" s="48">
        <v>0</v>
      </c>
      <c r="DE5" s="48">
        <f>1-DD5</f>
        <v>1</v>
      </c>
      <c r="DF5" s="75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91">
        <f>SUM(DI5:DI22)</f>
        <v>915000</v>
      </c>
      <c r="DO5" s="91">
        <f>DK22</f>
        <v>54</v>
      </c>
      <c r="DP5">
        <f>DJ5/DK5</f>
        <v>5000</v>
      </c>
      <c r="DQ5" s="91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91">
        <f>SUM(DX5:DX64)*EA77/(DY64)/100</f>
        <v>122.30282947544518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T5" s="49"/>
      <c r="EW5" t="s">
        <v>299</v>
      </c>
      <c r="GD5" t="s">
        <v>242</v>
      </c>
      <c r="GO5" t="s">
        <v>279</v>
      </c>
      <c r="GT5" t="s">
        <v>316</v>
      </c>
    </row>
    <row r="6" spans="1:241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94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2400</v>
      </c>
      <c r="AT6">
        <f>SUM(AO6:AP6)*'Chest&amp;Cards&amp;Offer'!$N$5</f>
        <v>0</v>
      </c>
      <c r="AU6" s="2">
        <f>AS6-AS5</f>
        <v>1200</v>
      </c>
      <c r="AW6" s="41">
        <v>0</v>
      </c>
      <c r="AX6">
        <f t="shared" ref="AX6:AX64" si="3">AU6*(1-AW6)</f>
        <v>1200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2400</v>
      </c>
      <c r="BZ6" s="47">
        <f t="shared" ref="BZ6:BZ64" si="9">(BX6-BY6)/BY6</f>
        <v>9</v>
      </c>
      <c r="CG6">
        <f t="shared" ref="CG6:CG64" si="10">BJ6</f>
        <v>6</v>
      </c>
      <c r="CH6" s="92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8">
        <v>0</v>
      </c>
      <c r="DB6" s="72">
        <f t="shared" ref="DB6:DB64" si="13">CZ6*(1-DA6)</f>
        <v>15000</v>
      </c>
      <c r="DC6">
        <f>SUM($DB$5:DB6)</f>
        <v>30000</v>
      </c>
      <c r="DD6" s="48">
        <v>0</v>
      </c>
      <c r="DE6" s="48">
        <f t="shared" ref="DE6:DE22" si="14">1-DD6</f>
        <v>1</v>
      </c>
      <c r="DF6" s="75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91"/>
      <c r="DO6" s="91"/>
      <c r="DP6">
        <f t="shared" ref="DP6:DP64" si="19">DJ6/DK6</f>
        <v>5000</v>
      </c>
      <c r="DQ6" s="91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91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T6" s="49"/>
    </row>
    <row r="7" spans="1:241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94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8400</v>
      </c>
      <c r="AT7">
        <f>SUM(AO7:AP7)*'Chest&amp;Cards&amp;Offer'!$N$5</f>
        <v>0</v>
      </c>
      <c r="AU7" s="2">
        <f t="shared" ref="AU7:AU64" si="29">AS7-AS6</f>
        <v>6000</v>
      </c>
      <c r="AW7" s="41">
        <v>0</v>
      </c>
      <c r="AX7">
        <f t="shared" si="3"/>
        <v>6000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8400</v>
      </c>
      <c r="BZ7" s="47">
        <f t="shared" si="9"/>
        <v>3.5714285714285716</v>
      </c>
      <c r="CG7">
        <f t="shared" si="10"/>
        <v>9</v>
      </c>
      <c r="CH7" s="92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8">
        <v>0</v>
      </c>
      <c r="DB7" s="72">
        <f t="shared" si="13"/>
        <v>30000</v>
      </c>
      <c r="DC7">
        <f>SUM($DB$5:DB7)</f>
        <v>60000</v>
      </c>
      <c r="DD7" s="48">
        <v>0</v>
      </c>
      <c r="DE7" s="48">
        <f t="shared" si="14"/>
        <v>1</v>
      </c>
      <c r="DF7" s="75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91"/>
      <c r="DO7" s="91"/>
      <c r="DP7">
        <f t="shared" si="19"/>
        <v>6666.666666666667</v>
      </c>
      <c r="DQ7" s="91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91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T7" s="49"/>
      <c r="GD7" t="s">
        <v>243</v>
      </c>
      <c r="GF7" t="s">
        <v>247</v>
      </c>
      <c r="GO7" t="s">
        <v>280</v>
      </c>
      <c r="GT7" s="2" t="s">
        <v>317</v>
      </c>
      <c r="GU7" s="2"/>
    </row>
    <row r="8" spans="1:241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94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14400</v>
      </c>
      <c r="AT8">
        <f>SUM(AO8:AP8)*'Chest&amp;Cards&amp;Offer'!$N$5</f>
        <v>0</v>
      </c>
      <c r="AU8" s="2">
        <f t="shared" si="29"/>
        <v>6000</v>
      </c>
      <c r="AW8" s="41">
        <v>0</v>
      </c>
      <c r="AX8">
        <f t="shared" si="3"/>
        <v>6000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14400</v>
      </c>
      <c r="BZ8" s="47">
        <f t="shared" si="9"/>
        <v>3</v>
      </c>
      <c r="CG8">
        <f t="shared" si="10"/>
        <v>12</v>
      </c>
      <c r="CH8" s="92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8">
        <v>0</v>
      </c>
      <c r="DB8" s="72">
        <f t="shared" si="13"/>
        <v>30000</v>
      </c>
      <c r="DC8">
        <f>SUM($DB$5:DB8)</f>
        <v>90000</v>
      </c>
      <c r="DD8" s="48">
        <v>0</v>
      </c>
      <c r="DE8" s="48">
        <f t="shared" si="14"/>
        <v>1</v>
      </c>
      <c r="DF8" s="75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91"/>
      <c r="DO8" s="91"/>
      <c r="DP8">
        <f t="shared" si="19"/>
        <v>7500</v>
      </c>
      <c r="DQ8" s="91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91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T8" s="49"/>
      <c r="GF8" t="s">
        <v>251</v>
      </c>
      <c r="GO8" t="s">
        <v>281</v>
      </c>
    </row>
    <row r="9" spans="1:241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94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26400</v>
      </c>
      <c r="AT9">
        <f>SUM(AO9:AP9)*'Chest&amp;Cards&amp;Offer'!$N$5</f>
        <v>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26400</v>
      </c>
      <c r="BZ9" s="47">
        <f t="shared" si="9"/>
        <v>1.9090909090909092</v>
      </c>
      <c r="CG9">
        <f t="shared" si="10"/>
        <v>15</v>
      </c>
      <c r="CH9" s="92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8">
        <v>0</v>
      </c>
      <c r="DB9" s="72">
        <f t="shared" si="13"/>
        <v>45000</v>
      </c>
      <c r="DC9">
        <f>SUM($DB$5:DB9)</f>
        <v>135000</v>
      </c>
      <c r="DD9" s="48">
        <v>0</v>
      </c>
      <c r="DE9" s="48">
        <f t="shared" si="14"/>
        <v>1</v>
      </c>
      <c r="DF9" s="75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91"/>
      <c r="DO9" s="91"/>
      <c r="DP9">
        <f t="shared" si="19"/>
        <v>9000</v>
      </c>
      <c r="DQ9" s="91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91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T9" s="49"/>
      <c r="GD9" t="s">
        <v>244</v>
      </c>
      <c r="GF9" t="s">
        <v>249</v>
      </c>
      <c r="GO9" t="s">
        <v>282</v>
      </c>
    </row>
    <row r="10" spans="1:241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94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86400</v>
      </c>
      <c r="AT10">
        <f>SUM(AO10:AP10)*'Chest&amp;Cards&amp;Offer'!$N$5</f>
        <v>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86400</v>
      </c>
      <c r="BZ10" s="47">
        <f t="shared" si="9"/>
        <v>0.16666666666666666</v>
      </c>
      <c r="CG10">
        <f t="shared" si="10"/>
        <v>18</v>
      </c>
      <c r="CH10" s="92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8">
        <v>0</v>
      </c>
      <c r="DB10" s="72">
        <f t="shared" si="13"/>
        <v>90000</v>
      </c>
      <c r="DC10">
        <f>SUM($DB$5:DB10)</f>
        <v>225000</v>
      </c>
      <c r="DD10" s="48">
        <v>0</v>
      </c>
      <c r="DE10" s="48">
        <f t="shared" si="14"/>
        <v>1</v>
      </c>
      <c r="DF10" s="75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91"/>
      <c r="DO10" s="91"/>
      <c r="DP10">
        <f t="shared" si="19"/>
        <v>12500</v>
      </c>
      <c r="DQ10" s="91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91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T10" s="49"/>
      <c r="GD10" t="s">
        <v>245</v>
      </c>
      <c r="GF10" t="s">
        <v>248</v>
      </c>
      <c r="GO10" t="s">
        <v>284</v>
      </c>
    </row>
    <row r="11" spans="1:241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94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98400</v>
      </c>
      <c r="AT11">
        <f>SUM(AO11:AP11)*'Chest&amp;Cards&amp;Offer'!$N$5</f>
        <v>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98400</v>
      </c>
      <c r="BZ11" s="47">
        <f t="shared" si="9"/>
        <v>0.26829268292682928</v>
      </c>
      <c r="CG11">
        <f t="shared" si="10"/>
        <v>21</v>
      </c>
      <c r="CH11" s="92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8">
        <v>0</v>
      </c>
      <c r="DB11" s="72">
        <f t="shared" si="13"/>
        <v>45000</v>
      </c>
      <c r="DC11">
        <f>SUM($DB$5:DB11)</f>
        <v>270000</v>
      </c>
      <c r="DD11" s="48">
        <v>0</v>
      </c>
      <c r="DE11" s="48">
        <f t="shared" si="14"/>
        <v>1</v>
      </c>
      <c r="DF11" s="75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91"/>
      <c r="DO11" s="91"/>
      <c r="DP11">
        <f t="shared" si="19"/>
        <v>12857.142857142857</v>
      </c>
      <c r="DQ11" s="91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91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T11" s="49"/>
      <c r="GD11" t="s">
        <v>246</v>
      </c>
    </row>
    <row r="12" spans="1:241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94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158400</v>
      </c>
      <c r="AT12">
        <f>SUM(AO12:AP12)*'Chest&amp;Cards&amp;Offer'!$N$5</f>
        <v>120000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158400</v>
      </c>
      <c r="BZ12" s="47">
        <f t="shared" si="9"/>
        <v>-3.0303030303030304E-2</v>
      </c>
      <c r="CG12">
        <f t="shared" si="10"/>
        <v>24</v>
      </c>
      <c r="CH12" s="92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8">
        <v>0</v>
      </c>
      <c r="DB12" s="72">
        <f t="shared" si="13"/>
        <v>90000</v>
      </c>
      <c r="DC12">
        <f>SUM($DB$5:DB12)</f>
        <v>360000</v>
      </c>
      <c r="DD12" s="48">
        <v>0</v>
      </c>
      <c r="DE12" s="48">
        <f t="shared" si="14"/>
        <v>1</v>
      </c>
      <c r="DF12" s="75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91"/>
      <c r="DO12" s="91"/>
      <c r="DP12">
        <f t="shared" si="19"/>
        <v>15000</v>
      </c>
      <c r="DQ12" s="91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91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T12" s="49"/>
      <c r="GF12" t="s">
        <v>250</v>
      </c>
      <c r="GT12" t="s">
        <v>318</v>
      </c>
    </row>
    <row r="13" spans="1:241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94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170400</v>
      </c>
      <c r="AT13">
        <f>SUM(AO13:AP13)*'Chest&amp;Cards&amp;Offer'!$N$5</f>
        <v>480000</v>
      </c>
      <c r="AU13" s="2">
        <f t="shared" si="29"/>
        <v>12000</v>
      </c>
      <c r="AW13" s="41">
        <v>0</v>
      </c>
      <c r="AX13">
        <f t="shared" si="3"/>
        <v>12000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170400</v>
      </c>
      <c r="BZ13" s="47">
        <f t="shared" si="9"/>
        <v>7.0422535211267609E-2</v>
      </c>
      <c r="CG13">
        <f t="shared" si="10"/>
        <v>27</v>
      </c>
      <c r="CH13" s="92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8">
        <v>0</v>
      </c>
      <c r="DB13" s="72">
        <f t="shared" si="13"/>
        <v>60000</v>
      </c>
      <c r="DC13">
        <f>SUM($DB$5:DB13)</f>
        <v>420000</v>
      </c>
      <c r="DD13" s="48">
        <v>0.5</v>
      </c>
      <c r="DE13" s="48">
        <f t="shared" si="14"/>
        <v>0.5</v>
      </c>
      <c r="DF13" s="75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91"/>
      <c r="DO13" s="91"/>
      <c r="DP13">
        <f t="shared" si="19"/>
        <v>14444.444444444445</v>
      </c>
      <c r="DQ13" s="91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91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T13" s="49"/>
    </row>
    <row r="14" spans="1:241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92" t="s">
        <v>183</v>
      </c>
      <c r="G14" t="str">
        <f t="shared" si="2"/>
        <v>紫1</v>
      </c>
      <c r="H14">
        <f>VLOOKUP(G14,Reference1!C:E,3,FALSE)</f>
        <v>579</v>
      </c>
      <c r="I14" s="94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182400</v>
      </c>
      <c r="AT14">
        <f>SUM(AO14:AP14)*'Chest&amp;Cards&amp;Offer'!$N$5</f>
        <v>1080000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182400</v>
      </c>
      <c r="BZ14" s="47">
        <f t="shared" si="9"/>
        <v>0.18421052631578946</v>
      </c>
      <c r="CG14">
        <f t="shared" si="10"/>
        <v>30</v>
      </c>
      <c r="CH14" s="92"/>
      <c r="CI14" s="44">
        <f t="shared" si="11"/>
        <v>10</v>
      </c>
      <c r="CJ14" s="44">
        <f>CI14*'Chest&amp;Cards&amp;Offer'!$J$70</f>
        <v>900</v>
      </c>
      <c r="CK14" s="44"/>
      <c r="CL14" s="44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8">
        <v>0</v>
      </c>
      <c r="DB14" s="72">
        <f t="shared" si="13"/>
        <v>45000</v>
      </c>
      <c r="DC14">
        <f>SUM($DB$5:DB14)</f>
        <v>465000</v>
      </c>
      <c r="DD14" s="48">
        <v>0.5</v>
      </c>
      <c r="DE14" s="48">
        <f t="shared" si="14"/>
        <v>0.5</v>
      </c>
      <c r="DF14" s="75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91"/>
      <c r="DO14" s="91"/>
      <c r="DP14">
        <f t="shared" si="19"/>
        <v>13750</v>
      </c>
      <c r="DQ14" s="91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91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1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92"/>
      <c r="G15" t="str">
        <f t="shared" si="2"/>
        <v>紫2</v>
      </c>
      <c r="H15">
        <f>VLOOKUP(G15,Reference1!C:E,3,FALSE)</f>
        <v>521.1</v>
      </c>
      <c r="I15" s="94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242400</v>
      </c>
      <c r="AT15">
        <f>SUM(AO15:AP15)*'Chest&amp;Cards&amp;Offer'!$N$5</f>
        <v>1080000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242400</v>
      </c>
      <c r="BZ15" s="47">
        <f t="shared" si="9"/>
        <v>2.9702970297029702E-2</v>
      </c>
      <c r="CG15">
        <f t="shared" si="10"/>
        <v>33</v>
      </c>
      <c r="CH15" s="92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8">
        <v>0</v>
      </c>
      <c r="DB15" s="72">
        <f t="shared" si="13"/>
        <v>90000</v>
      </c>
      <c r="DC15">
        <f>SUM($DB$5:DB15)</f>
        <v>555000</v>
      </c>
      <c r="DD15" s="48">
        <v>0.5</v>
      </c>
      <c r="DE15" s="48">
        <f t="shared" si="14"/>
        <v>0.5</v>
      </c>
      <c r="DF15" s="75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91"/>
      <c r="DO15" s="91"/>
      <c r="DP15">
        <f t="shared" si="19"/>
        <v>13863.636363636364</v>
      </c>
      <c r="DQ15" s="91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91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EW15" t="s">
        <v>300</v>
      </c>
    </row>
    <row r="16" spans="1:241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92"/>
      <c r="G16" t="str">
        <f t="shared" si="2"/>
        <v>紫3</v>
      </c>
      <c r="H16">
        <f>VLOOKUP(G16,Reference1!C:E,3,FALSE)</f>
        <v>463.20000000000005</v>
      </c>
      <c r="I16" s="94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362400</v>
      </c>
      <c r="AT16">
        <f>SUM(AO16:AP16)*'Chest&amp;Cards&amp;Offer'!$N$5</f>
        <v>1080000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362400</v>
      </c>
      <c r="BZ16" s="47">
        <f t="shared" si="9"/>
        <v>-0.20529801324503311</v>
      </c>
      <c r="CG16">
        <f t="shared" si="10"/>
        <v>36</v>
      </c>
      <c r="CH16" s="92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8">
        <v>0</v>
      </c>
      <c r="DB16" s="72">
        <f t="shared" si="13"/>
        <v>180000</v>
      </c>
      <c r="DC16">
        <f>SUM($DB$5:DB16)</f>
        <v>735000</v>
      </c>
      <c r="DD16" s="48">
        <v>0.5</v>
      </c>
      <c r="DE16" s="48">
        <f t="shared" si="14"/>
        <v>0.5</v>
      </c>
      <c r="DF16" s="75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91"/>
      <c r="DO16" s="91"/>
      <c r="DP16">
        <f t="shared" si="19"/>
        <v>15208.333333333334</v>
      </c>
      <c r="DQ16" s="91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91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3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92"/>
      <c r="G17" t="str">
        <f t="shared" si="2"/>
        <v>紫1</v>
      </c>
      <c r="H17">
        <f>VLOOKUP(G17,Reference1!C:E,3,FALSE)</f>
        <v>579</v>
      </c>
      <c r="I17" s="94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374400</v>
      </c>
      <c r="AT17">
        <f>SUM(AO17:AP17)*'Chest&amp;Cards&amp;Offer'!$N$5</f>
        <v>1080000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374400</v>
      </c>
      <c r="BZ17" s="47">
        <f t="shared" si="9"/>
        <v>-0.12820512820512819</v>
      </c>
      <c r="CG17">
        <f t="shared" si="10"/>
        <v>39</v>
      </c>
      <c r="CH17" s="92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8">
        <v>0</v>
      </c>
      <c r="DB17" s="72">
        <f t="shared" si="13"/>
        <v>45000</v>
      </c>
      <c r="DC17">
        <f>SUM($DB$5:DB17)</f>
        <v>780000</v>
      </c>
      <c r="DD17" s="48">
        <v>0.5</v>
      </c>
      <c r="DE17" s="48">
        <f t="shared" si="14"/>
        <v>0.5</v>
      </c>
      <c r="DF17" s="75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91"/>
      <c r="DO17" s="91"/>
      <c r="DP17">
        <f t="shared" si="19"/>
        <v>14615.384615384615</v>
      </c>
      <c r="DQ17" s="91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91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3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92"/>
      <c r="G18" t="str">
        <f t="shared" si="2"/>
        <v>紫2</v>
      </c>
      <c r="H18">
        <f>VLOOKUP(G18,Reference1!C:E,3,FALSE)</f>
        <v>521.1</v>
      </c>
      <c r="I18" s="94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434400</v>
      </c>
      <c r="AT18">
        <f>SUM(AO18:AP18)*'Chest&amp;Cards&amp;Offer'!$N$5</f>
        <v>1200000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434400</v>
      </c>
      <c r="BZ18" s="47">
        <f t="shared" si="9"/>
        <v>-0.14917127071823205</v>
      </c>
      <c r="CG18">
        <f t="shared" si="10"/>
        <v>42</v>
      </c>
      <c r="CH18" s="92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8">
        <v>0</v>
      </c>
      <c r="DB18" s="72">
        <f t="shared" si="13"/>
        <v>90000</v>
      </c>
      <c r="DC18">
        <f>SUM($DB$5:DB18)</f>
        <v>870000</v>
      </c>
      <c r="DD18" s="48">
        <v>0.5</v>
      </c>
      <c r="DE18" s="48">
        <f t="shared" si="14"/>
        <v>0.5</v>
      </c>
      <c r="DF18" s="75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91"/>
      <c r="DO18" s="91"/>
      <c r="DP18">
        <f t="shared" si="19"/>
        <v>14642.857142857143</v>
      </c>
      <c r="DQ18" s="91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91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3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92"/>
      <c r="G19" t="str">
        <f t="shared" si="2"/>
        <v>紫3</v>
      </c>
      <c r="H19">
        <f>VLOOKUP(G19,Reference1!C:E,3,FALSE)</f>
        <v>463.20000000000005</v>
      </c>
      <c r="I19" s="94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554400</v>
      </c>
      <c r="AT19">
        <f>SUM(AO19:AP19)*'Chest&amp;Cards&amp;Offer'!$N$5</f>
        <v>1560000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554400</v>
      </c>
      <c r="BZ19" s="47">
        <f t="shared" si="9"/>
        <v>-0.25541125541125542</v>
      </c>
      <c r="CG19">
        <f t="shared" si="10"/>
        <v>45</v>
      </c>
      <c r="CH19" s="92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8">
        <v>0</v>
      </c>
      <c r="DB19" s="72">
        <f t="shared" si="13"/>
        <v>180000</v>
      </c>
      <c r="DC19">
        <f>SUM($DB$5:DB19)</f>
        <v>1050000</v>
      </c>
      <c r="DD19" s="48">
        <v>0.5</v>
      </c>
      <c r="DE19" s="48">
        <f t="shared" si="14"/>
        <v>0.5</v>
      </c>
      <c r="DF19" s="75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91"/>
      <c r="DO19" s="91"/>
      <c r="DP19">
        <f t="shared" si="19"/>
        <v>15666.666666666666</v>
      </c>
      <c r="DQ19" s="91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91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3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94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566400</v>
      </c>
      <c r="AT20">
        <f>SUM(AO20:AP20)*'Chest&amp;Cards&amp;Offer'!$N$5</f>
        <v>2160000</v>
      </c>
      <c r="AU20" s="2">
        <f t="shared" si="29"/>
        <v>12000</v>
      </c>
      <c r="AW20" s="41">
        <v>0</v>
      </c>
      <c r="AX20">
        <f t="shared" si="3"/>
        <v>12000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566400</v>
      </c>
      <c r="BZ20" s="47">
        <f t="shared" si="9"/>
        <v>-0.1864406779661017</v>
      </c>
      <c r="CG20">
        <f t="shared" si="10"/>
        <v>48</v>
      </c>
      <c r="CH20" s="92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8">
        <v>0</v>
      </c>
      <c r="DB20" s="72">
        <f t="shared" si="13"/>
        <v>60000</v>
      </c>
      <c r="DC20">
        <f>SUM($DB$5:DB20)</f>
        <v>1110000</v>
      </c>
      <c r="DD20" s="48">
        <v>0.5</v>
      </c>
      <c r="DE20" s="48">
        <f t="shared" si="14"/>
        <v>0.5</v>
      </c>
      <c r="DF20" s="75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91"/>
      <c r="DO20" s="91"/>
      <c r="DP20">
        <f t="shared" si="19"/>
        <v>15312.5</v>
      </c>
      <c r="DQ20" s="91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91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3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94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686400</v>
      </c>
      <c r="AT21">
        <f>SUM(AO21:AP21)*'Chest&amp;Cards&amp;Offer'!$N$5</f>
        <v>2160000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566400</v>
      </c>
      <c r="BZ21" s="47">
        <f t="shared" si="9"/>
        <v>-0.10169491525423729</v>
      </c>
      <c r="CG21">
        <f t="shared" si="10"/>
        <v>51</v>
      </c>
      <c r="CH21" s="92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8">
        <v>0</v>
      </c>
      <c r="DB21" s="72">
        <f t="shared" si="13"/>
        <v>180000</v>
      </c>
      <c r="DC21">
        <f>SUM($DB$5:DB21)</f>
        <v>1290000</v>
      </c>
      <c r="DD21" s="48">
        <v>0.5</v>
      </c>
      <c r="DE21" s="48">
        <f t="shared" si="14"/>
        <v>0.5</v>
      </c>
      <c r="DF21" s="75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91"/>
      <c r="DO21" s="91"/>
      <c r="DP21">
        <f t="shared" si="19"/>
        <v>16176.470588235294</v>
      </c>
      <c r="DQ21" s="91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91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3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94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806400</v>
      </c>
      <c r="AT22">
        <f>SUM(AO22:AP22)*'Chest&amp;Cards&amp;Offer'!$N$5</f>
        <v>2160000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566400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566400</v>
      </c>
      <c r="BZ22" s="47">
        <f t="shared" si="9"/>
        <v>-8.4745762711864406E-3</v>
      </c>
      <c r="CB22">
        <f>BF22</f>
        <v>10</v>
      </c>
      <c r="CC22">
        <f>CB22/2</f>
        <v>5</v>
      </c>
      <c r="CD22" t="s">
        <v>422</v>
      </c>
      <c r="CF22">
        <f>BJ22</f>
        <v>54</v>
      </c>
      <c r="CG22">
        <f>BJ22</f>
        <v>54</v>
      </c>
      <c r="CH22" s="92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CK22*2</f>
        <v>3906.6666666666665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8">
        <v>0</v>
      </c>
      <c r="DB22" s="72">
        <f t="shared" si="13"/>
        <v>180000</v>
      </c>
      <c r="DC22">
        <f>SUM($DB$5:DB22)</f>
        <v>1470000</v>
      </c>
      <c r="DD22" s="48">
        <v>0.5</v>
      </c>
      <c r="DE22" s="48">
        <f t="shared" si="14"/>
        <v>0.5</v>
      </c>
      <c r="DF22" s="75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91"/>
      <c r="DO22" s="91"/>
      <c r="DP22">
        <f t="shared" si="19"/>
        <v>16944.444444444445</v>
      </c>
      <c r="DQ22" s="91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91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3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95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830400</v>
      </c>
      <c r="AT23">
        <f>SUM(AO23:AP23)*'Chest&amp;Cards&amp;Offer'!$N$5</f>
        <v>2160000</v>
      </c>
      <c r="AU23" s="11">
        <f t="shared" si="29"/>
        <v>24000</v>
      </c>
      <c r="AW23" s="42">
        <v>0.3</v>
      </c>
      <c r="AX23">
        <f t="shared" si="3"/>
        <v>16800</v>
      </c>
      <c r="AY23">
        <f t="shared" si="4"/>
        <v>7200</v>
      </c>
      <c r="AZ23">
        <f>SUM($AY$5:AY23)</f>
        <v>247200</v>
      </c>
      <c r="BA23">
        <f>AZ23/'Chest&amp;Cards&amp;Offer'!$R$3</f>
        <v>1030</v>
      </c>
      <c r="BB23">
        <f t="shared" si="5"/>
        <v>10.3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583200</v>
      </c>
      <c r="BZ23" s="47">
        <f t="shared" si="9"/>
        <v>0.1440329218106996</v>
      </c>
      <c r="CC23" t="s">
        <v>424</v>
      </c>
      <c r="CG23">
        <f t="shared" si="10"/>
        <v>57</v>
      </c>
      <c r="CH23" s="91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8">
        <v>0.4</v>
      </c>
      <c r="DB23" s="72">
        <f t="shared" si="13"/>
        <v>72000</v>
      </c>
      <c r="DC23">
        <f>SUM($DB$5:DB23)</f>
        <v>1542000</v>
      </c>
      <c r="DD23" s="48">
        <v>0.5</v>
      </c>
      <c r="DE23" s="48">
        <f t="shared" ref="DE23:DE62" si="34">1-DD23</f>
        <v>0.5</v>
      </c>
      <c r="DF23" s="75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91">
        <f>SUM(DI23:DI40)</f>
        <v>1986000</v>
      </c>
      <c r="DO23" s="91">
        <f>DK40-DK22</f>
        <v>66</v>
      </c>
      <c r="DP23">
        <f t="shared" si="19"/>
        <v>16684.21052631579</v>
      </c>
      <c r="DQ23" s="91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10.3</v>
      </c>
      <c r="DZ23" s="91"/>
      <c r="EB23">
        <f t="shared" si="25"/>
        <v>10.3</v>
      </c>
      <c r="EC23">
        <f>B23*(3-1.333)*'Chest&amp;Cards&amp;Offer'!$J$70/100</f>
        <v>28.505700000000001</v>
      </c>
      <c r="ED23">
        <f t="shared" si="26"/>
        <v>38.805700000000002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EW23" s="11" t="s">
        <v>302</v>
      </c>
    </row>
    <row r="24" spans="1:153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95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854400</v>
      </c>
      <c r="AT24">
        <f>SUM(AO24:AP24)*'Chest&amp;Cards&amp;Offer'!$N$5</f>
        <v>2160000</v>
      </c>
      <c r="AU24" s="11">
        <f t="shared" si="29"/>
        <v>24000</v>
      </c>
      <c r="AW24" s="42">
        <v>0.3</v>
      </c>
      <c r="AX24">
        <f>AU24*(1-AW24)</f>
        <v>16800</v>
      </c>
      <c r="AY24">
        <f t="shared" si="4"/>
        <v>7200</v>
      </c>
      <c r="AZ24">
        <f>SUM($AY$5:AY24)</f>
        <v>254400</v>
      </c>
      <c r="BA24">
        <f>AZ24/'Chest&amp;Cards&amp;Offer'!$R$3</f>
        <v>1060</v>
      </c>
      <c r="BB24">
        <f t="shared" si="5"/>
        <v>10.6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600000</v>
      </c>
      <c r="BZ24" s="47">
        <f t="shared" si="9"/>
        <v>0.30399999999999999</v>
      </c>
      <c r="CG24">
        <f t="shared" si="10"/>
        <v>60</v>
      </c>
      <c r="CH24" s="91"/>
      <c r="CI24" s="44">
        <f t="shared" ref="CI24:CJ64" si="35">CI6</f>
        <v>2</v>
      </c>
      <c r="CJ24" s="44">
        <f t="shared" si="35"/>
        <v>180</v>
      </c>
      <c r="CK24" s="43"/>
      <c r="CL24" s="44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8">
        <v>0.4</v>
      </c>
      <c r="DB24" s="72">
        <f t="shared" si="13"/>
        <v>72000</v>
      </c>
      <c r="DC24">
        <f>SUM($DB$5:DB24)</f>
        <v>1614000</v>
      </c>
      <c r="DD24" s="48">
        <v>0.5</v>
      </c>
      <c r="DE24" s="48">
        <f t="shared" si="34"/>
        <v>0.5</v>
      </c>
      <c r="DF24" s="75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91"/>
      <c r="DO24" s="91"/>
      <c r="DP24">
        <f t="shared" si="19"/>
        <v>16450</v>
      </c>
      <c r="DQ24" s="91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10.6</v>
      </c>
      <c r="DZ24" s="91"/>
      <c r="EB24">
        <f t="shared" si="25"/>
        <v>10.6</v>
      </c>
      <c r="EC24">
        <f>B24*(3-1.333)*'Chest&amp;Cards&amp;Offer'!$J$70/100</f>
        <v>30.006000000000004</v>
      </c>
      <c r="ED24">
        <f t="shared" si="26"/>
        <v>40.606000000000002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EW24" t="s">
        <v>303</v>
      </c>
    </row>
    <row r="25" spans="1:153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95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890400</v>
      </c>
      <c r="AT25">
        <f>SUM(AO25:AP25)*'Chest&amp;Cards&amp;Offer'!$N$5</f>
        <v>2160000</v>
      </c>
      <c r="AU25" s="11">
        <f t="shared" si="29"/>
        <v>36000</v>
      </c>
      <c r="AW25" s="42">
        <v>0.3</v>
      </c>
      <c r="AX25">
        <f>AU25*(1-AW25)</f>
        <v>25200</v>
      </c>
      <c r="AY25">
        <f t="shared" si="4"/>
        <v>10800</v>
      </c>
      <c r="AZ25">
        <f>SUM($AY$5:AY25)</f>
        <v>265200</v>
      </c>
      <c r="BA25">
        <f>AZ25/'Chest&amp;Cards&amp;Offer'!$R$3</f>
        <v>1105</v>
      </c>
      <c r="BB25">
        <f t="shared" si="5"/>
        <v>11.05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625200</v>
      </c>
      <c r="BZ25" s="47">
        <f t="shared" si="9"/>
        <v>0.43570057581573896</v>
      </c>
      <c r="CG25">
        <f t="shared" si="10"/>
        <v>63</v>
      </c>
      <c r="CH25" s="91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8">
        <v>0.4</v>
      </c>
      <c r="DB25" s="72">
        <f t="shared" si="13"/>
        <v>210000</v>
      </c>
      <c r="DC25">
        <f>SUM($DB$5:DB25)</f>
        <v>1824000</v>
      </c>
      <c r="DD25" s="48">
        <v>0.5</v>
      </c>
      <c r="DE25" s="48">
        <f t="shared" si="34"/>
        <v>0.5</v>
      </c>
      <c r="DF25" s="75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91"/>
      <c r="DO25" s="91"/>
      <c r="DP25">
        <f t="shared" si="19"/>
        <v>17333.333333333332</v>
      </c>
      <c r="DQ25" s="91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11.05</v>
      </c>
      <c r="DZ25" s="91"/>
      <c r="EB25">
        <f t="shared" si="25"/>
        <v>11.05</v>
      </c>
      <c r="EC25">
        <f>B25*(3-1.333)*'Chest&amp;Cards&amp;Offer'!$J$70/100</f>
        <v>31.506299999999996</v>
      </c>
      <c r="ED25">
        <f t="shared" si="26"/>
        <v>42.556299999999993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3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95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926400</v>
      </c>
      <c r="AT26">
        <f>SUM(AO26:AP26)*'Chest&amp;Cards&amp;Offer'!$N$5</f>
        <v>2160000</v>
      </c>
      <c r="AU26" s="11">
        <f t="shared" si="29"/>
        <v>36000</v>
      </c>
      <c r="AW26" s="42">
        <v>0.3</v>
      </c>
      <c r="AX26">
        <f t="shared" si="3"/>
        <v>25200</v>
      </c>
      <c r="AY26">
        <f t="shared" si="4"/>
        <v>10800</v>
      </c>
      <c r="AZ26">
        <f>SUM($AY$5:AY26)</f>
        <v>276000</v>
      </c>
      <c r="BA26">
        <f>AZ26/'Chest&amp;Cards&amp;Offer'!$R$3</f>
        <v>1150</v>
      </c>
      <c r="BB26">
        <f t="shared" si="5"/>
        <v>11.5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650400</v>
      </c>
      <c r="BZ26" s="47">
        <f t="shared" si="9"/>
        <v>0.5719557195571956</v>
      </c>
      <c r="CG26">
        <f t="shared" si="10"/>
        <v>66</v>
      </c>
      <c r="CH26" s="91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8">
        <v>0.4</v>
      </c>
      <c r="DB26" s="72">
        <f t="shared" si="13"/>
        <v>210000</v>
      </c>
      <c r="DC26">
        <f>SUM($DB$5:DB26)</f>
        <v>2034000</v>
      </c>
      <c r="DD26" s="48">
        <v>0.5</v>
      </c>
      <c r="DE26" s="48">
        <f t="shared" si="34"/>
        <v>0.5</v>
      </c>
      <c r="DF26" s="75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91"/>
      <c r="DO26" s="91"/>
      <c r="DP26">
        <f t="shared" si="19"/>
        <v>18136.363636363636</v>
      </c>
      <c r="DQ26" s="91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11.5</v>
      </c>
      <c r="DZ26" s="91"/>
      <c r="EB26">
        <f t="shared" si="25"/>
        <v>11.5</v>
      </c>
      <c r="EC26">
        <f>B26*(3-1.333)*'Chest&amp;Cards&amp;Offer'!$J$70/100</f>
        <v>33.006599999999999</v>
      </c>
      <c r="ED26">
        <f t="shared" si="26"/>
        <v>44.506599999999999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EW26" t="s">
        <v>304</v>
      </c>
    </row>
    <row r="27" spans="1:153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95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1166400</v>
      </c>
      <c r="AT27">
        <f>SUM(AO27:AP27)*'Chest&amp;Cards&amp;Offer'!$N$5</f>
        <v>2160000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348000</v>
      </c>
      <c r="BA27">
        <f>AZ27/'Chest&amp;Cards&amp;Offer'!$R$3</f>
        <v>1450</v>
      </c>
      <c r="BB27">
        <f t="shared" si="5"/>
        <v>14.5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818400</v>
      </c>
      <c r="BZ27" s="47">
        <f t="shared" si="9"/>
        <v>0.41348973607038125</v>
      </c>
      <c r="CG27">
        <f t="shared" si="10"/>
        <v>70</v>
      </c>
      <c r="CH27" s="91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8">
        <v>0.4</v>
      </c>
      <c r="DB27" s="72">
        <f t="shared" si="13"/>
        <v>162000</v>
      </c>
      <c r="DC27">
        <f>SUM($DB$5:DB27)</f>
        <v>2196000</v>
      </c>
      <c r="DD27" s="48">
        <v>0.5</v>
      </c>
      <c r="DE27" s="48">
        <f t="shared" si="34"/>
        <v>0.5</v>
      </c>
      <c r="DF27" s="75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91"/>
      <c r="DO27" s="91"/>
      <c r="DP27">
        <f t="shared" si="19"/>
        <v>18257.142857142859</v>
      </c>
      <c r="DQ27" s="91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14.5</v>
      </c>
      <c r="DZ27" s="91"/>
      <c r="EB27">
        <f t="shared" si="25"/>
        <v>14.5</v>
      </c>
      <c r="EC27">
        <f>B27*(3-1.333)*'Chest&amp;Cards&amp;Offer'!$J$70/100</f>
        <v>34.506900000000002</v>
      </c>
      <c r="ED27">
        <f t="shared" si="26"/>
        <v>49.006900000000002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EW27" t="s">
        <v>305</v>
      </c>
    </row>
    <row r="28" spans="1:153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95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1526400</v>
      </c>
      <c r="AT28">
        <f>SUM(AO28:AP28)*'Chest&amp;Cards&amp;Offer'!$N$5</f>
        <v>2160000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456000</v>
      </c>
      <c r="BA28">
        <f>AZ28/'Chest&amp;Cards&amp;Offer'!$R$3</f>
        <v>1900</v>
      </c>
      <c r="BB28">
        <f t="shared" si="5"/>
        <v>19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1070400</v>
      </c>
      <c r="BZ28" s="47">
        <f t="shared" si="9"/>
        <v>0.20627802690582961</v>
      </c>
      <c r="CG28">
        <f t="shared" si="10"/>
        <v>74</v>
      </c>
      <c r="CH28" s="91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8">
        <v>0.4</v>
      </c>
      <c r="DB28" s="72">
        <f t="shared" si="13"/>
        <v>210000</v>
      </c>
      <c r="DC28">
        <f>SUM($DB$5:DB28)</f>
        <v>2406000</v>
      </c>
      <c r="DD28" s="48">
        <v>0.5</v>
      </c>
      <c r="DE28" s="48">
        <f t="shared" si="34"/>
        <v>0.5</v>
      </c>
      <c r="DF28" s="75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91"/>
      <c r="DO28" s="91"/>
      <c r="DP28">
        <f t="shared" si="19"/>
        <v>18689.18918918919</v>
      </c>
      <c r="DQ28" s="91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19</v>
      </c>
      <c r="DZ28" s="91"/>
      <c r="EB28">
        <f t="shared" si="25"/>
        <v>19</v>
      </c>
      <c r="EC28">
        <f>B28*(3-1.333)*'Chest&amp;Cards&amp;Offer'!$J$70/100</f>
        <v>36.007200000000005</v>
      </c>
      <c r="ED28">
        <f t="shared" si="26"/>
        <v>55.007200000000005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EW28" t="s">
        <v>306</v>
      </c>
    </row>
    <row r="29" spans="1:153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95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1766400</v>
      </c>
      <c r="AT29">
        <f>SUM(AO29:AP29)*'Chest&amp;Cards&amp;Offer'!$N$5</f>
        <v>2160000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552000</v>
      </c>
      <c r="BA29">
        <f>AZ29/'Chest&amp;Cards&amp;Offer'!$R$3</f>
        <v>2300</v>
      </c>
      <c r="BB29">
        <f t="shared" si="5"/>
        <v>23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1214400</v>
      </c>
      <c r="BZ29" s="47">
        <f t="shared" si="9"/>
        <v>0.18181818181818182</v>
      </c>
      <c r="CG29">
        <f t="shared" si="10"/>
        <v>78</v>
      </c>
      <c r="CH29" s="91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8">
        <v>0.4</v>
      </c>
      <c r="DB29" s="72">
        <f t="shared" si="13"/>
        <v>162000</v>
      </c>
      <c r="DC29">
        <f>SUM($DB$5:DB29)</f>
        <v>2568000</v>
      </c>
      <c r="DD29" s="48">
        <v>0.5</v>
      </c>
      <c r="DE29" s="48">
        <f t="shared" si="34"/>
        <v>0.5</v>
      </c>
      <c r="DF29" s="75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91"/>
      <c r="DO29" s="91"/>
      <c r="DP29">
        <f t="shared" si="19"/>
        <v>18769.23076923077</v>
      </c>
      <c r="DQ29" s="91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23</v>
      </c>
      <c r="DZ29" s="91"/>
      <c r="EB29">
        <f t="shared" si="25"/>
        <v>23</v>
      </c>
      <c r="EC29">
        <f>B29*(3-1.333)*'Chest&amp;Cards&amp;Offer'!$J$70/100</f>
        <v>37.507500000000007</v>
      </c>
      <c r="ED29">
        <f t="shared" si="26"/>
        <v>60.507500000000007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EW29" t="s">
        <v>307</v>
      </c>
    </row>
    <row r="30" spans="1:153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95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2126400</v>
      </c>
      <c r="AT30">
        <f>SUM(AO30:AP30)*'Chest&amp;Cards&amp;Offer'!$N$5</f>
        <v>3360000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696000</v>
      </c>
      <c r="BA30">
        <f>AZ30/'Chest&amp;Cards&amp;Offer'!$R$3</f>
        <v>2900</v>
      </c>
      <c r="BB30">
        <f t="shared" si="5"/>
        <v>29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1430400</v>
      </c>
      <c r="BZ30" s="47">
        <f t="shared" si="9"/>
        <v>0.11073825503355705</v>
      </c>
      <c r="CG30">
        <f t="shared" si="10"/>
        <v>82</v>
      </c>
      <c r="CH30" s="91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8">
        <v>0.4</v>
      </c>
      <c r="DB30" s="72">
        <f t="shared" si="13"/>
        <v>210000</v>
      </c>
      <c r="DC30">
        <f>SUM($DB$5:DB30)</f>
        <v>2778000</v>
      </c>
      <c r="DD30" s="48">
        <v>0.5</v>
      </c>
      <c r="DE30" s="48">
        <f t="shared" si="34"/>
        <v>0.5</v>
      </c>
      <c r="DF30" s="75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91"/>
      <c r="DO30" s="91"/>
      <c r="DP30">
        <f t="shared" si="19"/>
        <v>19134.146341463416</v>
      </c>
      <c r="DQ30" s="91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29</v>
      </c>
      <c r="DZ30" s="91"/>
      <c r="EB30">
        <f t="shared" si="25"/>
        <v>29</v>
      </c>
      <c r="EC30">
        <f>B30*(3-1.333)*'Chest&amp;Cards&amp;Offer'!$J$70/100</f>
        <v>39.007799999999996</v>
      </c>
      <c r="ED30">
        <f t="shared" si="26"/>
        <v>68.007800000000003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EW30" t="s">
        <v>308</v>
      </c>
    </row>
    <row r="31" spans="1:153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95"/>
      <c r="K31" t="s">
        <v>169</v>
      </c>
      <c r="M31" s="93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2366400</v>
      </c>
      <c r="AT31">
        <f>SUM(AO31:AP31)*'Chest&amp;Cards&amp;Offer'!$N$5</f>
        <v>5160000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792000</v>
      </c>
      <c r="BA31">
        <f>AZ31/'Chest&amp;Cards&amp;Offer'!$R$3</f>
        <v>3300</v>
      </c>
      <c r="BB31">
        <f t="shared" si="5"/>
        <v>33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1574400</v>
      </c>
      <c r="BZ31" s="47">
        <f t="shared" si="9"/>
        <v>0.10670731707317073</v>
      </c>
      <c r="CG31">
        <f t="shared" si="10"/>
        <v>86</v>
      </c>
      <c r="CH31" s="91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8">
        <v>0.4</v>
      </c>
      <c r="DB31" s="72">
        <f t="shared" si="13"/>
        <v>162000</v>
      </c>
      <c r="DC31">
        <f>SUM($DB$5:DB31)</f>
        <v>2940000</v>
      </c>
      <c r="DD31" s="48">
        <v>0.5</v>
      </c>
      <c r="DE31" s="48">
        <f t="shared" si="34"/>
        <v>0.5</v>
      </c>
      <c r="DF31" s="75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91"/>
      <c r="DO31" s="91"/>
      <c r="DP31">
        <f t="shared" si="19"/>
        <v>19186.046511627908</v>
      </c>
      <c r="DQ31" s="91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33</v>
      </c>
      <c r="DZ31" s="91"/>
      <c r="EB31">
        <f t="shared" si="25"/>
        <v>33</v>
      </c>
      <c r="EC31">
        <f>B31*(3-1.333)*'Chest&amp;Cards&amp;Offer'!$J$70/100</f>
        <v>40.508099999999999</v>
      </c>
      <c r="ED31">
        <f t="shared" si="26"/>
        <v>73.508099999999999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3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95"/>
      <c r="K32" t="s">
        <v>170</v>
      </c>
      <c r="M32" s="93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2726400</v>
      </c>
      <c r="AT32">
        <f>SUM(AO32:AP32)*'Chest&amp;Cards&amp;Offer'!$N$5</f>
        <v>8160000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936000</v>
      </c>
      <c r="BA32">
        <f>AZ32/'Chest&amp;Cards&amp;Offer'!$R$3</f>
        <v>3900</v>
      </c>
      <c r="BB32">
        <f t="shared" si="5"/>
        <v>39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1790400</v>
      </c>
      <c r="BZ32" s="47">
        <f t="shared" si="9"/>
        <v>6.4343163538873996E-2</v>
      </c>
      <c r="CG32">
        <f t="shared" si="10"/>
        <v>90</v>
      </c>
      <c r="CH32" s="91"/>
      <c r="CI32" s="44">
        <f t="shared" si="35"/>
        <v>10</v>
      </c>
      <c r="CJ32" s="44">
        <f t="shared" si="35"/>
        <v>900</v>
      </c>
      <c r="CK32" s="43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8">
        <v>0.4</v>
      </c>
      <c r="DB32" s="72">
        <f t="shared" si="13"/>
        <v>210000</v>
      </c>
      <c r="DC32">
        <f>SUM($DB$5:DB32)</f>
        <v>3150000</v>
      </c>
      <c r="DD32" s="48">
        <v>0.5</v>
      </c>
      <c r="DE32" s="48">
        <f t="shared" si="34"/>
        <v>0.5</v>
      </c>
      <c r="DF32" s="75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91"/>
      <c r="DO32" s="91"/>
      <c r="DP32">
        <f t="shared" si="19"/>
        <v>19500</v>
      </c>
      <c r="DQ32" s="91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39</v>
      </c>
      <c r="DZ32" s="91"/>
      <c r="EB32">
        <f t="shared" si="25"/>
        <v>39</v>
      </c>
      <c r="EC32">
        <f>B32*(3-1.333)*'Chest&amp;Cards&amp;Offer'!$J$70/100</f>
        <v>42.008400000000002</v>
      </c>
      <c r="ED32">
        <f t="shared" si="26"/>
        <v>81.008399999999995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190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95"/>
      <c r="M33" s="93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2966400</v>
      </c>
      <c r="AT33">
        <f>SUM(AO33:AP33)*'Chest&amp;Cards&amp;Offer'!$N$5</f>
        <v>8160000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1032000</v>
      </c>
      <c r="BA33">
        <f>AZ33/'Chest&amp;Cards&amp;Offer'!$R$3</f>
        <v>4300</v>
      </c>
      <c r="BB33">
        <f t="shared" si="5"/>
        <v>43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1934400</v>
      </c>
      <c r="BZ33" s="47">
        <f t="shared" si="9"/>
        <v>7.4441687344913146E-2</v>
      </c>
      <c r="CG33">
        <f t="shared" si="10"/>
        <v>94</v>
      </c>
      <c r="CH33" s="91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8">
        <v>0.4</v>
      </c>
      <c r="DB33" s="72">
        <f t="shared" si="13"/>
        <v>162000</v>
      </c>
      <c r="DC33">
        <f>SUM($DB$5:DB33)</f>
        <v>3312000</v>
      </c>
      <c r="DD33" s="48">
        <v>0.5</v>
      </c>
      <c r="DE33" s="48">
        <f t="shared" si="34"/>
        <v>0.5</v>
      </c>
      <c r="DF33" s="75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91"/>
      <c r="DO33" s="91"/>
      <c r="DP33">
        <f t="shared" si="19"/>
        <v>19531.91489361702</v>
      </c>
      <c r="DQ33" s="91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43</v>
      </c>
      <c r="DZ33" s="91"/>
      <c r="EB33">
        <f>BB33</f>
        <v>43</v>
      </c>
      <c r="EC33">
        <f>B33*(3-1.333)*'Chest&amp;Cards&amp;Offer'!$J$70/100</f>
        <v>43.508699999999997</v>
      </c>
      <c r="ED33">
        <f t="shared" si="26"/>
        <v>86.508700000000005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190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95"/>
      <c r="M34" s="93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3326400</v>
      </c>
      <c r="AT34">
        <f>SUM(AO34:AP34)*'Chest&amp;Cards&amp;Offer'!$N$5</f>
        <v>8160000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1176000</v>
      </c>
      <c r="BA34">
        <f>AZ34/'Chest&amp;Cards&amp;Offer'!$R$3</f>
        <v>4900</v>
      </c>
      <c r="BB34">
        <f t="shared" si="5"/>
        <v>49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2150400</v>
      </c>
      <c r="BZ34" s="47">
        <f t="shared" si="9"/>
        <v>4.6875E-2</v>
      </c>
      <c r="CG34">
        <f t="shared" si="10"/>
        <v>98</v>
      </c>
      <c r="CH34" s="91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8">
        <v>0.4</v>
      </c>
      <c r="DB34" s="72">
        <f t="shared" si="13"/>
        <v>210000</v>
      </c>
      <c r="DC34">
        <f>SUM($DB$5:DB34)</f>
        <v>3522000</v>
      </c>
      <c r="DD34" s="48">
        <v>0.5</v>
      </c>
      <c r="DE34" s="48">
        <f t="shared" si="34"/>
        <v>0.5</v>
      </c>
      <c r="DF34" s="75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91"/>
      <c r="DO34" s="91"/>
      <c r="DP34">
        <f t="shared" si="19"/>
        <v>19806.122448979593</v>
      </c>
      <c r="DQ34" s="91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49</v>
      </c>
      <c r="DZ34" s="91"/>
      <c r="EB34">
        <f t="shared" si="25"/>
        <v>49</v>
      </c>
      <c r="EC34">
        <f>B34*(3-1.333)*'Chest&amp;Cards&amp;Offer'!$J$70/100</f>
        <v>45.008999999999993</v>
      </c>
      <c r="ED34">
        <f t="shared" si="26"/>
        <v>94.008999999999986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190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95"/>
      <c r="M35" s="93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3386400</v>
      </c>
      <c r="AT35">
        <f>SUM(AO35:AP35)*'Chest&amp;Cards&amp;Offer'!$N$5</f>
        <v>8160000</v>
      </c>
      <c r="AU35" s="11">
        <f t="shared" si="29"/>
        <v>60000</v>
      </c>
      <c r="AW35" s="42">
        <v>0.5</v>
      </c>
      <c r="AX35">
        <f t="shared" si="3"/>
        <v>30000</v>
      </c>
      <c r="AY35">
        <f t="shared" si="4"/>
        <v>30000</v>
      </c>
      <c r="AZ35">
        <f>SUM($AY$5:AY35)</f>
        <v>1206000</v>
      </c>
      <c r="BA35">
        <f>AZ35/'Chest&amp;Cards&amp;Offer'!$R$3</f>
        <v>5025</v>
      </c>
      <c r="BB35">
        <f t="shared" si="5"/>
        <v>50.25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2180400</v>
      </c>
      <c r="BZ35" s="47">
        <f t="shared" si="9"/>
        <v>0.11612548156301596</v>
      </c>
      <c r="CG35">
        <f t="shared" si="10"/>
        <v>101</v>
      </c>
      <c r="CH35" s="91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8">
        <v>0.4</v>
      </c>
      <c r="DB35" s="72">
        <f t="shared" si="13"/>
        <v>240000</v>
      </c>
      <c r="DC35">
        <f>SUM($DB$5:DB35)</f>
        <v>3762000</v>
      </c>
      <c r="DD35" s="48">
        <v>0.5</v>
      </c>
      <c r="DE35" s="48">
        <f t="shared" si="34"/>
        <v>0.5</v>
      </c>
      <c r="DF35" s="75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91"/>
      <c r="DO35" s="91"/>
      <c r="DP35">
        <f t="shared" si="19"/>
        <v>20405.940594059404</v>
      </c>
      <c r="DQ35" s="91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50.25</v>
      </c>
      <c r="DZ35" s="91"/>
      <c r="EB35">
        <f t="shared" si="25"/>
        <v>50.25</v>
      </c>
      <c r="EC35">
        <f>B35*(3-1.333)*'Chest&amp;Cards&amp;Offer'!$J$70/100</f>
        <v>46.509300000000003</v>
      </c>
      <c r="ED35">
        <f t="shared" si="26"/>
        <v>96.759299999999996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190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6"/>
        <v>橙2 - Lv6</v>
      </c>
      <c r="G36" t="str">
        <f t="shared" si="33"/>
        <v>橙6</v>
      </c>
      <c r="H36">
        <f>VLOOKUP(G36,Reference1!C:E,3,FALSE)</f>
        <v>634.40000000000009</v>
      </c>
      <c r="I36" s="95"/>
      <c r="K36" t="s">
        <v>171</v>
      </c>
      <c r="M36" s="93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VLOOKUP(W36,CardUpgrade!$C$10:$I$20,6,FALSE)</f>
        <v>116</v>
      </c>
      <c r="AJ36">
        <f>VLOOKUP(X36,CardUpgrade!$C$10:$I$20,6,FALSE)</f>
        <v>116</v>
      </c>
      <c r="AK36">
        <f>VLOOKUP(Y36,CardUpgrade!$C$10:$I$20,6,FALSE)</f>
        <v>66</v>
      </c>
      <c r="AL36">
        <f>VLOOKUP(Z36,CardUpgrade!$C$10:$I$20,6,FALSE)</f>
        <v>66</v>
      </c>
      <c r="AM36">
        <f>VLOOKUP(AA36,CardUpgrade!$C$10:$I$20,6,FALSE)</f>
        <v>66</v>
      </c>
      <c r="AN36">
        <f>VLOOKUP(AB36,CardUpgrade!$C$10:$I$20,6,FALSE)</f>
        <v>66</v>
      </c>
      <c r="AO36">
        <f>VLOOKUP(AC36,CardUpgrade!$C$10:$I$20,7,FALSE)</f>
        <v>59</v>
      </c>
      <c r="AP36">
        <f>VLOOKUP(AD36,CardUpgrade!$C$10:$I$20,7,FALSE)</f>
        <v>19</v>
      </c>
      <c r="AS36" s="2">
        <f>SUM(AI36:AJ36)*'Chest&amp;Cards&amp;Offer'!$N$3 + SUM('Dungeon&amp;Framework'!AK36:AN36)*'Chest&amp;Cards&amp;Offer'!$N$4</f>
        <v>3446400</v>
      </c>
      <c r="AT36">
        <f>SUM(AO36:AP36)*'Chest&amp;Cards&amp;Offer'!$N$5</f>
        <v>9360000</v>
      </c>
      <c r="AU36" s="11">
        <f t="shared" si="29"/>
        <v>60000</v>
      </c>
      <c r="AW36" s="42">
        <v>0.5</v>
      </c>
      <c r="AX36">
        <f t="shared" si="3"/>
        <v>30000</v>
      </c>
      <c r="AY36">
        <f t="shared" si="4"/>
        <v>30000</v>
      </c>
      <c r="AZ36">
        <f>SUM($AY$5:AY36)</f>
        <v>1236000</v>
      </c>
      <c r="BA36">
        <f>AZ36/'Chest&amp;Cards&amp;Offer'!$R$3</f>
        <v>5150</v>
      </c>
      <c r="BB36">
        <f t="shared" si="5"/>
        <v>51.5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6"/>
        <v>160</v>
      </c>
      <c r="BV36">
        <f t="shared" si="7"/>
        <v>9600</v>
      </c>
      <c r="BW36">
        <f t="shared" si="8"/>
        <v>182400</v>
      </c>
      <c r="BX36">
        <f>SUM($BW$5:BW36)</f>
        <v>2616000</v>
      </c>
      <c r="BY36">
        <f>SUM($AX$5:AX36)</f>
        <v>2210400</v>
      </c>
      <c r="BZ36" s="47">
        <f t="shared" si="9"/>
        <v>0.18349619978284473</v>
      </c>
      <c r="CG36">
        <f t="shared" si="10"/>
        <v>104</v>
      </c>
      <c r="CH36" s="91"/>
      <c r="CI36" s="44">
        <f t="shared" si="35"/>
        <v>14</v>
      </c>
      <c r="CJ36" s="44">
        <f t="shared" si="35"/>
        <v>1260</v>
      </c>
      <c r="CK36" s="43"/>
      <c r="CQ36">
        <f>VLOOKUP(W36,CardUpgrade!$O$9:$R$20,2,FALSE)</f>
        <v>975000</v>
      </c>
      <c r="CR36">
        <f>VLOOKUP(X36,CardUpgrade!$O$9:$R$20,2,FALSE)</f>
        <v>975000</v>
      </c>
      <c r="CS36">
        <f>VLOOKUP(Y36,CardUpgrade!$O$9:$R$20,3,FALSE)</f>
        <v>935000</v>
      </c>
      <c r="CT36">
        <f>VLOOKUP(Z36,CardUpgrade!$O$9:$R$20,3,FALSE)</f>
        <v>935000</v>
      </c>
      <c r="CU36">
        <f>VLOOKUP(AA36,CardUpgrade!$O$9:$R$20,3,FALSE)</f>
        <v>935000</v>
      </c>
      <c r="CV36">
        <f>VLOOKUP(AB36,CardUpgrade!$O$9:$R$20,3,FALSE)</f>
        <v>935000</v>
      </c>
      <c r="CW36">
        <f>VLOOKUP(AC36,CardUpgrade!$O$9:$R$20,4,FALSE)</f>
        <v>3265000</v>
      </c>
      <c r="CX36">
        <f>VLOOKUP(AD36,CardUpgrade!$O$9:$R$20,4,FALSE)</f>
        <v>1115000</v>
      </c>
      <c r="CY36">
        <f t="shared" si="12"/>
        <v>5690000</v>
      </c>
      <c r="CZ36">
        <f t="shared" si="30"/>
        <v>400000</v>
      </c>
      <c r="DA36" s="48">
        <v>0.4</v>
      </c>
      <c r="DB36" s="72">
        <f t="shared" si="13"/>
        <v>240000</v>
      </c>
      <c r="DC36">
        <f>SUM($DB$5:DB36)</f>
        <v>4002000</v>
      </c>
      <c r="DD36" s="48">
        <v>0.5</v>
      </c>
      <c r="DE36" s="48">
        <f t="shared" si="34"/>
        <v>0.5</v>
      </c>
      <c r="DF36" s="75">
        <f t="shared" si="15"/>
        <v>120000</v>
      </c>
      <c r="DG36">
        <f>SUM($DF$5:DF36)</f>
        <v>1821000</v>
      </c>
      <c r="DH36">
        <f t="shared" si="31"/>
        <v>120000</v>
      </c>
      <c r="DI36">
        <f t="shared" si="16"/>
        <v>120000</v>
      </c>
      <c r="DJ36">
        <f>SUM($DI$5:DI36)</f>
        <v>2181000</v>
      </c>
      <c r="DK36">
        <f t="shared" si="17"/>
        <v>104</v>
      </c>
      <c r="DL36">
        <f>SUM($BH$5:BH36)</f>
        <v>300</v>
      </c>
      <c r="DM36">
        <f t="shared" si="18"/>
        <v>202</v>
      </c>
      <c r="DN36" s="91"/>
      <c r="DO36" s="91"/>
      <c r="DP36">
        <f t="shared" si="19"/>
        <v>20971.153846153848</v>
      </c>
      <c r="DQ36" s="91"/>
      <c r="DR36">
        <f>VLOOKUP(DK36,StarIdelRewards!A:I,9,FALSE)*BV36</f>
        <v>172800</v>
      </c>
      <c r="DS36">
        <f t="shared" si="20"/>
        <v>120000</v>
      </c>
      <c r="DT36">
        <f>SUM($DR$5:DR36)</f>
        <v>2395200</v>
      </c>
      <c r="DU36" s="47">
        <f t="shared" si="21"/>
        <v>-0.23972945891783567</v>
      </c>
      <c r="DV36">
        <f t="shared" si="22"/>
        <v>12.5</v>
      </c>
      <c r="DX36">
        <f t="shared" si="23"/>
        <v>160000</v>
      </c>
      <c r="DY36">
        <f t="shared" si="24"/>
        <v>51.5</v>
      </c>
      <c r="DZ36" s="91"/>
      <c r="EB36">
        <f t="shared" si="25"/>
        <v>51.5</v>
      </c>
      <c r="EC36">
        <f>B36*(3-1.333)*'Chest&amp;Cards&amp;Offer'!$J$70/100</f>
        <v>48.009599999999999</v>
      </c>
      <c r="ED36">
        <f t="shared" si="26"/>
        <v>99.509600000000006</v>
      </c>
      <c r="EE36">
        <f t="shared" si="27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8"/>
        <v>1816</v>
      </c>
      <c r="ES36" s="7">
        <f t="shared" si="0"/>
        <v>4248</v>
      </c>
    </row>
    <row r="37" spans="1:190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95"/>
      <c r="K37" t="s">
        <v>172</v>
      </c>
      <c r="M37" s="93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4046400</v>
      </c>
      <c r="AT37">
        <f>SUM(AO37:AP37)*'Chest&amp;Cards&amp;Offer'!$N$5</f>
        <v>11160000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1536000</v>
      </c>
      <c r="BA37">
        <f>AZ37/'Chest&amp;Cards&amp;Offer'!$R$3</f>
        <v>6400</v>
      </c>
      <c r="BB37">
        <f t="shared" si="5"/>
        <v>64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2510400</v>
      </c>
      <c r="BZ37" s="47">
        <f t="shared" si="9"/>
        <v>0.11854684512428298</v>
      </c>
      <c r="CG37">
        <f t="shared" si="10"/>
        <v>108</v>
      </c>
      <c r="CH37" s="91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8">
        <v>0.4</v>
      </c>
      <c r="DB37" s="72">
        <f t="shared" si="13"/>
        <v>360000</v>
      </c>
      <c r="DC37">
        <f>SUM($DB$5:DB37)</f>
        <v>4362000</v>
      </c>
      <c r="DD37" s="48">
        <v>0.5</v>
      </c>
      <c r="DE37" s="48">
        <f t="shared" si="34"/>
        <v>0.5</v>
      </c>
      <c r="DF37" s="75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91"/>
      <c r="DO37" s="91"/>
      <c r="DP37">
        <f t="shared" si="19"/>
        <v>21861.111111111109</v>
      </c>
      <c r="DQ37" s="91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64</v>
      </c>
      <c r="DZ37" s="91"/>
      <c r="EB37">
        <f t="shared" si="25"/>
        <v>64</v>
      </c>
      <c r="EC37">
        <f>B37*(3-1.333)*'Chest&amp;Cards&amp;Offer'!$J$70/100</f>
        <v>49.509900000000009</v>
      </c>
      <c r="ED37">
        <f t="shared" si="26"/>
        <v>113.50990000000002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190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95"/>
      <c r="K38" t="s">
        <v>173</v>
      </c>
      <c r="M38" s="93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4646400</v>
      </c>
      <c r="AT38">
        <f>SUM(AO38:AP38)*'Chest&amp;Cards&amp;Offer'!$N$5</f>
        <v>14160000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1836000</v>
      </c>
      <c r="BA38">
        <f>AZ38/'Chest&amp;Cards&amp;Offer'!$R$3</f>
        <v>7650</v>
      </c>
      <c r="BB38">
        <f t="shared" si="5"/>
        <v>76.5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2810400</v>
      </c>
      <c r="BZ38" s="47">
        <f t="shared" si="9"/>
        <v>7.0879590093936809E-2</v>
      </c>
      <c r="CG38">
        <f t="shared" si="10"/>
        <v>112</v>
      </c>
      <c r="CH38" s="91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8">
        <v>0.4</v>
      </c>
      <c r="DB38" s="72">
        <f t="shared" si="13"/>
        <v>360000</v>
      </c>
      <c r="DC38">
        <f>SUM($DB$5:DB38)</f>
        <v>4722000</v>
      </c>
      <c r="DD38" s="48">
        <v>0.5</v>
      </c>
      <c r="DE38" s="48">
        <f t="shared" si="34"/>
        <v>0.5</v>
      </c>
      <c r="DF38" s="75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91"/>
      <c r="DO38" s="91"/>
      <c r="DP38">
        <f t="shared" si="19"/>
        <v>22687.5</v>
      </c>
      <c r="DQ38" s="91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76.5</v>
      </c>
      <c r="DZ38" s="91"/>
      <c r="EB38">
        <f t="shared" si="25"/>
        <v>76.5</v>
      </c>
      <c r="EC38">
        <f>B38*(3-1.333)*'Chest&amp;Cards&amp;Offer'!$J$70/100</f>
        <v>51.010200000000005</v>
      </c>
      <c r="ED38">
        <f t="shared" si="26"/>
        <v>127.5102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190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95"/>
      <c r="M39" s="93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5246400</v>
      </c>
      <c r="AT39">
        <f>SUM(AO39:AP39)*'Chest&amp;Cards&amp;Offer'!$N$5</f>
        <v>14160000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2136000</v>
      </c>
      <c r="BA39">
        <f>AZ39/'Chest&amp;Cards&amp;Offer'!$R$3</f>
        <v>8900</v>
      </c>
      <c r="BB39">
        <f t="shared" si="5"/>
        <v>89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3110400</v>
      </c>
      <c r="BZ39" s="47">
        <f t="shared" si="9"/>
        <v>3.2407407407407406E-2</v>
      </c>
      <c r="CG39">
        <f t="shared" si="10"/>
        <v>116</v>
      </c>
      <c r="CH39" s="91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8">
        <v>0.4</v>
      </c>
      <c r="DB39" s="72">
        <f t="shared" si="13"/>
        <v>360000</v>
      </c>
      <c r="DC39">
        <f>SUM($DB$5:DB39)</f>
        <v>5082000</v>
      </c>
      <c r="DD39" s="48">
        <v>0.5</v>
      </c>
      <c r="DE39" s="48">
        <f t="shared" si="34"/>
        <v>0.5</v>
      </c>
      <c r="DF39" s="75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91"/>
      <c r="DO39" s="91"/>
      <c r="DP39">
        <f t="shared" si="19"/>
        <v>23456.896551724138</v>
      </c>
      <c r="DQ39" s="91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89</v>
      </c>
      <c r="DZ39" s="91"/>
      <c r="EB39">
        <f t="shared" si="25"/>
        <v>89</v>
      </c>
      <c r="EC39">
        <f>B39*(3-1.333)*'Chest&amp;Cards&amp;Offer'!$J$70/100</f>
        <v>52.5105</v>
      </c>
      <c r="ED39">
        <f t="shared" si="26"/>
        <v>141.51050000000001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190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95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5846400</v>
      </c>
      <c r="AT40">
        <f>SUM(AO40:AP40)*'Chest&amp;Cards&amp;Offer'!$N$5</f>
        <v>14160000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2436000</v>
      </c>
      <c r="BA40">
        <f>AZ40/'Chest&amp;Cards&amp;Offer'!$R$3</f>
        <v>10150</v>
      </c>
      <c r="BB40">
        <f t="shared" si="5"/>
        <v>101.5</v>
      </c>
      <c r="BC40">
        <v>36</v>
      </c>
      <c r="BD40">
        <f>SUM(AY23:AY40)</f>
        <v>2196000</v>
      </c>
      <c r="BE40">
        <f>BD40/'Chest&amp;Cards&amp;Offer'!$R$3</f>
        <v>9150</v>
      </c>
      <c r="BF40">
        <f>BE40/100</f>
        <v>91.5</v>
      </c>
      <c r="BG40">
        <f>SUM(AX23:AX40)</f>
        <v>2844000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3410400</v>
      </c>
      <c r="BZ40" s="47">
        <f t="shared" si="9"/>
        <v>3.518648838845883E-3</v>
      </c>
      <c r="CB40">
        <f>BF40</f>
        <v>91.5</v>
      </c>
      <c r="CC40">
        <f>CB40/2</f>
        <v>45.75</v>
      </c>
      <c r="CF40">
        <f>BJ40</f>
        <v>120</v>
      </c>
      <c r="CG40">
        <f t="shared" si="10"/>
        <v>120</v>
      </c>
      <c r="CH40" s="91"/>
      <c r="CI40" s="44">
        <f t="shared" si="35"/>
        <v>18</v>
      </c>
      <c r="CJ40" s="44">
        <f t="shared" si="35"/>
        <v>1620</v>
      </c>
      <c r="CK40" s="44">
        <f>CJ40+BE40/3</f>
        <v>4670</v>
      </c>
      <c r="CN40">
        <f>CK40*2</f>
        <v>9340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8">
        <v>0.4</v>
      </c>
      <c r="DB40" s="72">
        <f t="shared" si="13"/>
        <v>360000</v>
      </c>
      <c r="DC40">
        <f>SUM($DB$5:DB40)</f>
        <v>5442000</v>
      </c>
      <c r="DD40" s="48">
        <v>0.5</v>
      </c>
      <c r="DE40" s="48">
        <f t="shared" si="34"/>
        <v>0.5</v>
      </c>
      <c r="DF40" s="75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91"/>
      <c r="DO40" s="91"/>
      <c r="DP40">
        <f t="shared" si="19"/>
        <v>24175</v>
      </c>
      <c r="DQ40" s="91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101.5</v>
      </c>
      <c r="DZ40" s="91"/>
      <c r="EB40">
        <f t="shared" si="25"/>
        <v>101.5</v>
      </c>
      <c r="EC40">
        <f>B40*(3-1.333)*'Chest&amp;Cards&amp;Offer'!$J$70/100</f>
        <v>54.010799999999996</v>
      </c>
      <c r="ED40">
        <f t="shared" si="26"/>
        <v>155.51079999999999</v>
      </c>
      <c r="EE40">
        <f t="shared" si="27"/>
        <v>234</v>
      </c>
      <c r="EF40">
        <f>ED40/EE40*100</f>
        <v>66.457606837606832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D40" t="s">
        <v>252</v>
      </c>
    </row>
    <row r="41" spans="1:190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99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5942400</v>
      </c>
      <c r="AT41">
        <f>SUM(AO41:AP41)*'Chest&amp;Cards&amp;Offer'!$N$5</f>
        <v>14160000</v>
      </c>
      <c r="AU41" s="16">
        <f t="shared" si="29"/>
        <v>96000</v>
      </c>
      <c r="AW41" s="42">
        <v>0.6</v>
      </c>
      <c r="AX41">
        <f t="shared" si="3"/>
        <v>38400</v>
      </c>
      <c r="AY41">
        <f t="shared" si="4"/>
        <v>57600</v>
      </c>
      <c r="AZ41">
        <f>SUM($AY$5:AY41)</f>
        <v>2493600</v>
      </c>
      <c r="BA41">
        <f>AZ41/'Chest&amp;Cards&amp;Offer'!$R$3</f>
        <v>10390</v>
      </c>
      <c r="BB41">
        <f t="shared" si="5"/>
        <v>103.9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3448800</v>
      </c>
      <c r="BZ41" s="47">
        <f t="shared" si="9"/>
        <v>8.4203201113430756E-2</v>
      </c>
      <c r="CC41" t="s">
        <v>425</v>
      </c>
      <c r="CG41">
        <f t="shared" si="10"/>
        <v>124</v>
      </c>
      <c r="CH41" s="91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8">
        <v>0.4</v>
      </c>
      <c r="DB41" s="72">
        <f t="shared" si="13"/>
        <v>480000</v>
      </c>
      <c r="DC41">
        <f>SUM($DB$5:DB41)</f>
        <v>5922000</v>
      </c>
      <c r="DD41" s="48">
        <v>0.5</v>
      </c>
      <c r="DE41" s="48">
        <f t="shared" si="34"/>
        <v>0.5</v>
      </c>
      <c r="DF41" s="75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91">
        <f>SUM(DI41:DI58)</f>
        <v>7320000</v>
      </c>
      <c r="DO41" s="91">
        <f>DK58-DK41</f>
        <v>80</v>
      </c>
      <c r="DP41">
        <f t="shared" si="19"/>
        <v>25330.645161290322</v>
      </c>
      <c r="DQ41" s="91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103.9</v>
      </c>
      <c r="DZ41" s="91"/>
      <c r="EB41">
        <f t="shared" si="25"/>
        <v>103.9</v>
      </c>
      <c r="EC41">
        <f>B41*(3-1.333)*'Chest&amp;Cards&amp;Offer'!$J$70/100</f>
        <v>55.511100000000006</v>
      </c>
      <c r="ED41">
        <f t="shared" si="26"/>
        <v>159.4111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D41" t="s">
        <v>253</v>
      </c>
    </row>
    <row r="42" spans="1:190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99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6038400</v>
      </c>
      <c r="AT42">
        <f>SUM(AO42:AP42)*'Chest&amp;Cards&amp;Offer'!$N$5</f>
        <v>14160000</v>
      </c>
      <c r="AU42" s="16">
        <f t="shared" si="29"/>
        <v>96000</v>
      </c>
      <c r="AW42" s="42">
        <v>0.6</v>
      </c>
      <c r="AX42">
        <f t="shared" si="3"/>
        <v>38400</v>
      </c>
      <c r="AY42">
        <f t="shared" si="4"/>
        <v>57600</v>
      </c>
      <c r="AZ42">
        <f>SUM($AY$5:AY42)</f>
        <v>2551200</v>
      </c>
      <c r="BA42">
        <f>AZ42/'Chest&amp;Cards&amp;Offer'!$R$3</f>
        <v>10630</v>
      </c>
      <c r="BB42">
        <f t="shared" si="5"/>
        <v>106.3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3487200</v>
      </c>
      <c r="BZ42" s="47">
        <f t="shared" si="9"/>
        <v>0.16311080523055746</v>
      </c>
      <c r="CG42">
        <f t="shared" si="10"/>
        <v>128</v>
      </c>
      <c r="CH42" s="91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8">
        <v>0.4</v>
      </c>
      <c r="DB42" s="72">
        <f t="shared" si="13"/>
        <v>480000</v>
      </c>
      <c r="DC42">
        <f>SUM($DB$5:DB42)</f>
        <v>6402000</v>
      </c>
      <c r="DD42" s="48">
        <v>0.5</v>
      </c>
      <c r="DE42" s="48">
        <f t="shared" si="34"/>
        <v>0.5</v>
      </c>
      <c r="DF42" s="75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91"/>
      <c r="DO42" s="91"/>
      <c r="DP42">
        <f t="shared" si="19"/>
        <v>26414.0625</v>
      </c>
      <c r="DQ42" s="91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106.3</v>
      </c>
      <c r="DZ42" s="91"/>
      <c r="EB42">
        <f t="shared" si="25"/>
        <v>106.3</v>
      </c>
      <c r="EC42">
        <f>B42*(3-1.333)*'Chest&amp;Cards&amp;Offer'!$J$70/100</f>
        <v>57.011400000000002</v>
      </c>
      <c r="ED42">
        <f t="shared" si="26"/>
        <v>163.31139999999999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D42" s="25" t="s">
        <v>255</v>
      </c>
      <c r="GE42" s="25"/>
      <c r="GF42" s="25"/>
      <c r="GG42" s="25"/>
    </row>
    <row r="43" spans="1:190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99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6182400</v>
      </c>
      <c r="AT43">
        <f>SUM(AO43:AP43)*'Chest&amp;Cards&amp;Offer'!$N$5</f>
        <v>14160000</v>
      </c>
      <c r="AU43" s="16">
        <f t="shared" si="29"/>
        <v>144000</v>
      </c>
      <c r="AW43" s="42">
        <v>0.6</v>
      </c>
      <c r="AX43">
        <f t="shared" si="3"/>
        <v>57600</v>
      </c>
      <c r="AY43">
        <f t="shared" si="4"/>
        <v>86400</v>
      </c>
      <c r="AZ43">
        <f>SUM($AY$5:AY43)</f>
        <v>2637600</v>
      </c>
      <c r="BA43">
        <f>AZ43/'Chest&amp;Cards&amp;Offer'!$R$3</f>
        <v>10990</v>
      </c>
      <c r="BB43">
        <f t="shared" si="5"/>
        <v>109.9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3544800</v>
      </c>
      <c r="BZ43" s="47">
        <f t="shared" si="9"/>
        <v>0.23764387271496276</v>
      </c>
      <c r="CG43">
        <f t="shared" si="10"/>
        <v>132</v>
      </c>
      <c r="CH43" s="91"/>
      <c r="CI43" s="44">
        <f t="shared" si="35"/>
        <v>3</v>
      </c>
      <c r="CJ43" s="44">
        <f t="shared" si="35"/>
        <v>270</v>
      </c>
      <c r="CK43" s="43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8">
        <v>0.4</v>
      </c>
      <c r="DB43" s="72">
        <f t="shared" si="13"/>
        <v>0</v>
      </c>
      <c r="DC43">
        <f>SUM($DB$5:DB43)</f>
        <v>6402000</v>
      </c>
      <c r="DD43" s="48">
        <v>0.5</v>
      </c>
      <c r="DE43" s="48">
        <f t="shared" si="34"/>
        <v>0.5</v>
      </c>
      <c r="DF43" s="75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91"/>
      <c r="DO43" s="91"/>
      <c r="DP43">
        <f t="shared" si="19"/>
        <v>25613.636363636364</v>
      </c>
      <c r="DQ43" s="91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109.9</v>
      </c>
      <c r="DZ43" s="91"/>
      <c r="EB43">
        <f t="shared" si="25"/>
        <v>109.9</v>
      </c>
      <c r="EC43">
        <f>B43*(3-1.333)*'Chest&amp;Cards&amp;Offer'!$J$70/100</f>
        <v>58.511699999999998</v>
      </c>
      <c r="ED43">
        <f t="shared" si="26"/>
        <v>168.4117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D43" t="s">
        <v>256</v>
      </c>
      <c r="GH43" t="s">
        <v>257</v>
      </c>
    </row>
    <row r="44" spans="1:190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99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6326400</v>
      </c>
      <c r="AT44">
        <f>SUM(AO44:AP44)*'Chest&amp;Cards&amp;Offer'!$N$5</f>
        <v>14160000</v>
      </c>
      <c r="AU44" s="16">
        <f t="shared" si="29"/>
        <v>144000</v>
      </c>
      <c r="AW44" s="42">
        <v>0.6</v>
      </c>
      <c r="AX44">
        <f t="shared" si="3"/>
        <v>57600</v>
      </c>
      <c r="AY44">
        <f t="shared" si="4"/>
        <v>86400</v>
      </c>
      <c r="AZ44">
        <f>SUM($AY$5:AY44)</f>
        <v>2724000</v>
      </c>
      <c r="BA44">
        <f>AZ44/'Chest&amp;Cards&amp;Offer'!$R$3</f>
        <v>11350</v>
      </c>
      <c r="BB44">
        <f t="shared" si="5"/>
        <v>113.5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3602400</v>
      </c>
      <c r="BZ44" s="47">
        <f t="shared" si="9"/>
        <v>0.30979347101932048</v>
      </c>
      <c r="CG44">
        <f t="shared" si="10"/>
        <v>136</v>
      </c>
      <c r="CH44" s="91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8">
        <v>0.4</v>
      </c>
      <c r="DB44" s="72">
        <f t="shared" si="13"/>
        <v>0</v>
      </c>
      <c r="DC44">
        <f>SUM($DB$5:DB44)</f>
        <v>6402000</v>
      </c>
      <c r="DD44" s="48">
        <v>0.5</v>
      </c>
      <c r="DE44" s="48">
        <f t="shared" si="34"/>
        <v>0.5</v>
      </c>
      <c r="DF44" s="75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91"/>
      <c r="DO44" s="91"/>
      <c r="DP44">
        <f t="shared" si="19"/>
        <v>24860.294117647059</v>
      </c>
      <c r="DQ44" s="91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113.5</v>
      </c>
      <c r="DZ44" s="91"/>
      <c r="EB44">
        <f t="shared" si="25"/>
        <v>113.5</v>
      </c>
      <c r="EC44">
        <f>B44*(3-1.333)*'Chest&amp;Cards&amp;Offer'!$J$70/100</f>
        <v>60.012000000000008</v>
      </c>
      <c r="ED44">
        <f t="shared" si="26"/>
        <v>173.512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D44" t="s">
        <v>254</v>
      </c>
    </row>
    <row r="45" spans="1:190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99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7286400</v>
      </c>
      <c r="AT45">
        <f>SUM(AO45:AP45)*'Chest&amp;Cards&amp;Offer'!$N$5</f>
        <v>14160000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3300000</v>
      </c>
      <c r="BA45">
        <f>AZ45/'Chest&amp;Cards&amp;Offer'!$R$3</f>
        <v>13750</v>
      </c>
      <c r="BB45">
        <f t="shared" si="5"/>
        <v>137.5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357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3986400</v>
      </c>
      <c r="BZ45" s="47">
        <f t="shared" si="9"/>
        <v>0.26670680313064421</v>
      </c>
      <c r="CG45">
        <f t="shared" si="10"/>
        <v>141</v>
      </c>
      <c r="CH45" s="91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8">
        <v>0.4</v>
      </c>
      <c r="DB45" s="72">
        <f t="shared" si="13"/>
        <v>720000</v>
      </c>
      <c r="DC45">
        <f>SUM($DB$5:DB45)</f>
        <v>7122000</v>
      </c>
      <c r="DD45" s="48">
        <v>0.5</v>
      </c>
      <c r="DE45" s="48">
        <f t="shared" si="34"/>
        <v>0.5</v>
      </c>
      <c r="DF45" s="75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91"/>
      <c r="DO45" s="91"/>
      <c r="DP45">
        <f t="shared" si="19"/>
        <v>26531.91489361702</v>
      </c>
      <c r="DQ45" s="91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137.5</v>
      </c>
      <c r="DZ45" s="91"/>
      <c r="EB45">
        <f t="shared" si="25"/>
        <v>137.5</v>
      </c>
      <c r="EC45">
        <f>B45*(3-1.333)*'Chest&amp;Cards&amp;Offer'!$J$70/100</f>
        <v>61.512300000000003</v>
      </c>
      <c r="ED45">
        <f t="shared" si="26"/>
        <v>199.01230000000001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190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99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8726400</v>
      </c>
      <c r="AT46">
        <f>SUM(AO46:AP46)*'Chest&amp;Cards&amp;Offer'!$N$5</f>
        <v>14160000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4164000</v>
      </c>
      <c r="BA46">
        <f>AZ46/'Chest&amp;Cards&amp;Offer'!$R$3</f>
        <v>17350</v>
      </c>
      <c r="BB46">
        <f t="shared" si="5"/>
        <v>173.5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4562400</v>
      </c>
      <c r="BZ46" s="47">
        <f t="shared" si="9"/>
        <v>0.18253550762756443</v>
      </c>
      <c r="CG46">
        <f t="shared" si="10"/>
        <v>146</v>
      </c>
      <c r="CH46" s="91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8">
        <v>0.4</v>
      </c>
      <c r="DB46" s="72">
        <f t="shared" si="13"/>
        <v>1080000</v>
      </c>
      <c r="DC46">
        <f>SUM($DB$5:DB46)</f>
        <v>8202000</v>
      </c>
      <c r="DD46" s="48">
        <v>0.5</v>
      </c>
      <c r="DE46" s="48">
        <f t="shared" si="34"/>
        <v>0.5</v>
      </c>
      <c r="DF46" s="75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91"/>
      <c r="DO46" s="91"/>
      <c r="DP46">
        <f t="shared" si="19"/>
        <v>29321.917808219179</v>
      </c>
      <c r="DQ46" s="91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173.5</v>
      </c>
      <c r="DZ46" s="91"/>
      <c r="EB46">
        <f t="shared" si="25"/>
        <v>173.5</v>
      </c>
      <c r="EC46">
        <f>B46*(3-1.333)*'Chest&amp;Cards&amp;Offer'!$J$70/100</f>
        <v>63.012599999999992</v>
      </c>
      <c r="ED46">
        <f t="shared" si="26"/>
        <v>236.51259999999999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190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99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9686400</v>
      </c>
      <c r="AT47">
        <f>SUM(AO47:AP47)*'Chest&amp;Cards&amp;Offer'!$N$5</f>
        <v>14160000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4740000</v>
      </c>
      <c r="BA47">
        <f>AZ47/'Chest&amp;Cards&amp;Offer'!$R$3</f>
        <v>19750</v>
      </c>
      <c r="BB47">
        <f t="shared" si="5"/>
        <v>197.5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4946400</v>
      </c>
      <c r="BZ47" s="47">
        <f t="shared" si="9"/>
        <v>0.16060164968461912</v>
      </c>
      <c r="CG47">
        <f t="shared" si="10"/>
        <v>151</v>
      </c>
      <c r="CH47" s="91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8">
        <v>0.4</v>
      </c>
      <c r="DB47" s="72">
        <f t="shared" si="13"/>
        <v>720000</v>
      </c>
      <c r="DC47">
        <f>SUM($DB$5:DB47)</f>
        <v>8922000</v>
      </c>
      <c r="DD47" s="48">
        <v>0.5</v>
      </c>
      <c r="DE47" s="48">
        <f t="shared" si="34"/>
        <v>0.5</v>
      </c>
      <c r="DF47" s="75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91"/>
      <c r="DO47" s="91"/>
      <c r="DP47">
        <f t="shared" si="19"/>
        <v>30735.099337748343</v>
      </c>
      <c r="DQ47" s="91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197.5</v>
      </c>
      <c r="DZ47" s="91"/>
      <c r="EB47">
        <f t="shared" si="25"/>
        <v>197.5</v>
      </c>
      <c r="EC47">
        <f>B47*(3-1.333)*'Chest&amp;Cards&amp;Offer'!$J$70/100</f>
        <v>64.512900000000002</v>
      </c>
      <c r="ED47">
        <f t="shared" si="26"/>
        <v>262.0129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190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99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11126400</v>
      </c>
      <c r="AT48">
        <f>SUM(AO48:AP48)*'Chest&amp;Cards&amp;Offer'!$N$5</f>
        <v>18960000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5604000</v>
      </c>
      <c r="BA48">
        <f>AZ48/'Chest&amp;Cards&amp;Offer'!$R$3</f>
        <v>23350</v>
      </c>
      <c r="BB48">
        <f t="shared" si="5"/>
        <v>233.5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5522400</v>
      </c>
      <c r="BZ48" s="47">
        <f t="shared" si="9"/>
        <v>0.10212950890916993</v>
      </c>
      <c r="CG48">
        <f t="shared" si="10"/>
        <v>156</v>
      </c>
      <c r="CH48" s="91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8">
        <v>0.4</v>
      </c>
      <c r="DB48" s="72">
        <f t="shared" si="13"/>
        <v>1080000</v>
      </c>
      <c r="DC48">
        <f>SUM($DB$5:DB48)</f>
        <v>10002000</v>
      </c>
      <c r="DD48" s="48">
        <v>0.5</v>
      </c>
      <c r="DE48" s="48">
        <f t="shared" si="34"/>
        <v>0.5</v>
      </c>
      <c r="DF48" s="75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91"/>
      <c r="DO48" s="91"/>
      <c r="DP48">
        <f t="shared" si="19"/>
        <v>33211.538461538461</v>
      </c>
      <c r="DQ48" s="91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233.5</v>
      </c>
      <c r="DZ48" s="91"/>
      <c r="EB48">
        <f t="shared" si="25"/>
        <v>233.5</v>
      </c>
      <c r="EC48">
        <f>B48*(3-1.333)*'Chest&amp;Cards&amp;Offer'!$J$70/100</f>
        <v>66.013199999999998</v>
      </c>
      <c r="ED48">
        <f t="shared" si="26"/>
        <v>299.51319999999998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89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99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12086400</v>
      </c>
      <c r="AT49">
        <f>SUM(AO49:AP49)*'Chest&amp;Cards&amp;Offer'!$N$5</f>
        <v>26160000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6180000</v>
      </c>
      <c r="BA49">
        <f>AZ49/'Chest&amp;Cards&amp;Offer'!$R$3</f>
        <v>25750</v>
      </c>
      <c r="BB49">
        <f t="shared" si="5"/>
        <v>257.5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5906400</v>
      </c>
      <c r="BZ49" s="47">
        <f t="shared" si="9"/>
        <v>9.1426249492076395E-2</v>
      </c>
      <c r="CG49">
        <f t="shared" si="10"/>
        <v>161</v>
      </c>
      <c r="CH49" s="91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8">
        <v>0.4</v>
      </c>
      <c r="DB49" s="72">
        <f t="shared" si="13"/>
        <v>720000</v>
      </c>
      <c r="DC49">
        <f t="shared" ref="DC49:DC64" si="41">CY49*(1-DA49)</f>
        <v>10134000</v>
      </c>
      <c r="DD49" s="48">
        <v>0.5</v>
      </c>
      <c r="DE49" s="48">
        <f t="shared" si="34"/>
        <v>0.5</v>
      </c>
      <c r="DF49" s="75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91"/>
      <c r="DO49" s="91"/>
      <c r="DP49">
        <f t="shared" si="19"/>
        <v>34416.149068322979</v>
      </c>
      <c r="DQ49" s="91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257.5</v>
      </c>
      <c r="DZ49" s="91"/>
      <c r="EB49">
        <f t="shared" si="25"/>
        <v>257.5</v>
      </c>
      <c r="EC49">
        <f>B49*(3-1.333)*'Chest&amp;Cards&amp;Offer'!$J$70/100</f>
        <v>67.513500000000008</v>
      </c>
      <c r="ED49">
        <f t="shared" si="26"/>
        <v>325.01350000000002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89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99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13526400</v>
      </c>
      <c r="AT50">
        <f>SUM(AO50:AP50)*'Chest&amp;Cards&amp;Offer'!$N$5</f>
        <v>38160000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7188000</v>
      </c>
      <c r="BA50">
        <f>AZ50/'Chest&amp;Cards&amp;Offer'!$R$3</f>
        <v>29950</v>
      </c>
      <c r="BB50">
        <f t="shared" si="5"/>
        <v>299.5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6338400</v>
      </c>
      <c r="BZ50" s="47">
        <f t="shared" si="9"/>
        <v>7.3835668307459301E-2</v>
      </c>
      <c r="CG50">
        <f t="shared" si="10"/>
        <v>166</v>
      </c>
      <c r="CH50" s="91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8">
        <v>0.4</v>
      </c>
      <c r="DB50" s="72">
        <f t="shared" si="13"/>
        <v>1080000</v>
      </c>
      <c r="DC50">
        <f t="shared" si="41"/>
        <v>11214000</v>
      </c>
      <c r="DD50" s="48">
        <v>0.5</v>
      </c>
      <c r="DE50" s="48">
        <f t="shared" si="34"/>
        <v>0.5</v>
      </c>
      <c r="DF50" s="75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91"/>
      <c r="DO50" s="91"/>
      <c r="DP50">
        <f t="shared" si="19"/>
        <v>36632.530120481926</v>
      </c>
      <c r="DQ50" s="91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299.5</v>
      </c>
      <c r="DZ50" s="91"/>
      <c r="EB50">
        <f t="shared" si="25"/>
        <v>299.5</v>
      </c>
      <c r="EC50">
        <f>B50*(3-1.333)*'Chest&amp;Cards&amp;Offer'!$J$70/100</f>
        <v>69.013800000000003</v>
      </c>
      <c r="ED50">
        <f t="shared" si="26"/>
        <v>368.5138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89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99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14486400</v>
      </c>
      <c r="AT51">
        <f>SUM(AO51:AP51)*'Chest&amp;Cards&amp;Offer'!$N$5</f>
        <v>38160000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7860000</v>
      </c>
      <c r="BA51">
        <f>AZ51/'Chest&amp;Cards&amp;Offer'!$R$3</f>
        <v>32750</v>
      </c>
      <c r="BB51">
        <f t="shared" si="5"/>
        <v>327.5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358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6626400</v>
      </c>
      <c r="BZ51" s="47">
        <f t="shared" si="9"/>
        <v>8.1492212966316549E-2</v>
      </c>
      <c r="CG51">
        <f t="shared" si="10"/>
        <v>171</v>
      </c>
      <c r="CH51" s="91"/>
      <c r="CI51" s="44">
        <f t="shared" si="35"/>
        <v>11</v>
      </c>
      <c r="CJ51" s="44">
        <f t="shared" si="35"/>
        <v>990</v>
      </c>
      <c r="CK51" s="43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8">
        <v>0.4</v>
      </c>
      <c r="DB51" s="72">
        <f t="shared" si="13"/>
        <v>720000</v>
      </c>
      <c r="DC51">
        <f t="shared" si="41"/>
        <v>11934000</v>
      </c>
      <c r="DD51" s="48">
        <v>0.5</v>
      </c>
      <c r="DE51" s="48">
        <f t="shared" si="34"/>
        <v>0.5</v>
      </c>
      <c r="DF51" s="75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91"/>
      <c r="DO51" s="91"/>
      <c r="DP51">
        <f t="shared" si="19"/>
        <v>37666.666666666664</v>
      </c>
      <c r="DQ51" s="91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327.5</v>
      </c>
      <c r="DZ51" s="91"/>
      <c r="EB51">
        <f t="shared" si="25"/>
        <v>327.5</v>
      </c>
      <c r="EC51">
        <f>B51*(3-1.333)*'Chest&amp;Cards&amp;Offer'!$J$70/100</f>
        <v>70.514100000000013</v>
      </c>
      <c r="ED51">
        <f t="shared" si="26"/>
        <v>398.01409999999998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D51" s="26" t="s">
        <v>268</v>
      </c>
      <c r="GE51" s="26"/>
      <c r="GF51" s="26"/>
      <c r="GG51" s="26"/>
    </row>
    <row r="52" spans="1:189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99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15926400</v>
      </c>
      <c r="AT52">
        <f>SUM(AO52:AP52)*'Chest&amp;Cards&amp;Offer'!$N$5</f>
        <v>38160000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8868000</v>
      </c>
      <c r="BA52">
        <f>AZ52/'Chest&amp;Cards&amp;Offer'!$R$3</f>
        <v>36950</v>
      </c>
      <c r="BB52">
        <f t="shared" si="5"/>
        <v>369.5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359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7058400</v>
      </c>
      <c r="BZ52" s="47">
        <f t="shared" si="9"/>
        <v>6.8344100646038769E-2</v>
      </c>
      <c r="CG52">
        <f t="shared" si="10"/>
        <v>176</v>
      </c>
      <c r="CH52" s="91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8">
        <v>0.4</v>
      </c>
      <c r="DB52" s="72">
        <f t="shared" si="13"/>
        <v>1080000</v>
      </c>
      <c r="DC52">
        <f t="shared" si="41"/>
        <v>13014000</v>
      </c>
      <c r="DD52" s="48">
        <v>0.5</v>
      </c>
      <c r="DE52" s="48">
        <f t="shared" si="34"/>
        <v>0.5</v>
      </c>
      <c r="DF52" s="75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91"/>
      <c r="DO52" s="91"/>
      <c r="DP52">
        <f t="shared" si="19"/>
        <v>39664.772727272728</v>
      </c>
      <c r="DQ52" s="91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369.5</v>
      </c>
      <c r="DZ52" s="91"/>
      <c r="EB52">
        <f t="shared" si="25"/>
        <v>369.5</v>
      </c>
      <c r="EC52">
        <f>B52*(3-1.333)*'Chest&amp;Cards&amp;Offer'!$J$70/100</f>
        <v>72.014400000000009</v>
      </c>
      <c r="ED52">
        <f t="shared" si="26"/>
        <v>441.51440000000002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D52" t="s">
        <v>269</v>
      </c>
    </row>
    <row r="53" spans="1:189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99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16130400</v>
      </c>
      <c r="AT53">
        <f>SUM(AO53:AP53)*'Chest&amp;Cards&amp;Offer'!$N$5</f>
        <v>38160000</v>
      </c>
      <c r="AU53" s="16">
        <f t="shared" si="29"/>
        <v>204000</v>
      </c>
      <c r="AW53" s="42">
        <v>0.7</v>
      </c>
      <c r="AX53">
        <f t="shared" si="3"/>
        <v>61200.000000000007</v>
      </c>
      <c r="AY53">
        <f t="shared" si="4"/>
        <v>142800</v>
      </c>
      <c r="AZ53">
        <f>SUM($AY$5:AY53)</f>
        <v>9010800</v>
      </c>
      <c r="BA53">
        <f>AZ53/'Chest&amp;Cards&amp;Offer'!$R$3</f>
        <v>37545</v>
      </c>
      <c r="BB53">
        <f t="shared" si="5"/>
        <v>375.45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7119600</v>
      </c>
      <c r="BZ53" s="47">
        <f t="shared" si="9"/>
        <v>0.11174785100286533</v>
      </c>
      <c r="CG53">
        <f t="shared" si="10"/>
        <v>180</v>
      </c>
      <c r="CH53" s="91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8">
        <v>0.4</v>
      </c>
      <c r="DB53" s="72">
        <f t="shared" si="13"/>
        <v>600000</v>
      </c>
      <c r="DC53">
        <f t="shared" si="41"/>
        <v>13614000</v>
      </c>
      <c r="DD53" s="48">
        <v>0.5</v>
      </c>
      <c r="DE53" s="48">
        <f t="shared" si="34"/>
        <v>0.5</v>
      </c>
      <c r="DF53" s="75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91"/>
      <c r="DO53" s="91"/>
      <c r="DP53">
        <f t="shared" si="19"/>
        <v>40450</v>
      </c>
      <c r="DQ53" s="91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375.45</v>
      </c>
      <c r="DZ53" s="91"/>
      <c r="EB53">
        <f t="shared" si="25"/>
        <v>375.45</v>
      </c>
      <c r="EC53">
        <f>B53*(3-1.333)*'Chest&amp;Cards&amp;Offer'!$J$70/100</f>
        <v>73.514700000000005</v>
      </c>
      <c r="ED53">
        <f t="shared" si="26"/>
        <v>448.96469999999999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D53" t="s">
        <v>270</v>
      </c>
    </row>
    <row r="54" spans="1:189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99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16334400</v>
      </c>
      <c r="AT54">
        <f>SUM(AO54:AP54)*'Chest&amp;Cards&amp;Offer'!$N$5</f>
        <v>42960000</v>
      </c>
      <c r="AU54" s="16">
        <f t="shared" si="29"/>
        <v>204000</v>
      </c>
      <c r="AW54" s="42">
        <v>0.7</v>
      </c>
      <c r="AX54">
        <f t="shared" si="3"/>
        <v>61200.000000000007</v>
      </c>
      <c r="AY54">
        <f t="shared" si="4"/>
        <v>142800</v>
      </c>
      <c r="AZ54">
        <f>SUM($AY$5:AY54)</f>
        <v>9153600</v>
      </c>
      <c r="BA54">
        <f>AZ54/'Chest&amp;Cards&amp;Offer'!$R$3</f>
        <v>38140</v>
      </c>
      <c r="BB54">
        <f t="shared" si="5"/>
        <v>381.4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7180800</v>
      </c>
      <c r="BZ54" s="47">
        <f t="shared" si="9"/>
        <v>0.15441176470588236</v>
      </c>
      <c r="CG54">
        <f t="shared" si="10"/>
        <v>184</v>
      </c>
      <c r="CH54" s="91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8">
        <v>0.4</v>
      </c>
      <c r="DB54" s="72">
        <f t="shared" si="13"/>
        <v>600000</v>
      </c>
      <c r="DC54">
        <f t="shared" si="41"/>
        <v>14214000</v>
      </c>
      <c r="DD54" s="48">
        <v>0.5</v>
      </c>
      <c r="DE54" s="48">
        <f t="shared" si="34"/>
        <v>0.5</v>
      </c>
      <c r="DF54" s="75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91"/>
      <c r="DO54" s="91"/>
      <c r="DP54">
        <f t="shared" si="19"/>
        <v>41201.086956521736</v>
      </c>
      <c r="DQ54" s="91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381.4</v>
      </c>
      <c r="DZ54" s="91"/>
      <c r="EB54">
        <f t="shared" si="25"/>
        <v>381.4</v>
      </c>
      <c r="EC54">
        <f>B54*(3-1.333)*'Chest&amp;Cards&amp;Offer'!$J$70/100</f>
        <v>75.015000000000015</v>
      </c>
      <c r="ED54">
        <f t="shared" si="26"/>
        <v>456.41499999999996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89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99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18374400</v>
      </c>
      <c r="AT55">
        <f>SUM(AO55:AP55)*'Chest&amp;Cards&amp;Offer'!$N$5</f>
        <v>50160000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10581600</v>
      </c>
      <c r="BA55">
        <f>AZ55/'Chest&amp;Cards&amp;Offer'!$R$3</f>
        <v>44090</v>
      </c>
      <c r="BB55">
        <f t="shared" si="5"/>
        <v>440.9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360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7792800</v>
      </c>
      <c r="BZ55" s="47">
        <f t="shared" si="9"/>
        <v>0.11179550354173083</v>
      </c>
      <c r="CG55">
        <f t="shared" si="10"/>
        <v>189</v>
      </c>
      <c r="CH55" s="91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8">
        <v>0.4</v>
      </c>
      <c r="DB55" s="72">
        <f t="shared" si="13"/>
        <v>1320000</v>
      </c>
      <c r="DC55">
        <f t="shared" si="41"/>
        <v>15534000</v>
      </c>
      <c r="DD55" s="48">
        <v>0.5</v>
      </c>
      <c r="DE55" s="48">
        <f t="shared" si="34"/>
        <v>0.5</v>
      </c>
      <c r="DF55" s="75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91"/>
      <c r="DO55" s="91"/>
      <c r="DP55">
        <f t="shared" si="19"/>
        <v>43603.174603174601</v>
      </c>
      <c r="DQ55" s="91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440.9</v>
      </c>
      <c r="DZ55" s="91"/>
      <c r="EB55">
        <f t="shared" si="25"/>
        <v>440.9</v>
      </c>
      <c r="EC55">
        <f>B55*(3-1.333)*'Chest&amp;Cards&amp;Offer'!$J$70/100</f>
        <v>76.515299999999996</v>
      </c>
      <c r="ED55">
        <f t="shared" si="26"/>
        <v>517.4153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89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99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20414400</v>
      </c>
      <c r="AT56">
        <f>SUM(AO56:AP56)*'Chest&amp;Cards&amp;Offer'!$N$5</f>
        <v>62160000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12009600</v>
      </c>
      <c r="BA56">
        <f>AZ56/'Chest&amp;Cards&amp;Offer'!$R$3</f>
        <v>50040</v>
      </c>
      <c r="BB56">
        <f t="shared" si="5"/>
        <v>500.4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8404800</v>
      </c>
      <c r="BZ56" s="47">
        <f t="shared" si="9"/>
        <v>7.7098800685322669E-2</v>
      </c>
      <c r="CG56">
        <f t="shared" si="10"/>
        <v>194</v>
      </c>
      <c r="CH56" s="91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8">
        <v>0.4</v>
      </c>
      <c r="DB56" s="72">
        <f t="shared" si="13"/>
        <v>1320000</v>
      </c>
      <c r="DC56">
        <f t="shared" si="41"/>
        <v>16854000</v>
      </c>
      <c r="DD56" s="48">
        <v>0.5</v>
      </c>
      <c r="DE56" s="48">
        <f t="shared" si="34"/>
        <v>0.5</v>
      </c>
      <c r="DF56" s="75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91"/>
      <c r="DO56" s="91"/>
      <c r="DP56">
        <f t="shared" si="19"/>
        <v>45881.443298969069</v>
      </c>
      <c r="DQ56" s="91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500.4</v>
      </c>
      <c r="DZ56" s="91"/>
      <c r="EB56">
        <f>BB56</f>
        <v>500.4</v>
      </c>
      <c r="EC56">
        <f>B56*(3-1.333)*'Chest&amp;Cards&amp;Offer'!$J$70/100</f>
        <v>78.015599999999992</v>
      </c>
      <c r="ED56">
        <f t="shared" si="26"/>
        <v>578.41559999999993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89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99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22454400</v>
      </c>
      <c r="AT57">
        <f>SUM(AO57:AP57)*'Chest&amp;Cards&amp;Offer'!$N$5</f>
        <v>62160000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13437600</v>
      </c>
      <c r="BA57">
        <f>AZ57/'Chest&amp;Cards&amp;Offer'!$R$3</f>
        <v>55990</v>
      </c>
      <c r="BB57">
        <f t="shared" si="5"/>
        <v>559.9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9016800</v>
      </c>
      <c r="BZ57" s="47">
        <f t="shared" si="9"/>
        <v>4.7112057492680333E-2</v>
      </c>
      <c r="CG57">
        <f t="shared" si="10"/>
        <v>199</v>
      </c>
      <c r="CH57" s="91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8">
        <v>0.4</v>
      </c>
      <c r="DB57" s="72">
        <f t="shared" si="13"/>
        <v>1320000</v>
      </c>
      <c r="DC57">
        <f t="shared" si="41"/>
        <v>18174000</v>
      </c>
      <c r="DD57" s="48">
        <v>0.5</v>
      </c>
      <c r="DE57" s="48">
        <f t="shared" si="34"/>
        <v>0.5</v>
      </c>
      <c r="DF57" s="75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91"/>
      <c r="DO57" s="91"/>
      <c r="DP57">
        <f t="shared" si="19"/>
        <v>48045.226130653267</v>
      </c>
      <c r="DQ57" s="91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559.9</v>
      </c>
      <c r="DZ57" s="91"/>
      <c r="EB57">
        <f t="shared" si="25"/>
        <v>559.9</v>
      </c>
      <c r="EC57">
        <f>B57*(3-1.333)*'Chest&amp;Cards&amp;Offer'!$J$70/100</f>
        <v>79.515900000000002</v>
      </c>
      <c r="ED57">
        <f t="shared" si="26"/>
        <v>639.41589999999997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D57" t="s">
        <v>271</v>
      </c>
    </row>
    <row r="58" spans="1:189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99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24494400</v>
      </c>
      <c r="AT58">
        <f>SUM(AO58:AP58)*'Chest&amp;Cards&amp;Offer'!$N$5</f>
        <v>62160000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14865600</v>
      </c>
      <c r="BA58">
        <f>AZ58/'Chest&amp;Cards&amp;Offer'!$R$3</f>
        <v>61940</v>
      </c>
      <c r="BB58">
        <f t="shared" si="5"/>
        <v>619.4</v>
      </c>
      <c r="BC58">
        <v>54</v>
      </c>
      <c r="BD58">
        <f>SUM(AY41:AY58)</f>
        <v>12429600</v>
      </c>
      <c r="BE58">
        <f>BD58/'Chest&amp;Cards&amp;Offer'!$R$3</f>
        <v>51790</v>
      </c>
      <c r="BF58">
        <f>BE58/100</f>
        <v>517.9</v>
      </c>
      <c r="BG58">
        <f>SUM(AX41:AX58)</f>
        <v>6218400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9628800</v>
      </c>
      <c r="BZ58" s="47">
        <f t="shared" si="9"/>
        <v>2.0937188434695914E-2</v>
      </c>
      <c r="CB58">
        <f>BF58</f>
        <v>517.9</v>
      </c>
      <c r="CC58">
        <f>CB58/2</f>
        <v>258.95</v>
      </c>
      <c r="CF58">
        <f>BJ58</f>
        <v>204</v>
      </c>
      <c r="CG58">
        <f t="shared" si="10"/>
        <v>204</v>
      </c>
      <c r="CH58" s="91"/>
      <c r="CI58" s="44">
        <f t="shared" si="35"/>
        <v>18</v>
      </c>
      <c r="CJ58" s="44">
        <f t="shared" si="35"/>
        <v>1620</v>
      </c>
      <c r="CK58" s="44">
        <f>CJ58+BE58/3</f>
        <v>18883.333333333332</v>
      </c>
      <c r="CN58">
        <f>CK58*2</f>
        <v>37766.666666666664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8">
        <v>0.4</v>
      </c>
      <c r="DB58" s="72">
        <f t="shared" si="13"/>
        <v>1320000</v>
      </c>
      <c r="DC58">
        <f t="shared" si="41"/>
        <v>19494000</v>
      </c>
      <c r="DD58" s="48">
        <v>0.5</v>
      </c>
      <c r="DE58" s="48">
        <f t="shared" si="34"/>
        <v>0.5</v>
      </c>
      <c r="DF58" s="75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91"/>
      <c r="DO58" s="91"/>
      <c r="DP58">
        <f t="shared" si="19"/>
        <v>50102.941176470587</v>
      </c>
      <c r="DQ58" s="91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619.4</v>
      </c>
      <c r="DZ58" s="91"/>
      <c r="EB58">
        <f t="shared" si="25"/>
        <v>619.4</v>
      </c>
      <c r="EC58">
        <f>B58*(3-1.333)*'Chest&amp;Cards&amp;Offer'!$J$70/100</f>
        <v>81.016199999999998</v>
      </c>
      <c r="ED58">
        <f t="shared" si="26"/>
        <v>700.4162</v>
      </c>
      <c r="EE58">
        <f t="shared" si="27"/>
        <v>390</v>
      </c>
      <c r="EF58">
        <f>ED58/EE58*100</f>
        <v>179.59389743589745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89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100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24770400</v>
      </c>
      <c r="AT59">
        <f>SUM(AO59:AP59)*'Chest&amp;Cards&amp;Offer'!$N$5</f>
        <v>62160000</v>
      </c>
      <c r="AU59" s="40">
        <f t="shared" si="29"/>
        <v>276000</v>
      </c>
      <c r="AW59" s="42">
        <v>0.8</v>
      </c>
      <c r="AX59">
        <f t="shared" si="3"/>
        <v>55199.999999999985</v>
      </c>
      <c r="AY59">
        <f t="shared" si="4"/>
        <v>220800</v>
      </c>
      <c r="AZ59">
        <f>SUM($AY$5:AY59)</f>
        <v>15086400</v>
      </c>
      <c r="BA59">
        <f>AZ59/'Chest&amp;Cards&amp;Offer'!$R$3</f>
        <v>62860</v>
      </c>
      <c r="BB59">
        <f t="shared" si="5"/>
        <v>628.6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9684000</v>
      </c>
      <c r="BZ59" s="47">
        <f t="shared" si="9"/>
        <v>4.287484510532838E-2</v>
      </c>
      <c r="CC59" t="s">
        <v>426</v>
      </c>
      <c r="CG59">
        <f t="shared" si="10"/>
        <v>208</v>
      </c>
      <c r="CH59" s="91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8">
        <v>0.5</v>
      </c>
      <c r="DB59" s="72">
        <f t="shared" si="13"/>
        <v>600000</v>
      </c>
      <c r="DC59">
        <f t="shared" si="41"/>
        <v>16845000</v>
      </c>
      <c r="DD59" s="48">
        <v>0.5</v>
      </c>
      <c r="DE59" s="48">
        <f t="shared" si="34"/>
        <v>0.5</v>
      </c>
      <c r="DF59" s="75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91">
        <f>SUM(DI59:DI64)</f>
        <v>3300000</v>
      </c>
      <c r="DO59" s="91">
        <f>DK64-DK59</f>
        <v>32</v>
      </c>
      <c r="DP59">
        <f t="shared" si="19"/>
        <v>50581.730769230766</v>
      </c>
      <c r="DQ59" s="91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628.6</v>
      </c>
      <c r="DZ59" s="91"/>
      <c r="EB59">
        <f t="shared" si="25"/>
        <v>628.6</v>
      </c>
      <c r="EC59">
        <f>B59*(3-1.333)*'Chest&amp;Cards&amp;Offer'!$J$70/100</f>
        <v>82.516499999999994</v>
      </c>
      <c r="ED59">
        <f t="shared" si="26"/>
        <v>711.11649999999997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89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100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25046400</v>
      </c>
      <c r="AT60">
        <f>SUM(AO60:AP60)*'Chest&amp;Cards&amp;Offer'!$N$5</f>
        <v>62160000</v>
      </c>
      <c r="AU60" s="40">
        <f t="shared" si="29"/>
        <v>276000</v>
      </c>
      <c r="AW60" s="42">
        <v>0.8</v>
      </c>
      <c r="AX60">
        <f t="shared" si="3"/>
        <v>55199.999999999985</v>
      </c>
      <c r="AY60">
        <f t="shared" si="4"/>
        <v>220800</v>
      </c>
      <c r="AZ60">
        <f>SUM($AY$5:AY60)</f>
        <v>15307200</v>
      </c>
      <c r="BA60">
        <f>AZ60/'Chest&amp;Cards&amp;Offer'!$R$3</f>
        <v>63780</v>
      </c>
      <c r="BB60">
        <f t="shared" si="5"/>
        <v>637.79999999999995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9739200</v>
      </c>
      <c r="BZ60" s="47">
        <f t="shared" si="9"/>
        <v>6.4563824544110401E-2</v>
      </c>
      <c r="CG60">
        <f t="shared" si="10"/>
        <v>212</v>
      </c>
      <c r="CH60" s="91"/>
      <c r="CI60" s="44">
        <f t="shared" si="35"/>
        <v>2</v>
      </c>
      <c r="CJ60" s="44">
        <f t="shared" si="35"/>
        <v>180</v>
      </c>
      <c r="CK60" s="43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8">
        <v>0.5</v>
      </c>
      <c r="DB60" s="72">
        <f t="shared" si="13"/>
        <v>600000</v>
      </c>
      <c r="DC60">
        <f t="shared" si="41"/>
        <v>17445000</v>
      </c>
      <c r="DD60" s="48">
        <v>0.5</v>
      </c>
      <c r="DE60" s="48">
        <f t="shared" si="34"/>
        <v>0.5</v>
      </c>
      <c r="DF60" s="75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91"/>
      <c r="DO60" s="91"/>
      <c r="DP60">
        <f t="shared" si="19"/>
        <v>51042.452830188682</v>
      </c>
      <c r="DQ60" s="91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637.79999999999995</v>
      </c>
      <c r="DZ60" s="91"/>
      <c r="EB60">
        <f t="shared" si="25"/>
        <v>637.79999999999995</v>
      </c>
      <c r="EC60">
        <f>B60*(3-1.333)*'Chest&amp;Cards&amp;Offer'!$J$70/100</f>
        <v>84.016800000000003</v>
      </c>
      <c r="ED60">
        <f t="shared" si="26"/>
        <v>721.81679999999994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89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100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27806400</v>
      </c>
      <c r="AT61">
        <f>SUM(AO61:AP61)*'Chest&amp;Cards&amp;Offer'!$N$5</f>
        <v>62160000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17515200</v>
      </c>
      <c r="BA61">
        <f>AZ61/'Chest&amp;Cards&amp;Offer'!$R$3</f>
        <v>72980</v>
      </c>
      <c r="BB61">
        <f t="shared" si="5"/>
        <v>729.8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10291200</v>
      </c>
      <c r="BZ61" s="47">
        <f t="shared" si="9"/>
        <v>3.3582089552238806E-2</v>
      </c>
      <c r="CG61">
        <f t="shared" si="10"/>
        <v>219</v>
      </c>
      <c r="CH61" s="91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8">
        <v>0.5</v>
      </c>
      <c r="DB61" s="72">
        <f t="shared" si="13"/>
        <v>1350000</v>
      </c>
      <c r="DC61">
        <f t="shared" si="41"/>
        <v>18795000</v>
      </c>
      <c r="DD61" s="48">
        <v>0.5</v>
      </c>
      <c r="DE61" s="48">
        <f t="shared" si="34"/>
        <v>0.5</v>
      </c>
      <c r="DF61" s="75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91"/>
      <c r="DO61" s="91"/>
      <c r="DP61">
        <f t="shared" si="19"/>
        <v>52493.150684931505</v>
      </c>
      <c r="DQ61" s="91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729.8</v>
      </c>
      <c r="DZ61" s="91"/>
      <c r="EB61">
        <f t="shared" si="25"/>
        <v>729.8</v>
      </c>
      <c r="EC61">
        <f>B61*(3-1.333)*'Chest&amp;Cards&amp;Offer'!$J$70/100</f>
        <v>85.517100000000013</v>
      </c>
      <c r="ED61">
        <f t="shared" si="26"/>
        <v>815.31709999999998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89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100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30566400</v>
      </c>
      <c r="AT62">
        <f>SUM(AO62:AP62)*'Chest&amp;Cards&amp;Offer'!$N$5</f>
        <v>77760000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19723200</v>
      </c>
      <c r="BA62">
        <f>AZ62/'Chest&amp;Cards&amp;Offer'!$R$3</f>
        <v>82180</v>
      </c>
      <c r="BB62">
        <f t="shared" si="5"/>
        <v>821.8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10843200</v>
      </c>
      <c r="BZ62" s="47">
        <f t="shared" si="9"/>
        <v>6.6401062416998674E-3</v>
      </c>
      <c r="CG62">
        <f t="shared" si="10"/>
        <v>226</v>
      </c>
      <c r="CH62" s="91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8">
        <v>0.5</v>
      </c>
      <c r="DB62" s="72">
        <f t="shared" si="13"/>
        <v>1350000</v>
      </c>
      <c r="DC62">
        <f t="shared" si="41"/>
        <v>20145000</v>
      </c>
      <c r="DD62" s="48">
        <v>0.5</v>
      </c>
      <c r="DE62" s="48">
        <f t="shared" si="34"/>
        <v>0.5</v>
      </c>
      <c r="DF62" s="75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91"/>
      <c r="DO62" s="91"/>
      <c r="DP62">
        <f t="shared" si="19"/>
        <v>53853.982300884956</v>
      </c>
      <c r="DQ62" s="91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821.8</v>
      </c>
      <c r="DZ62" s="91"/>
      <c r="EB62">
        <f t="shared" si="25"/>
        <v>821.8</v>
      </c>
      <c r="EC62">
        <f>B62*(3-1.333)*'Chest&amp;Cards&amp;Offer'!$J$70/100</f>
        <v>87.017399999999995</v>
      </c>
      <c r="ED62">
        <f t="shared" si="26"/>
        <v>908.81739999999991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D62" t="s">
        <v>274</v>
      </c>
    </row>
    <row r="63" spans="1:189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100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33326400</v>
      </c>
      <c r="AT63">
        <f>SUM(AO63:AP63)*'Chest&amp;Cards&amp;Offer'!$N$5</f>
        <v>93360000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21931200</v>
      </c>
      <c r="BA63">
        <f>AZ63/'Chest&amp;Cards&amp;Offer'!$R$3</f>
        <v>91380</v>
      </c>
      <c r="BB63">
        <f t="shared" si="5"/>
        <v>913.8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11395200</v>
      </c>
      <c r="BZ63" s="47">
        <f t="shared" si="9"/>
        <v>-1.7691659646166806E-2</v>
      </c>
      <c r="CG63">
        <f t="shared" si="10"/>
        <v>233</v>
      </c>
      <c r="CH63" s="91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8">
        <v>0.5</v>
      </c>
      <c r="DB63" s="72">
        <f t="shared" si="13"/>
        <v>1350000</v>
      </c>
      <c r="DC63">
        <f t="shared" si="41"/>
        <v>21495000</v>
      </c>
      <c r="DD63" s="48">
        <v>0.5</v>
      </c>
      <c r="DE63" s="48">
        <f t="shared" ref="DE63:DE64" si="45">1-DD63</f>
        <v>0.5</v>
      </c>
      <c r="DF63" s="75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91"/>
      <c r="DO63" s="91"/>
      <c r="DP63">
        <f t="shared" si="19"/>
        <v>55133.047210300429</v>
      </c>
      <c r="DQ63" s="91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913.8</v>
      </c>
      <c r="DZ63" s="91"/>
      <c r="EB63">
        <f t="shared" si="25"/>
        <v>913.8</v>
      </c>
      <c r="EC63">
        <f>B63*(3-1.333)*'Chest&amp;Cards&amp;Offer'!$J$70/100</f>
        <v>88.517700000000005</v>
      </c>
      <c r="ED63">
        <f t="shared" si="26"/>
        <v>1002.3176999999999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D63" t="s">
        <v>275</v>
      </c>
    </row>
    <row r="64" spans="1:189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100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36086400</v>
      </c>
      <c r="AT64">
        <f>SUM(AO64:AP64)*'Chest&amp;Cards&amp;Offer'!$N$5</f>
        <v>93360000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24139200</v>
      </c>
      <c r="BA64">
        <f>AZ64/'Chest&amp;Cards&amp;Offer'!$R$3</f>
        <v>100580</v>
      </c>
      <c r="BB64">
        <f t="shared" si="5"/>
        <v>1005.8</v>
      </c>
      <c r="BC64">
        <v>60</v>
      </c>
      <c r="BD64">
        <f>SUM(AY59:AY64)</f>
        <v>9273600</v>
      </c>
      <c r="BE64">
        <f>BD64/'Chest&amp;Cards&amp;Offer'!$R$3</f>
        <v>38640</v>
      </c>
      <c r="BF64">
        <f>BE64/100</f>
        <v>386.4</v>
      </c>
      <c r="BG64">
        <f>SUM(AX59:AX64)</f>
        <v>2318399.9999999995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11947200</v>
      </c>
      <c r="BZ64" s="47">
        <f t="shared" si="9"/>
        <v>-3.8971474487746086E-2</v>
      </c>
      <c r="CB64">
        <f>BF64</f>
        <v>386.4</v>
      </c>
      <c r="CC64">
        <f>CB64/2</f>
        <v>193.2</v>
      </c>
      <c r="CG64">
        <f t="shared" si="10"/>
        <v>240</v>
      </c>
      <c r="CH64" s="91"/>
      <c r="CI64" s="44">
        <f t="shared" si="35"/>
        <v>6</v>
      </c>
      <c r="CJ64" s="44">
        <f t="shared" si="35"/>
        <v>540</v>
      </c>
      <c r="CK64" s="44">
        <f>CJ64+BE64/3</f>
        <v>13420</v>
      </c>
      <c r="CN64">
        <f>CK64*2</f>
        <v>26840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8">
        <v>0.5</v>
      </c>
      <c r="DB64" s="72">
        <f t="shared" si="13"/>
        <v>1350000</v>
      </c>
      <c r="DC64">
        <f t="shared" si="41"/>
        <v>22845000</v>
      </c>
      <c r="DD64" s="48">
        <v>0.5</v>
      </c>
      <c r="DE64" s="48">
        <f t="shared" si="45"/>
        <v>0.5</v>
      </c>
      <c r="DF64" s="75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91"/>
      <c r="DO64" s="91"/>
      <c r="DP64">
        <f t="shared" si="19"/>
        <v>56337.5</v>
      </c>
      <c r="DQ64" s="91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1005.8</v>
      </c>
      <c r="DZ64" s="91"/>
      <c r="EB64">
        <f t="shared" si="25"/>
        <v>1005.8</v>
      </c>
      <c r="EC64">
        <f>B64*(3-1.333)*'Chest&amp;Cards&amp;Offer'!$J$70/100</f>
        <v>90.017999999999986</v>
      </c>
      <c r="ED64">
        <f t="shared" si="26"/>
        <v>1095.818</v>
      </c>
      <c r="EE64">
        <f t="shared" si="27"/>
        <v>452</v>
      </c>
      <c r="EF64">
        <f>ED64/EE64*100</f>
        <v>242.43761061946901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86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619</v>
      </c>
      <c r="EH65" s="7"/>
      <c r="EI65" s="7"/>
      <c r="EJ65" s="7"/>
      <c r="EK65" s="7"/>
      <c r="EL65" s="7"/>
      <c r="EM65" s="7"/>
      <c r="EN65" s="7"/>
      <c r="GD65" t="s">
        <v>276</v>
      </c>
    </row>
    <row r="66" spans="1:186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688</v>
      </c>
      <c r="AT66" t="s">
        <v>687</v>
      </c>
      <c r="DZ66" t="s">
        <v>620</v>
      </c>
      <c r="EH66" s="7"/>
      <c r="EI66" s="7"/>
      <c r="EJ66" s="7"/>
      <c r="EK66" s="7"/>
      <c r="EL66" s="7"/>
      <c r="EM66" s="7"/>
      <c r="EN66" s="7"/>
    </row>
    <row r="67" spans="1:186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1503.6</v>
      </c>
      <c r="AT67">
        <f>AT64/'Chest&amp;Cards&amp;Offer'!P3</f>
        <v>3890</v>
      </c>
      <c r="DZ67" t="s">
        <v>621</v>
      </c>
      <c r="EH67" s="7"/>
      <c r="EI67" s="7"/>
      <c r="EJ67" s="7"/>
      <c r="EK67" s="7"/>
      <c r="EL67" s="7"/>
      <c r="EM67" s="7"/>
      <c r="EN67" s="7"/>
    </row>
    <row r="68" spans="1:186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689</v>
      </c>
      <c r="BE68" t="s">
        <v>373</v>
      </c>
      <c r="BF68">
        <f>SUM(BF5:BF64)</f>
        <v>1005.8</v>
      </c>
      <c r="DZ68" t="s">
        <v>622</v>
      </c>
      <c r="EH68" s="7"/>
      <c r="EI68" s="7"/>
      <c r="EJ68" s="7"/>
      <c r="EK68" s="7"/>
      <c r="EL68" s="7"/>
      <c r="EM68" s="7"/>
      <c r="EN68" s="7"/>
      <c r="GD68" t="s">
        <v>278</v>
      </c>
    </row>
    <row r="69" spans="1:186" x14ac:dyDescent="0.2">
      <c r="A69" s="7"/>
      <c r="B69" s="7"/>
      <c r="AS69" t="s">
        <v>690</v>
      </c>
      <c r="BE69" t="s">
        <v>399</v>
      </c>
      <c r="BF69">
        <v>3</v>
      </c>
      <c r="GD69" t="s">
        <v>277</v>
      </c>
    </row>
    <row r="70" spans="1:186" x14ac:dyDescent="0.2">
      <c r="A70" s="7"/>
      <c r="B70" s="7"/>
      <c r="BE70" t="s">
        <v>623</v>
      </c>
      <c r="DZ70" s="80" t="s">
        <v>630</v>
      </c>
    </row>
    <row r="71" spans="1:186" x14ac:dyDescent="0.2">
      <c r="A71" s="7"/>
      <c r="B71" s="7"/>
      <c r="BE71" t="s">
        <v>624</v>
      </c>
      <c r="DY71" s="1"/>
      <c r="DZ71" s="1">
        <v>240</v>
      </c>
      <c r="EA71" s="1"/>
    </row>
    <row r="72" spans="1:186" x14ac:dyDescent="0.2">
      <c r="A72" s="7"/>
      <c r="B72" s="7"/>
      <c r="DY72" s="1"/>
      <c r="DZ72" s="1" t="s">
        <v>625</v>
      </c>
      <c r="EA72" s="1"/>
    </row>
    <row r="73" spans="1:186" x14ac:dyDescent="0.2">
      <c r="A73" s="7"/>
      <c r="B73" s="7"/>
      <c r="DY73" s="1"/>
      <c r="DZ73" s="1" t="s">
        <v>626</v>
      </c>
      <c r="EA73" s="1"/>
    </row>
    <row r="74" spans="1:186" x14ac:dyDescent="0.2">
      <c r="A74" s="7"/>
      <c r="B74" s="7"/>
      <c r="BE74" t="s">
        <v>400</v>
      </c>
      <c r="DY74" s="1"/>
      <c r="DZ74" s="1" t="s">
        <v>627</v>
      </c>
      <c r="EA74" s="1"/>
    </row>
    <row r="75" spans="1:186" x14ac:dyDescent="0.2">
      <c r="A75" s="7"/>
      <c r="B75" s="7"/>
      <c r="BF75">
        <f>BF68*BF69</f>
        <v>3017.3999999999996</v>
      </c>
      <c r="DY75" s="1"/>
      <c r="DZ75" s="1"/>
      <c r="EA75" s="1"/>
    </row>
    <row r="76" spans="1:186" x14ac:dyDescent="0.2">
      <c r="A76" s="7"/>
      <c r="B76" s="7"/>
      <c r="X76" t="s">
        <v>330</v>
      </c>
      <c r="DY76" s="1" t="s">
        <v>628</v>
      </c>
      <c r="DZ76" s="1">
        <f>DG64</f>
        <v>13161000</v>
      </c>
      <c r="EA76" s="79">
        <f>DZ76/($DZ$76+$DZ$77)</f>
        <v>0.35283993115318418</v>
      </c>
      <c r="EB76">
        <f>$DX$65*EA76</f>
        <v>6706781.4113597246</v>
      </c>
      <c r="EI76" t="s">
        <v>330</v>
      </c>
    </row>
    <row r="77" spans="1:186" x14ac:dyDescent="0.2">
      <c r="A77" s="7"/>
      <c r="B77" s="7"/>
      <c r="BE77" t="s">
        <v>401</v>
      </c>
      <c r="DY77" s="1" t="s">
        <v>629</v>
      </c>
      <c r="DZ77" s="1">
        <f>DY64*'Chest&amp;Cards&amp;Offer'!P3</f>
        <v>24139200</v>
      </c>
      <c r="EA77" s="79">
        <f>DZ77/($DZ$76+$DZ$77)</f>
        <v>0.64716006884681587</v>
      </c>
      <c r="EB77">
        <f>$DX$65*EA77</f>
        <v>12301218.588640276</v>
      </c>
      <c r="EC77">
        <f>EB77/(500*100)</f>
        <v>246.02437177280552</v>
      </c>
    </row>
    <row r="78" spans="1:186" x14ac:dyDescent="0.2">
      <c r="A78" s="7"/>
      <c r="B78" s="7"/>
    </row>
    <row r="79" spans="1:186" x14ac:dyDescent="0.2">
      <c r="A79" s="7"/>
      <c r="B79" s="7"/>
    </row>
    <row r="80" spans="1:186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HZ3:IB3"/>
    <mergeCell ref="IE3:IG3"/>
    <mergeCell ref="GZ3:HB3"/>
    <mergeCell ref="I41:I58"/>
    <mergeCell ref="HU3:HW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  <mergeCell ref="HD3:HF3"/>
    <mergeCell ref="HI3:HK3"/>
    <mergeCell ref="HM3:HO3"/>
    <mergeCell ref="HQ3:HS3"/>
    <mergeCell ref="BD3:BG3"/>
    <mergeCell ref="CQ3:CX3"/>
    <mergeCell ref="AZ3:BB3"/>
    <mergeCell ref="CH5:CH22"/>
    <mergeCell ref="CH23:CH40"/>
    <mergeCell ref="CH41:CH58"/>
    <mergeCell ref="CH59:CH64"/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topLeftCell="I1" zoomScale="91" workbookViewId="0">
      <selection activeCell="G33" sqref="G33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602</v>
      </c>
      <c r="I1" t="s">
        <v>603</v>
      </c>
      <c r="K1" t="s">
        <v>532</v>
      </c>
      <c r="M1" t="s">
        <v>604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52</v>
      </c>
      <c r="I566">
        <f t="shared" si="8"/>
        <v>51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52</v>
      </c>
      <c r="I567">
        <f t="shared" si="8"/>
        <v>51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52</v>
      </c>
      <c r="I568">
        <f t="shared" si="8"/>
        <v>51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52</v>
      </c>
      <c r="I569">
        <f t="shared" si="8"/>
        <v>51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52</v>
      </c>
      <c r="I570">
        <f t="shared" si="8"/>
        <v>51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52</v>
      </c>
      <c r="I571">
        <f t="shared" si="8"/>
        <v>51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52</v>
      </c>
      <c r="I572">
        <f t="shared" si="8"/>
        <v>51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52</v>
      </c>
      <c r="I573">
        <f t="shared" si="8"/>
        <v>51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52</v>
      </c>
      <c r="I574">
        <f t="shared" si="8"/>
        <v>51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52</v>
      </c>
      <c r="I575">
        <f t="shared" si="8"/>
        <v>51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52</v>
      </c>
      <c r="I576">
        <f t="shared" si="8"/>
        <v>51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52</v>
      </c>
      <c r="I577">
        <f t="shared" si="8"/>
        <v>51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52</v>
      </c>
      <c r="I578">
        <f t="shared" si="8"/>
        <v>51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52</v>
      </c>
      <c r="I579">
        <f t="shared" ref="I579:I642" si="9">D579-1</f>
        <v>51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52</v>
      </c>
      <c r="I580">
        <f t="shared" si="9"/>
        <v>51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53</v>
      </c>
      <c r="I581">
        <f t="shared" si="9"/>
        <v>52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53</v>
      </c>
      <c r="I582">
        <f t="shared" si="9"/>
        <v>52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53</v>
      </c>
      <c r="I583">
        <f t="shared" si="9"/>
        <v>52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53</v>
      </c>
      <c r="I584">
        <f t="shared" si="9"/>
        <v>52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53</v>
      </c>
      <c r="I585">
        <f t="shared" si="9"/>
        <v>52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53</v>
      </c>
      <c r="I586">
        <f t="shared" si="9"/>
        <v>52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53</v>
      </c>
      <c r="I587">
        <f t="shared" si="9"/>
        <v>52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53</v>
      </c>
      <c r="I588">
        <f t="shared" si="9"/>
        <v>52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53</v>
      </c>
      <c r="I589">
        <f t="shared" si="9"/>
        <v>52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53</v>
      </c>
      <c r="I590">
        <f t="shared" si="9"/>
        <v>52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53</v>
      </c>
      <c r="I591">
        <f t="shared" si="9"/>
        <v>52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53</v>
      </c>
      <c r="I592">
        <f t="shared" si="9"/>
        <v>52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53</v>
      </c>
      <c r="I593">
        <f t="shared" si="9"/>
        <v>52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53</v>
      </c>
      <c r="I594">
        <f t="shared" si="9"/>
        <v>52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53</v>
      </c>
      <c r="I595">
        <f t="shared" si="9"/>
        <v>52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54</v>
      </c>
      <c r="I596">
        <f t="shared" si="9"/>
        <v>53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54</v>
      </c>
      <c r="I597">
        <f t="shared" si="9"/>
        <v>53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54</v>
      </c>
      <c r="I598">
        <f t="shared" si="9"/>
        <v>53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54</v>
      </c>
      <c r="I599">
        <f t="shared" si="9"/>
        <v>53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54</v>
      </c>
      <c r="I600">
        <f t="shared" si="9"/>
        <v>53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54</v>
      </c>
      <c r="I601">
        <f t="shared" si="9"/>
        <v>53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54</v>
      </c>
      <c r="I602">
        <f t="shared" si="9"/>
        <v>53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54</v>
      </c>
      <c r="I603">
        <f t="shared" si="9"/>
        <v>53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54</v>
      </c>
      <c r="I604">
        <f t="shared" si="9"/>
        <v>53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54</v>
      </c>
      <c r="I605">
        <f t="shared" si="9"/>
        <v>53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54</v>
      </c>
      <c r="I606">
        <f t="shared" si="9"/>
        <v>53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54</v>
      </c>
      <c r="I607">
        <f t="shared" si="9"/>
        <v>53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54</v>
      </c>
      <c r="I608">
        <f t="shared" si="9"/>
        <v>53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54</v>
      </c>
      <c r="I609">
        <f t="shared" si="9"/>
        <v>53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54</v>
      </c>
      <c r="I610">
        <f t="shared" si="9"/>
        <v>53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55</v>
      </c>
      <c r="I611">
        <f t="shared" si="9"/>
        <v>54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55</v>
      </c>
      <c r="I612">
        <f t="shared" si="9"/>
        <v>54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55</v>
      </c>
      <c r="I613">
        <f t="shared" si="9"/>
        <v>54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55</v>
      </c>
      <c r="I614">
        <f t="shared" si="9"/>
        <v>54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55</v>
      </c>
      <c r="I615">
        <f t="shared" si="9"/>
        <v>54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55</v>
      </c>
      <c r="I616">
        <f t="shared" si="9"/>
        <v>54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55</v>
      </c>
      <c r="I617">
        <f t="shared" si="9"/>
        <v>54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55</v>
      </c>
      <c r="I618">
        <f t="shared" si="9"/>
        <v>54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55</v>
      </c>
      <c r="I619">
        <f t="shared" si="9"/>
        <v>54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55</v>
      </c>
      <c r="I620">
        <f t="shared" si="9"/>
        <v>54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55</v>
      </c>
      <c r="I621">
        <f t="shared" si="9"/>
        <v>54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55</v>
      </c>
      <c r="I622">
        <f t="shared" si="9"/>
        <v>54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55</v>
      </c>
      <c r="I623">
        <f t="shared" si="9"/>
        <v>54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55</v>
      </c>
      <c r="I624">
        <f t="shared" si="9"/>
        <v>54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55</v>
      </c>
      <c r="I625">
        <f t="shared" si="9"/>
        <v>54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56</v>
      </c>
      <c r="I626">
        <f t="shared" si="9"/>
        <v>55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56</v>
      </c>
      <c r="I627">
        <f t="shared" si="9"/>
        <v>55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56</v>
      </c>
      <c r="I628">
        <f t="shared" si="9"/>
        <v>55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56</v>
      </c>
      <c r="I629">
        <f t="shared" si="9"/>
        <v>55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56</v>
      </c>
      <c r="I630">
        <f t="shared" si="9"/>
        <v>55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56</v>
      </c>
      <c r="I631">
        <f t="shared" si="9"/>
        <v>55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56</v>
      </c>
      <c r="I632">
        <f t="shared" si="9"/>
        <v>55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56</v>
      </c>
      <c r="I633">
        <f t="shared" si="9"/>
        <v>55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56</v>
      </c>
      <c r="I634">
        <f t="shared" si="9"/>
        <v>55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56</v>
      </c>
      <c r="I635">
        <f t="shared" si="9"/>
        <v>55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56</v>
      </c>
      <c r="I636">
        <f t="shared" si="9"/>
        <v>55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56</v>
      </c>
      <c r="I637">
        <f t="shared" si="9"/>
        <v>55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56</v>
      </c>
      <c r="I638">
        <f t="shared" si="9"/>
        <v>55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56</v>
      </c>
      <c r="I639">
        <f t="shared" si="9"/>
        <v>55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56</v>
      </c>
      <c r="I640">
        <f t="shared" si="9"/>
        <v>55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57</v>
      </c>
      <c r="I641">
        <f t="shared" si="9"/>
        <v>56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57</v>
      </c>
      <c r="I642">
        <f t="shared" si="9"/>
        <v>56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57</v>
      </c>
      <c r="I643">
        <f t="shared" ref="I643:I706" si="10">D643-1</f>
        <v>56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57</v>
      </c>
      <c r="I644">
        <f t="shared" si="10"/>
        <v>56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57</v>
      </c>
      <c r="I645">
        <f t="shared" si="10"/>
        <v>56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57</v>
      </c>
      <c r="I646">
        <f t="shared" si="10"/>
        <v>56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57</v>
      </c>
      <c r="I647">
        <f t="shared" si="10"/>
        <v>56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57</v>
      </c>
      <c r="I648">
        <f t="shared" si="10"/>
        <v>56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57</v>
      </c>
      <c r="I649">
        <f t="shared" si="10"/>
        <v>56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57</v>
      </c>
      <c r="I650">
        <f t="shared" si="10"/>
        <v>56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57</v>
      </c>
      <c r="I651">
        <f t="shared" si="10"/>
        <v>56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57</v>
      </c>
      <c r="I652">
        <f t="shared" si="10"/>
        <v>56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57</v>
      </c>
      <c r="I653">
        <f t="shared" si="10"/>
        <v>56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57</v>
      </c>
      <c r="I654">
        <f t="shared" si="10"/>
        <v>56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57</v>
      </c>
      <c r="I655">
        <f t="shared" si="10"/>
        <v>56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58</v>
      </c>
      <c r="I656">
        <f t="shared" si="10"/>
        <v>57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58</v>
      </c>
      <c r="I657">
        <f t="shared" si="10"/>
        <v>57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58</v>
      </c>
      <c r="I658">
        <f t="shared" si="10"/>
        <v>57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58</v>
      </c>
      <c r="I659">
        <f t="shared" si="10"/>
        <v>57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58</v>
      </c>
      <c r="I660">
        <f t="shared" si="10"/>
        <v>57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58</v>
      </c>
      <c r="I661">
        <f t="shared" si="10"/>
        <v>57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58</v>
      </c>
      <c r="I662">
        <f t="shared" si="10"/>
        <v>57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58</v>
      </c>
      <c r="I663">
        <f t="shared" si="10"/>
        <v>57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58</v>
      </c>
      <c r="I664">
        <f t="shared" si="10"/>
        <v>57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58</v>
      </c>
      <c r="I665">
        <f t="shared" si="10"/>
        <v>57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58</v>
      </c>
      <c r="I666">
        <f t="shared" si="10"/>
        <v>57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58</v>
      </c>
      <c r="I667">
        <f t="shared" si="10"/>
        <v>57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58</v>
      </c>
      <c r="I668">
        <f t="shared" si="10"/>
        <v>57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58</v>
      </c>
      <c r="I669">
        <f t="shared" si="10"/>
        <v>57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58</v>
      </c>
      <c r="I670">
        <f t="shared" si="10"/>
        <v>57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59</v>
      </c>
      <c r="I671">
        <f t="shared" si="10"/>
        <v>58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59</v>
      </c>
      <c r="I672">
        <f t="shared" si="10"/>
        <v>58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59</v>
      </c>
      <c r="I673">
        <f t="shared" si="10"/>
        <v>58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59</v>
      </c>
      <c r="I674">
        <f t="shared" si="10"/>
        <v>58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59</v>
      </c>
      <c r="I675">
        <f t="shared" si="10"/>
        <v>58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59</v>
      </c>
      <c r="I676">
        <f t="shared" si="10"/>
        <v>58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59</v>
      </c>
      <c r="I677">
        <f t="shared" si="10"/>
        <v>58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59</v>
      </c>
      <c r="I678">
        <f t="shared" si="10"/>
        <v>58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59</v>
      </c>
      <c r="I679">
        <f t="shared" si="10"/>
        <v>58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59</v>
      </c>
      <c r="I680">
        <f t="shared" si="10"/>
        <v>58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59</v>
      </c>
      <c r="I681">
        <f t="shared" si="10"/>
        <v>58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59</v>
      </c>
      <c r="I682">
        <f t="shared" si="10"/>
        <v>58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59</v>
      </c>
      <c r="I683">
        <f t="shared" si="10"/>
        <v>58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59</v>
      </c>
      <c r="I684">
        <f t="shared" si="10"/>
        <v>58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59</v>
      </c>
      <c r="I685">
        <f t="shared" si="10"/>
        <v>58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60</v>
      </c>
      <c r="I686">
        <f t="shared" si="10"/>
        <v>59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60</v>
      </c>
      <c r="I687">
        <f t="shared" si="10"/>
        <v>59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60</v>
      </c>
      <c r="I688">
        <f t="shared" si="10"/>
        <v>59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60</v>
      </c>
      <c r="I689">
        <f t="shared" si="10"/>
        <v>59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60</v>
      </c>
      <c r="I690">
        <f t="shared" si="10"/>
        <v>59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60</v>
      </c>
      <c r="I691">
        <f t="shared" si="10"/>
        <v>59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60</v>
      </c>
      <c r="I692">
        <f t="shared" si="10"/>
        <v>59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60</v>
      </c>
      <c r="I693">
        <f t="shared" si="10"/>
        <v>59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60</v>
      </c>
      <c r="I694">
        <f t="shared" si="10"/>
        <v>59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60</v>
      </c>
      <c r="I695">
        <f t="shared" si="10"/>
        <v>59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60</v>
      </c>
      <c r="I696">
        <f t="shared" si="10"/>
        <v>59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60</v>
      </c>
      <c r="I697">
        <f t="shared" si="10"/>
        <v>59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60</v>
      </c>
      <c r="I698">
        <f t="shared" si="10"/>
        <v>59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60</v>
      </c>
      <c r="I699">
        <f t="shared" si="10"/>
        <v>59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60</v>
      </c>
      <c r="I700">
        <f t="shared" si="10"/>
        <v>59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61</v>
      </c>
      <c r="I701">
        <f t="shared" si="10"/>
        <v>60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61</v>
      </c>
      <c r="I702">
        <f t="shared" si="10"/>
        <v>60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61</v>
      </c>
      <c r="I703">
        <f t="shared" si="10"/>
        <v>60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61</v>
      </c>
      <c r="I704">
        <f t="shared" si="10"/>
        <v>60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61</v>
      </c>
      <c r="I705">
        <f t="shared" si="10"/>
        <v>60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61</v>
      </c>
      <c r="I706">
        <f t="shared" si="10"/>
        <v>60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61</v>
      </c>
      <c r="I707">
        <f t="shared" ref="I707:I770" si="11">D707-1</f>
        <v>60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61</v>
      </c>
      <c r="I708">
        <f t="shared" si="11"/>
        <v>60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61</v>
      </c>
      <c r="I709">
        <f t="shared" si="11"/>
        <v>60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61</v>
      </c>
      <c r="I710">
        <f t="shared" si="11"/>
        <v>60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61</v>
      </c>
      <c r="I711">
        <f t="shared" si="11"/>
        <v>60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61</v>
      </c>
      <c r="I712">
        <f t="shared" si="11"/>
        <v>60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61</v>
      </c>
      <c r="I713">
        <f t="shared" si="11"/>
        <v>60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61</v>
      </c>
      <c r="I714">
        <f t="shared" si="11"/>
        <v>60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61</v>
      </c>
      <c r="I715">
        <f t="shared" si="11"/>
        <v>60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62</v>
      </c>
      <c r="I716">
        <f t="shared" si="11"/>
        <v>61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62</v>
      </c>
      <c r="I717">
        <f t="shared" si="11"/>
        <v>61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62</v>
      </c>
      <c r="I718">
        <f t="shared" si="11"/>
        <v>61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62</v>
      </c>
      <c r="I719">
        <f t="shared" si="11"/>
        <v>61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62</v>
      </c>
      <c r="I720">
        <f t="shared" si="11"/>
        <v>61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62</v>
      </c>
      <c r="I721">
        <f t="shared" si="11"/>
        <v>61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62</v>
      </c>
      <c r="I722">
        <f t="shared" si="11"/>
        <v>61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62</v>
      </c>
      <c r="I723">
        <f t="shared" si="11"/>
        <v>61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62</v>
      </c>
      <c r="I724">
        <f t="shared" si="11"/>
        <v>61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62</v>
      </c>
      <c r="I725">
        <f t="shared" si="11"/>
        <v>61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62</v>
      </c>
      <c r="I726">
        <f t="shared" si="11"/>
        <v>61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62</v>
      </c>
      <c r="I727">
        <f t="shared" si="11"/>
        <v>61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62</v>
      </c>
      <c r="I728">
        <f t="shared" si="11"/>
        <v>61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62</v>
      </c>
      <c r="I729">
        <f t="shared" si="11"/>
        <v>61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62</v>
      </c>
      <c r="I730">
        <f t="shared" si="11"/>
        <v>61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63</v>
      </c>
      <c r="I731">
        <f t="shared" si="11"/>
        <v>62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63</v>
      </c>
      <c r="I732">
        <f t="shared" si="11"/>
        <v>62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63</v>
      </c>
      <c r="I733">
        <f t="shared" si="11"/>
        <v>62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63</v>
      </c>
      <c r="I734">
        <f t="shared" si="11"/>
        <v>62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63</v>
      </c>
      <c r="I735">
        <f t="shared" si="11"/>
        <v>62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63</v>
      </c>
      <c r="I736">
        <f t="shared" si="11"/>
        <v>62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63</v>
      </c>
      <c r="I737">
        <f t="shared" si="11"/>
        <v>62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63</v>
      </c>
      <c r="I738">
        <f t="shared" si="11"/>
        <v>62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63</v>
      </c>
      <c r="I739">
        <f t="shared" si="11"/>
        <v>62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63</v>
      </c>
      <c r="I740">
        <f t="shared" si="11"/>
        <v>62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63</v>
      </c>
      <c r="I741">
        <f t="shared" si="11"/>
        <v>62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63</v>
      </c>
      <c r="I742">
        <f t="shared" si="11"/>
        <v>62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63</v>
      </c>
      <c r="I743">
        <f t="shared" si="11"/>
        <v>62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63</v>
      </c>
      <c r="I744">
        <f t="shared" si="11"/>
        <v>62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63</v>
      </c>
      <c r="I745">
        <f t="shared" si="11"/>
        <v>62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64</v>
      </c>
      <c r="I746">
        <f t="shared" si="11"/>
        <v>63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64</v>
      </c>
      <c r="I747">
        <f t="shared" si="11"/>
        <v>63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64</v>
      </c>
      <c r="I748">
        <f t="shared" si="11"/>
        <v>63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64</v>
      </c>
      <c r="I749">
        <f t="shared" si="11"/>
        <v>63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64</v>
      </c>
      <c r="I750">
        <f t="shared" si="11"/>
        <v>63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64</v>
      </c>
      <c r="I751">
        <f t="shared" si="11"/>
        <v>63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64</v>
      </c>
      <c r="I752">
        <f t="shared" si="11"/>
        <v>63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64</v>
      </c>
      <c r="I753">
        <f t="shared" si="11"/>
        <v>63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64</v>
      </c>
      <c r="I754">
        <f t="shared" si="11"/>
        <v>63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64</v>
      </c>
      <c r="I755">
        <f t="shared" si="11"/>
        <v>63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64</v>
      </c>
      <c r="I756">
        <f t="shared" si="11"/>
        <v>63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64</v>
      </c>
      <c r="I757">
        <f t="shared" si="11"/>
        <v>63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64</v>
      </c>
      <c r="I758">
        <f t="shared" si="11"/>
        <v>63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64</v>
      </c>
      <c r="I759">
        <f t="shared" si="11"/>
        <v>63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64</v>
      </c>
      <c r="I760">
        <f t="shared" si="11"/>
        <v>63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65</v>
      </c>
      <c r="I761">
        <f t="shared" si="11"/>
        <v>64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65</v>
      </c>
      <c r="I762">
        <f t="shared" si="11"/>
        <v>64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65</v>
      </c>
      <c r="I763">
        <f t="shared" si="11"/>
        <v>64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65</v>
      </c>
      <c r="I764">
        <f t="shared" si="11"/>
        <v>64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65</v>
      </c>
      <c r="I765">
        <f t="shared" si="11"/>
        <v>64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65</v>
      </c>
      <c r="I766">
        <f t="shared" si="11"/>
        <v>64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65</v>
      </c>
      <c r="I767">
        <f t="shared" si="11"/>
        <v>64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65</v>
      </c>
      <c r="I768">
        <f t="shared" si="11"/>
        <v>64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65</v>
      </c>
      <c r="I769">
        <f t="shared" si="11"/>
        <v>64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65</v>
      </c>
      <c r="I770">
        <f t="shared" si="11"/>
        <v>64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65</v>
      </c>
      <c r="I771">
        <f t="shared" ref="I771:I800" si="12">D771-1</f>
        <v>64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65</v>
      </c>
      <c r="I772">
        <f t="shared" si="12"/>
        <v>64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65</v>
      </c>
      <c r="I773">
        <f t="shared" si="12"/>
        <v>64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65</v>
      </c>
      <c r="I774">
        <f t="shared" si="12"/>
        <v>64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65</v>
      </c>
      <c r="I775">
        <f t="shared" si="12"/>
        <v>64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66</v>
      </c>
      <c r="I776">
        <f t="shared" si="12"/>
        <v>65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66</v>
      </c>
      <c r="I777">
        <f t="shared" si="12"/>
        <v>65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66</v>
      </c>
      <c r="I778">
        <f t="shared" si="12"/>
        <v>65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66</v>
      </c>
      <c r="I779">
        <f t="shared" si="12"/>
        <v>65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66</v>
      </c>
      <c r="I780">
        <f t="shared" si="12"/>
        <v>65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66</v>
      </c>
      <c r="I781">
        <f t="shared" si="12"/>
        <v>65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66</v>
      </c>
      <c r="I782">
        <f t="shared" si="12"/>
        <v>65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66</v>
      </c>
      <c r="I783">
        <f t="shared" si="12"/>
        <v>65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66</v>
      </c>
      <c r="I784">
        <f t="shared" si="12"/>
        <v>65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66</v>
      </c>
      <c r="I785">
        <f t="shared" si="12"/>
        <v>65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66</v>
      </c>
      <c r="I786">
        <f t="shared" si="12"/>
        <v>65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66</v>
      </c>
      <c r="I787">
        <f t="shared" si="12"/>
        <v>65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66</v>
      </c>
      <c r="I788">
        <f t="shared" si="12"/>
        <v>65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66</v>
      </c>
      <c r="I789">
        <f t="shared" si="12"/>
        <v>65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66</v>
      </c>
      <c r="I790">
        <f t="shared" si="12"/>
        <v>65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67</v>
      </c>
      <c r="I791">
        <f t="shared" si="12"/>
        <v>66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67</v>
      </c>
      <c r="I792">
        <f t="shared" si="12"/>
        <v>66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67</v>
      </c>
      <c r="I793">
        <f t="shared" si="12"/>
        <v>66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67</v>
      </c>
      <c r="I794">
        <f t="shared" si="12"/>
        <v>66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67</v>
      </c>
      <c r="I795">
        <f t="shared" si="12"/>
        <v>66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67</v>
      </c>
      <c r="I796">
        <f t="shared" si="12"/>
        <v>66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67</v>
      </c>
      <c r="I797">
        <f t="shared" si="12"/>
        <v>66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67</v>
      </c>
      <c r="I798">
        <f t="shared" si="12"/>
        <v>66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67</v>
      </c>
      <c r="I799">
        <f t="shared" si="12"/>
        <v>66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67</v>
      </c>
      <c r="I800">
        <f t="shared" si="12"/>
        <v>66</v>
      </c>
      <c r="K800" t="str">
        <f>IFERROR(VLOOKUP(A800,'Dungeon&amp;Framework'!DK:DV,10,FALSE),"")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3"/>
  <sheetViews>
    <sheetView zoomScale="85" workbookViewId="0">
      <selection activeCell="I20" sqref="A8:I20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600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2" t="s">
        <v>265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x14ac:dyDescent="0.2"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</row>
    <row r="6" spans="1:32" ht="18" x14ac:dyDescent="0.2">
      <c r="T6" s="58" t="s">
        <v>47</v>
      </c>
      <c r="U6" s="59" t="s">
        <v>258</v>
      </c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</row>
    <row r="7" spans="1:32" ht="18" x14ac:dyDescent="0.2">
      <c r="T7" s="60" t="s">
        <v>259</v>
      </c>
      <c r="U7" s="61" t="s">
        <v>260</v>
      </c>
      <c r="V7" s="62" t="s">
        <v>261</v>
      </c>
      <c r="W7" s="63" t="s">
        <v>219</v>
      </c>
      <c r="X7" s="56"/>
      <c r="Y7" s="56"/>
      <c r="Z7" s="56"/>
      <c r="AA7" s="56"/>
      <c r="AB7" s="56"/>
      <c r="AC7" s="56"/>
      <c r="AD7" s="56"/>
      <c r="AE7" s="56"/>
      <c r="AF7" s="57"/>
    </row>
    <row r="8" spans="1:32" ht="18" x14ac:dyDescent="0.2">
      <c r="E8" s="101" t="s">
        <v>222</v>
      </c>
      <c r="F8" s="101"/>
      <c r="G8" s="101"/>
      <c r="H8" s="1"/>
      <c r="I8" s="1"/>
      <c r="K8" s="101" t="s">
        <v>507</v>
      </c>
      <c r="L8" s="101"/>
      <c r="M8" s="101"/>
      <c r="O8" s="1"/>
      <c r="P8" s="101" t="s">
        <v>508</v>
      </c>
      <c r="Q8" s="101"/>
      <c r="R8" s="101"/>
      <c r="T8" s="58" t="s">
        <v>262</v>
      </c>
      <c r="U8" s="59">
        <v>1</v>
      </c>
      <c r="V8" s="59">
        <v>1</v>
      </c>
      <c r="W8" s="59">
        <v>1</v>
      </c>
      <c r="X8" s="59">
        <v>1</v>
      </c>
      <c r="Y8" s="56"/>
      <c r="Z8" s="56"/>
      <c r="AA8" s="56"/>
      <c r="AB8" s="56"/>
      <c r="AC8" s="56"/>
      <c r="AD8" s="56"/>
      <c r="AE8" s="56"/>
      <c r="AF8" s="57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691</v>
      </c>
      <c r="I9" s="1" t="s">
        <v>692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8">
        <v>2</v>
      </c>
      <c r="U9" s="59">
        <v>2</v>
      </c>
      <c r="V9" s="59">
        <v>2</v>
      </c>
      <c r="W9" s="59">
        <v>2</v>
      </c>
      <c r="X9" s="59">
        <v>2</v>
      </c>
      <c r="Y9" s="56"/>
      <c r="Z9" s="56"/>
      <c r="AA9" s="56"/>
      <c r="AB9" s="56"/>
      <c r="AC9" s="56"/>
      <c r="AD9" s="56"/>
      <c r="AE9" s="56"/>
      <c r="AF9" s="57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8">
        <v>3</v>
      </c>
      <c r="U10" s="59">
        <v>4</v>
      </c>
      <c r="V10" s="59">
        <v>4</v>
      </c>
      <c r="W10" s="59">
        <v>4</v>
      </c>
      <c r="X10" s="59">
        <v>4</v>
      </c>
      <c r="Y10" s="56"/>
      <c r="Z10" s="56"/>
      <c r="AA10" s="56"/>
      <c r="AB10" s="56"/>
      <c r="AC10" s="56"/>
      <c r="AD10" s="56"/>
      <c r="AE10" s="56"/>
      <c r="AF10" s="57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8">
        <v>4</v>
      </c>
      <c r="U11" s="59">
        <v>10</v>
      </c>
      <c r="V11" s="59">
        <v>10</v>
      </c>
      <c r="W11" s="59">
        <v>10</v>
      </c>
      <c r="X11" s="59">
        <v>10</v>
      </c>
      <c r="Y11" s="56"/>
      <c r="Z11" s="56"/>
      <c r="AA11" s="56"/>
      <c r="AB11" s="56"/>
      <c r="AC11" s="56"/>
      <c r="AD11" s="56"/>
      <c r="AE11" s="56"/>
      <c r="AF11" s="57"/>
    </row>
    <row r="12" spans="1:32" ht="18" x14ac:dyDescent="0.2">
      <c r="C12">
        <v>2</v>
      </c>
      <c r="E12" s="71">
        <v>5</v>
      </c>
      <c r="F12" s="71">
        <v>5</v>
      </c>
      <c r="G12" s="71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8">
        <v>5</v>
      </c>
      <c r="U12" s="59">
        <v>20</v>
      </c>
      <c r="V12" s="59">
        <v>20</v>
      </c>
      <c r="W12" s="59">
        <v>20</v>
      </c>
      <c r="X12" s="59">
        <v>20</v>
      </c>
      <c r="Y12" s="56"/>
      <c r="Z12" s="56"/>
      <c r="AA12" s="56"/>
      <c r="AB12" s="56"/>
      <c r="AC12" s="56"/>
      <c r="AD12" s="56"/>
      <c r="AE12" s="56"/>
      <c r="AF12" s="57"/>
    </row>
    <row r="13" spans="1:32" ht="18" x14ac:dyDescent="0.2">
      <c r="C13">
        <v>3</v>
      </c>
      <c r="E13" s="71">
        <v>10</v>
      </c>
      <c r="F13" s="71">
        <v>10</v>
      </c>
      <c r="G13" s="71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8">
        <v>6</v>
      </c>
      <c r="U13" s="59">
        <v>50</v>
      </c>
      <c r="V13" s="59">
        <v>50</v>
      </c>
      <c r="W13" s="59">
        <v>50</v>
      </c>
      <c r="X13" s="59" t="s">
        <v>18</v>
      </c>
      <c r="Y13" s="56"/>
      <c r="Z13" s="56"/>
      <c r="AA13" s="56"/>
      <c r="AB13" s="56"/>
      <c r="AC13" s="56"/>
      <c r="AD13" s="56"/>
      <c r="AE13" s="56"/>
      <c r="AF13" s="57"/>
    </row>
    <row r="14" spans="1:32" ht="18" x14ac:dyDescent="0.2">
      <c r="C14">
        <v>4</v>
      </c>
      <c r="E14" s="71">
        <v>20</v>
      </c>
      <c r="F14" s="71">
        <v>20</v>
      </c>
      <c r="G14" s="71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8">
        <v>7</v>
      </c>
      <c r="U14" s="59">
        <v>100</v>
      </c>
      <c r="V14" s="59">
        <v>100</v>
      </c>
      <c r="W14" s="59">
        <v>100</v>
      </c>
      <c r="X14" s="59" t="s">
        <v>263</v>
      </c>
      <c r="Y14" s="56"/>
      <c r="Z14" s="56"/>
      <c r="AA14" s="56"/>
      <c r="AB14" s="56"/>
      <c r="AC14" s="56"/>
      <c r="AD14" s="56"/>
      <c r="AE14" s="56"/>
      <c r="AF14" s="57"/>
    </row>
    <row r="15" spans="1:32" ht="18" x14ac:dyDescent="0.2">
      <c r="C15">
        <v>5</v>
      </c>
      <c r="E15" s="71">
        <v>30</v>
      </c>
      <c r="F15" s="71">
        <v>30</v>
      </c>
      <c r="G15" s="71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8">
        <v>8</v>
      </c>
      <c r="U15" s="59">
        <v>200</v>
      </c>
      <c r="V15" s="59">
        <v>200</v>
      </c>
      <c r="W15" s="59">
        <v>200</v>
      </c>
      <c r="X15" s="59" t="s">
        <v>263</v>
      </c>
      <c r="Y15" s="56"/>
      <c r="Z15" s="56"/>
      <c r="AA15" s="56"/>
      <c r="AB15" s="56"/>
      <c r="AC15" s="56"/>
      <c r="AD15" s="56"/>
      <c r="AE15" s="56"/>
      <c r="AF15" s="57"/>
    </row>
    <row r="16" spans="1:32" ht="18" x14ac:dyDescent="0.2">
      <c r="C16">
        <v>6</v>
      </c>
      <c r="E16" s="71">
        <v>50</v>
      </c>
      <c r="F16" s="71">
        <v>50</v>
      </c>
      <c r="G16" s="71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8">
        <v>9</v>
      </c>
      <c r="U16" s="59">
        <v>400</v>
      </c>
      <c r="V16" s="59">
        <v>400</v>
      </c>
      <c r="W16" s="59" t="s">
        <v>263</v>
      </c>
      <c r="X16" s="59" t="s">
        <v>263</v>
      </c>
      <c r="Y16" s="56"/>
      <c r="Z16" s="56"/>
      <c r="AA16" s="56"/>
      <c r="AB16" s="56"/>
      <c r="AC16" s="56"/>
      <c r="AD16" s="56"/>
      <c r="AE16" s="56"/>
      <c r="AF16" s="57"/>
    </row>
    <row r="17" spans="3:32" ht="18" x14ac:dyDescent="0.2">
      <c r="C17">
        <v>7</v>
      </c>
      <c r="E17" s="71">
        <v>80</v>
      </c>
      <c r="F17" s="71">
        <v>80</v>
      </c>
      <c r="G17" s="71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8">
        <v>10</v>
      </c>
      <c r="U17" s="59">
        <v>800</v>
      </c>
      <c r="V17" s="59">
        <v>800</v>
      </c>
      <c r="W17" s="59" t="s">
        <v>263</v>
      </c>
      <c r="X17" s="59" t="s">
        <v>263</v>
      </c>
      <c r="Y17" s="56"/>
      <c r="Z17" s="56"/>
      <c r="AA17" s="56"/>
      <c r="AB17" s="56"/>
      <c r="AC17" s="56"/>
      <c r="AD17" s="56"/>
      <c r="AE17" s="56"/>
      <c r="AF17" s="57"/>
    </row>
    <row r="18" spans="3:32" ht="18" x14ac:dyDescent="0.2">
      <c r="C18">
        <v>8</v>
      </c>
      <c r="E18" s="71">
        <v>120</v>
      </c>
      <c r="F18" s="71">
        <v>120</v>
      </c>
      <c r="G18" s="71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8">
        <v>11</v>
      </c>
      <c r="U18" s="59">
        <v>1000</v>
      </c>
      <c r="V18" s="59">
        <v>1000</v>
      </c>
      <c r="W18" s="59" t="s">
        <v>263</v>
      </c>
      <c r="X18" s="59" t="s">
        <v>263</v>
      </c>
      <c r="Y18" s="56"/>
      <c r="Z18" s="56"/>
      <c r="AA18" s="56"/>
      <c r="AB18" s="56"/>
      <c r="AC18" s="56"/>
      <c r="AD18" s="56"/>
      <c r="AE18" s="56"/>
      <c r="AF18" s="57"/>
    </row>
    <row r="19" spans="3:32" ht="18" x14ac:dyDescent="0.2">
      <c r="C19">
        <v>9</v>
      </c>
      <c r="E19" s="71">
        <v>170</v>
      </c>
      <c r="F19" s="71">
        <v>170</v>
      </c>
      <c r="G19" s="71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8">
        <v>12</v>
      </c>
      <c r="U19" s="59">
        <v>2000</v>
      </c>
      <c r="V19" s="59" t="s">
        <v>263</v>
      </c>
      <c r="W19" s="59" t="s">
        <v>263</v>
      </c>
      <c r="X19" s="59" t="s">
        <v>263</v>
      </c>
      <c r="Y19" s="56"/>
      <c r="Z19" s="56"/>
      <c r="AA19" s="56"/>
      <c r="AB19" s="56"/>
      <c r="AC19" s="56"/>
      <c r="AD19" s="56"/>
      <c r="AE19" s="56"/>
      <c r="AF19" s="57"/>
    </row>
    <row r="20" spans="3:32" ht="18" x14ac:dyDescent="0.2">
      <c r="C20">
        <v>10</v>
      </c>
      <c r="E20" s="71">
        <v>230</v>
      </c>
      <c r="F20" s="71">
        <v>230</v>
      </c>
      <c r="G20" s="71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8">
        <v>13</v>
      </c>
      <c r="U20" s="59">
        <v>5000</v>
      </c>
      <c r="V20" s="59" t="s">
        <v>263</v>
      </c>
      <c r="W20" s="59" t="s">
        <v>263</v>
      </c>
      <c r="X20" s="59" t="s">
        <v>263</v>
      </c>
      <c r="Y20" s="56"/>
      <c r="Z20" s="56"/>
      <c r="AA20" s="56"/>
      <c r="AB20" s="56"/>
      <c r="AC20" s="56"/>
      <c r="AD20" s="56"/>
      <c r="AE20" s="56"/>
      <c r="AF20" s="57"/>
    </row>
    <row r="21" spans="3:32" ht="18" x14ac:dyDescent="0.2">
      <c r="T21" s="58" t="s">
        <v>264</v>
      </c>
      <c r="U21" s="59">
        <v>9586</v>
      </c>
      <c r="V21" s="59">
        <v>2586</v>
      </c>
      <c r="W21" s="59">
        <v>386</v>
      </c>
      <c r="X21" s="59">
        <v>36</v>
      </c>
      <c r="Y21" s="56"/>
      <c r="Z21" s="56"/>
      <c r="AA21" s="56"/>
      <c r="AB21" s="56"/>
      <c r="AC21" s="56"/>
      <c r="AD21" s="56"/>
      <c r="AE21" s="56"/>
      <c r="AF21" s="57"/>
    </row>
    <row r="22" spans="3:32" x14ac:dyDescent="0.2">
      <c r="H22" s="56"/>
      <c r="I22" s="56"/>
      <c r="T22" s="55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7"/>
    </row>
    <row r="23" spans="3:32" x14ac:dyDescent="0.2">
      <c r="E23" t="s">
        <v>605</v>
      </c>
      <c r="H23" s="56"/>
      <c r="I23" s="56"/>
      <c r="T23" s="55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</row>
    <row r="24" spans="3:32" x14ac:dyDescent="0.2">
      <c r="E24" s="1" t="s">
        <v>217</v>
      </c>
      <c r="F24" s="1" t="s">
        <v>218</v>
      </c>
      <c r="G24" s="1" t="s">
        <v>220</v>
      </c>
      <c r="H24" s="56"/>
      <c r="I24" s="56"/>
      <c r="K24" s="1" t="s">
        <v>102</v>
      </c>
      <c r="L24" s="1" t="s">
        <v>103</v>
      </c>
      <c r="M24" s="1" t="s">
        <v>219</v>
      </c>
      <c r="T24" s="5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6"/>
      <c r="I25" s="56"/>
      <c r="K25" s="1">
        <v>0</v>
      </c>
      <c r="L25" s="1">
        <v>0</v>
      </c>
      <c r="M25" s="1">
        <v>0</v>
      </c>
      <c r="T25" s="58" t="s">
        <v>47</v>
      </c>
      <c r="U25" s="59" t="s">
        <v>266</v>
      </c>
      <c r="V25" s="56"/>
      <c r="W25" s="56"/>
      <c r="X25" s="56"/>
      <c r="Y25" s="56"/>
      <c r="Z25" s="56" t="s">
        <v>267</v>
      </c>
      <c r="AA25" s="56"/>
      <c r="AB25" s="59" t="s">
        <v>47</v>
      </c>
      <c r="AC25" s="59" t="s">
        <v>266</v>
      </c>
      <c r="AD25" s="56"/>
      <c r="AE25" s="56"/>
      <c r="AF25" s="57"/>
    </row>
    <row r="26" spans="3:32" ht="18" x14ac:dyDescent="0.2">
      <c r="E26" s="1">
        <f>E11*'Chest&amp;Cards&amp;Offer'!$N$3</f>
        <v>1200</v>
      </c>
      <c r="F26" s="1">
        <f>F11*'Chest&amp;Cards&amp;Offer'!$N$4</f>
        <v>12000</v>
      </c>
      <c r="G26" s="1">
        <f>G11*'Chest&amp;Cards&amp;Offer'!$N$5</f>
        <v>120000</v>
      </c>
      <c r="I26" s="56"/>
      <c r="K26" s="1">
        <v>15000</v>
      </c>
      <c r="L26" s="1">
        <v>30000</v>
      </c>
      <c r="M26" s="1">
        <v>60000</v>
      </c>
      <c r="T26" s="60" t="s">
        <v>259</v>
      </c>
      <c r="U26" s="61" t="s">
        <v>260</v>
      </c>
      <c r="V26" s="62" t="s">
        <v>261</v>
      </c>
      <c r="W26" s="63" t="s">
        <v>219</v>
      </c>
      <c r="X26" s="56"/>
      <c r="Y26" s="56"/>
      <c r="Z26" s="56"/>
      <c r="AA26" s="56"/>
      <c r="AB26" s="64" t="s">
        <v>259</v>
      </c>
      <c r="AC26" s="61" t="s">
        <v>260</v>
      </c>
      <c r="AD26" s="62" t="s">
        <v>261</v>
      </c>
      <c r="AE26" s="63" t="s">
        <v>219</v>
      </c>
      <c r="AF26" s="57"/>
    </row>
    <row r="27" spans="3:32" ht="18" x14ac:dyDescent="0.2">
      <c r="E27" s="1">
        <f>E12*'Chest&amp;Cards&amp;Offer'!$N$3</f>
        <v>6000</v>
      </c>
      <c r="F27" s="1">
        <f>F12*'Chest&amp;Cards&amp;Offer'!$N$4</f>
        <v>60000</v>
      </c>
      <c r="G27" s="1">
        <f>G12*'Chest&amp;Cards&amp;Offer'!$N$5</f>
        <v>360000</v>
      </c>
      <c r="I27" s="56"/>
      <c r="K27" s="1">
        <v>30000</v>
      </c>
      <c r="L27" s="1">
        <v>60000</v>
      </c>
      <c r="M27" s="1">
        <v>120000</v>
      </c>
      <c r="T27" s="58" t="s">
        <v>262</v>
      </c>
      <c r="U27" s="59" t="s">
        <v>263</v>
      </c>
      <c r="V27" s="59" t="s">
        <v>263</v>
      </c>
      <c r="W27" s="59" t="s">
        <v>263</v>
      </c>
      <c r="X27" s="59" t="s">
        <v>263</v>
      </c>
      <c r="Y27" s="56"/>
      <c r="Z27" s="56"/>
      <c r="AA27" s="56"/>
      <c r="AB27" s="59" t="s">
        <v>262</v>
      </c>
      <c r="AC27" s="59" t="s">
        <v>263</v>
      </c>
      <c r="AD27" s="59" t="s">
        <v>263</v>
      </c>
      <c r="AE27" s="59" t="s">
        <v>263</v>
      </c>
      <c r="AF27" s="65" t="s">
        <v>263</v>
      </c>
    </row>
    <row r="28" spans="3:32" ht="18" x14ac:dyDescent="0.2">
      <c r="E28" s="1">
        <f>E13*'Chest&amp;Cards&amp;Offer'!$N$3</f>
        <v>12000</v>
      </c>
      <c r="F28" s="1">
        <f>F13*'Chest&amp;Cards&amp;Offer'!$N$4</f>
        <v>120000</v>
      </c>
      <c r="G28" s="1">
        <f>G13*'Chest&amp;Cards&amp;Offer'!$N$5</f>
        <v>600000</v>
      </c>
      <c r="I28" s="56"/>
      <c r="K28" s="1">
        <v>60000</v>
      </c>
      <c r="L28" s="1">
        <v>120000</v>
      </c>
      <c r="M28" s="1">
        <v>150000</v>
      </c>
      <c r="T28" s="58">
        <v>2</v>
      </c>
      <c r="U28" s="59">
        <v>5</v>
      </c>
      <c r="V28" s="59">
        <v>50</v>
      </c>
      <c r="W28" s="59">
        <v>400</v>
      </c>
      <c r="X28" s="66">
        <v>5000</v>
      </c>
      <c r="Y28" s="56"/>
      <c r="Z28" s="56"/>
      <c r="AA28" s="56"/>
      <c r="AB28" s="59">
        <v>2</v>
      </c>
      <c r="AC28" s="59"/>
      <c r="AD28" s="59"/>
      <c r="AE28" s="59"/>
      <c r="AF28" s="67"/>
    </row>
    <row r="29" spans="3:32" ht="18" x14ac:dyDescent="0.2">
      <c r="E29" s="1">
        <f>E14*'Chest&amp;Cards&amp;Offer'!$N$3</f>
        <v>24000</v>
      </c>
      <c r="F29" s="1">
        <f>F14*'Chest&amp;Cards&amp;Offer'!$N$4</f>
        <v>240000</v>
      </c>
      <c r="G29" s="1">
        <f>G14*'Chest&amp;Cards&amp;Offer'!$N$5</f>
        <v>1200000</v>
      </c>
      <c r="I29" s="56"/>
      <c r="K29" s="1">
        <v>120000</v>
      </c>
      <c r="L29" s="1">
        <v>150000</v>
      </c>
      <c r="M29" s="1">
        <v>200000</v>
      </c>
      <c r="T29" s="58">
        <v>3</v>
      </c>
      <c r="U29" s="59">
        <v>20</v>
      </c>
      <c r="V29" s="59">
        <v>150</v>
      </c>
      <c r="W29" s="66">
        <v>2000</v>
      </c>
      <c r="X29" s="66">
        <v>20000</v>
      </c>
      <c r="Y29" s="56"/>
      <c r="Z29" s="56"/>
      <c r="AA29" s="56"/>
      <c r="AB29" s="59">
        <v>3</v>
      </c>
      <c r="AC29" s="59"/>
      <c r="AD29" s="59"/>
      <c r="AE29" s="66"/>
      <c r="AF29" s="67"/>
    </row>
    <row r="30" spans="3:32" ht="18" x14ac:dyDescent="0.2">
      <c r="E30" s="1">
        <f>E15*'Chest&amp;Cards&amp;Offer'!$N$3</f>
        <v>36000</v>
      </c>
      <c r="F30" s="1">
        <f>F15*'Chest&amp;Cards&amp;Offer'!$N$4</f>
        <v>360000</v>
      </c>
      <c r="G30" s="1">
        <f>G15*'Chest&amp;Cards&amp;Offer'!$N$5</f>
        <v>1800000</v>
      </c>
      <c r="I30" s="56"/>
      <c r="K30" s="1">
        <v>150000</v>
      </c>
      <c r="L30" s="1">
        <v>200000</v>
      </c>
      <c r="M30" s="1">
        <v>400000</v>
      </c>
      <c r="T30" s="58">
        <v>4</v>
      </c>
      <c r="U30" s="59">
        <v>50</v>
      </c>
      <c r="V30" s="59">
        <v>400</v>
      </c>
      <c r="W30" s="66">
        <v>4000</v>
      </c>
      <c r="X30" s="66">
        <v>50000</v>
      </c>
      <c r="Y30" s="56"/>
      <c r="Z30" s="56"/>
      <c r="AA30" s="56"/>
      <c r="AB30" s="59">
        <v>4</v>
      </c>
      <c r="AC30" s="59"/>
      <c r="AD30" s="59"/>
      <c r="AE30" s="66"/>
      <c r="AF30" s="67"/>
    </row>
    <row r="31" spans="3:32" ht="18" x14ac:dyDescent="0.2">
      <c r="E31" s="1">
        <f>E16*'Chest&amp;Cards&amp;Offer'!$N$3</f>
        <v>60000</v>
      </c>
      <c r="F31" s="1">
        <f>F16*'Chest&amp;Cards&amp;Offer'!$N$4</f>
        <v>600000</v>
      </c>
      <c r="G31" s="1">
        <f>G16*'Chest&amp;Cards&amp;Offer'!$N$5</f>
        <v>3000000</v>
      </c>
      <c r="I31" s="56"/>
      <c r="K31" s="1">
        <v>200000</v>
      </c>
      <c r="L31" s="1">
        <v>400000</v>
      </c>
      <c r="M31" s="1">
        <v>800000</v>
      </c>
      <c r="T31" s="58">
        <v>5</v>
      </c>
      <c r="U31" s="59">
        <v>150</v>
      </c>
      <c r="V31" s="66">
        <v>1000</v>
      </c>
      <c r="W31" s="66">
        <v>8000</v>
      </c>
      <c r="X31" s="66">
        <v>100000</v>
      </c>
      <c r="Y31" s="56"/>
      <c r="Z31" s="56"/>
      <c r="AA31" s="56"/>
      <c r="AB31" s="59">
        <v>5</v>
      </c>
      <c r="AC31" s="59"/>
      <c r="AD31" s="66"/>
      <c r="AE31" s="66"/>
      <c r="AF31" s="67"/>
    </row>
    <row r="32" spans="3:32" ht="18" x14ac:dyDescent="0.2">
      <c r="E32" s="1">
        <f>E17*'Chest&amp;Cards&amp;Offer'!$N$3</f>
        <v>96000</v>
      </c>
      <c r="F32" s="1">
        <f>F17*'Chest&amp;Cards&amp;Offer'!$N$4</f>
        <v>960000</v>
      </c>
      <c r="G32" s="1">
        <f>G17*'Chest&amp;Cards&amp;Offer'!$N$5</f>
        <v>4800000</v>
      </c>
      <c r="I32" s="56"/>
      <c r="J32" s="34"/>
      <c r="K32" s="1">
        <v>400000</v>
      </c>
      <c r="L32" s="1">
        <v>800000</v>
      </c>
      <c r="M32" s="1">
        <v>1000000</v>
      </c>
      <c r="T32" s="58">
        <v>6</v>
      </c>
      <c r="U32" s="59">
        <v>400</v>
      </c>
      <c r="V32" s="66">
        <v>2000</v>
      </c>
      <c r="W32" s="66">
        <v>20000</v>
      </c>
      <c r="X32" s="59" t="s">
        <v>18</v>
      </c>
      <c r="Y32" s="56"/>
      <c r="Z32" s="56"/>
      <c r="AA32" s="56"/>
      <c r="AB32" s="59">
        <v>6</v>
      </c>
      <c r="AC32" s="59"/>
      <c r="AD32" s="66"/>
      <c r="AE32" s="66"/>
      <c r="AF32" s="65"/>
    </row>
    <row r="33" spans="1:32" ht="18" x14ac:dyDescent="0.2">
      <c r="E33" s="1">
        <f>E18*'Chest&amp;Cards&amp;Offer'!$N$3</f>
        <v>144000</v>
      </c>
      <c r="F33" s="1">
        <f>F18*'Chest&amp;Cards&amp;Offer'!$N$4</f>
        <v>1440000</v>
      </c>
      <c r="G33" s="1">
        <f>G18*'Chest&amp;Cards&amp;Offer'!$N$5</f>
        <v>7200000</v>
      </c>
      <c r="I33" s="56"/>
      <c r="J33" s="34"/>
      <c r="K33" s="1">
        <v>800000</v>
      </c>
      <c r="L33" s="1">
        <v>1000000</v>
      </c>
      <c r="M33" s="1">
        <v>1200000</v>
      </c>
      <c r="T33" s="58">
        <v>7</v>
      </c>
      <c r="U33" s="66">
        <v>1000</v>
      </c>
      <c r="V33" s="66">
        <v>4000</v>
      </c>
      <c r="W33" s="66">
        <v>50000</v>
      </c>
      <c r="X33" s="59" t="s">
        <v>263</v>
      </c>
      <c r="Y33" s="56"/>
      <c r="Z33" s="56"/>
      <c r="AA33" s="56"/>
      <c r="AB33" s="59">
        <v>7</v>
      </c>
      <c r="AC33" s="66"/>
      <c r="AD33" s="66"/>
      <c r="AE33" s="66"/>
      <c r="AF33" s="65"/>
    </row>
    <row r="34" spans="1:32" ht="18" x14ac:dyDescent="0.2">
      <c r="E34" s="1">
        <f>E19*'Chest&amp;Cards&amp;Offer'!$N$3</f>
        <v>204000</v>
      </c>
      <c r="F34" s="1">
        <f>F19*'Chest&amp;Cards&amp;Offer'!$N$4</f>
        <v>2040000</v>
      </c>
      <c r="G34" s="1">
        <f>G19*'Chest&amp;Cards&amp;Offer'!$N$5</f>
        <v>12000000</v>
      </c>
      <c r="I34" s="56"/>
      <c r="J34" s="34"/>
      <c r="K34" s="1">
        <v>1000000</v>
      </c>
      <c r="L34" s="1">
        <v>1200000</v>
      </c>
      <c r="M34" s="1">
        <v>1500000</v>
      </c>
      <c r="T34" s="58">
        <v>8</v>
      </c>
      <c r="U34" s="66">
        <v>2000</v>
      </c>
      <c r="V34" s="66">
        <v>8000</v>
      </c>
      <c r="W34" s="66">
        <v>100000</v>
      </c>
      <c r="X34" s="59" t="s">
        <v>263</v>
      </c>
      <c r="Y34" s="56"/>
      <c r="Z34" s="56"/>
      <c r="AA34" s="56"/>
      <c r="AB34" s="59">
        <v>8</v>
      </c>
      <c r="AC34" s="66"/>
      <c r="AD34" s="66"/>
      <c r="AE34" s="66"/>
      <c r="AF34" s="65"/>
    </row>
    <row r="35" spans="1:32" ht="18" x14ac:dyDescent="0.2">
      <c r="E35" s="1">
        <f>E20*'Chest&amp;Cards&amp;Offer'!$N$3</f>
        <v>276000</v>
      </c>
      <c r="F35" s="1">
        <f>F20*'Chest&amp;Cards&amp;Offer'!$N$4</f>
        <v>2760000</v>
      </c>
      <c r="G35" s="1">
        <f>G20*'Chest&amp;Cards&amp;Offer'!$N$5</f>
        <v>15600000</v>
      </c>
      <c r="I35" s="56"/>
      <c r="J35" s="34"/>
      <c r="K35" s="1">
        <v>1200000</v>
      </c>
      <c r="L35" s="1">
        <v>1500000</v>
      </c>
      <c r="M35" s="1">
        <v>1800000</v>
      </c>
      <c r="T35" s="58">
        <v>9</v>
      </c>
      <c r="U35" s="66">
        <v>4000</v>
      </c>
      <c r="V35" s="66">
        <v>20000</v>
      </c>
      <c r="W35" s="59" t="s">
        <v>263</v>
      </c>
      <c r="X35" s="59" t="s">
        <v>263</v>
      </c>
      <c r="Y35" s="56"/>
      <c r="Z35" s="56"/>
      <c r="AA35" s="56"/>
      <c r="AB35" s="59">
        <v>9</v>
      </c>
      <c r="AC35" s="66"/>
      <c r="AD35" s="66"/>
      <c r="AE35" s="59"/>
      <c r="AF35" s="65"/>
    </row>
    <row r="36" spans="1:32" ht="18" x14ac:dyDescent="0.2">
      <c r="T36" s="58">
        <v>10</v>
      </c>
      <c r="U36" s="66">
        <v>8000</v>
      </c>
      <c r="V36" s="66">
        <v>50000</v>
      </c>
      <c r="W36" s="59" t="s">
        <v>263</v>
      </c>
      <c r="X36" s="59" t="s">
        <v>263</v>
      </c>
      <c r="Y36" s="56"/>
      <c r="Z36" s="56"/>
      <c r="AA36" s="56"/>
      <c r="AB36" s="59">
        <v>10</v>
      </c>
      <c r="AC36" s="66"/>
      <c r="AD36" s="66"/>
      <c r="AE36" s="59"/>
      <c r="AF36" s="65"/>
    </row>
    <row r="37" spans="1:32" ht="18" x14ac:dyDescent="0.2">
      <c r="T37" s="58">
        <v>11</v>
      </c>
      <c r="U37" s="66">
        <v>20000</v>
      </c>
      <c r="V37" s="66">
        <v>100000</v>
      </c>
      <c r="W37" s="59" t="s">
        <v>263</v>
      </c>
      <c r="X37" s="59" t="s">
        <v>263</v>
      </c>
      <c r="Y37" s="56"/>
      <c r="Z37" s="56"/>
      <c r="AA37" s="56"/>
      <c r="AB37" s="59">
        <v>11</v>
      </c>
      <c r="AC37" s="66"/>
      <c r="AD37" s="66"/>
      <c r="AE37" s="59"/>
      <c r="AF37" s="65"/>
    </row>
    <row r="38" spans="1:32" ht="18" x14ac:dyDescent="0.2">
      <c r="T38" s="58">
        <v>12</v>
      </c>
      <c r="U38" s="66">
        <v>50000</v>
      </c>
      <c r="V38" s="59" t="s">
        <v>263</v>
      </c>
      <c r="W38" s="59" t="s">
        <v>263</v>
      </c>
      <c r="X38" s="59" t="s">
        <v>263</v>
      </c>
      <c r="Y38" s="56"/>
      <c r="Z38" s="56"/>
      <c r="AA38" s="56"/>
      <c r="AB38" s="59">
        <v>12</v>
      </c>
      <c r="AC38" s="66"/>
      <c r="AD38" s="59"/>
      <c r="AE38" s="59"/>
      <c r="AF38" s="65"/>
    </row>
    <row r="39" spans="1:32" ht="18" x14ac:dyDescent="0.2">
      <c r="T39" s="58">
        <v>13</v>
      </c>
      <c r="U39" s="66">
        <v>100000</v>
      </c>
      <c r="V39" s="59" t="s">
        <v>263</v>
      </c>
      <c r="W39" s="59" t="s">
        <v>263</v>
      </c>
      <c r="X39" s="59" t="s">
        <v>263</v>
      </c>
      <c r="Y39" s="56"/>
      <c r="Z39" s="56"/>
      <c r="AA39" s="56"/>
      <c r="AB39" s="59">
        <v>13</v>
      </c>
      <c r="AC39" s="66"/>
      <c r="AD39" s="59"/>
      <c r="AE39" s="59"/>
      <c r="AF39" s="65"/>
    </row>
    <row r="40" spans="1:32" ht="18" x14ac:dyDescent="0.2">
      <c r="T40" s="58" t="s">
        <v>264</v>
      </c>
      <c r="U40" s="66">
        <v>185625</v>
      </c>
      <c r="V40" s="66">
        <v>185600</v>
      </c>
      <c r="W40" s="66">
        <v>184400</v>
      </c>
      <c r="X40" s="66">
        <v>175000</v>
      </c>
      <c r="Y40" s="56"/>
      <c r="Z40" s="56"/>
      <c r="AA40" s="56"/>
      <c r="AB40" s="59" t="s">
        <v>264</v>
      </c>
      <c r="AC40" s="66"/>
      <c r="AD40" s="66"/>
      <c r="AE40" s="66"/>
      <c r="AF40" s="67"/>
    </row>
    <row r="41" spans="1:32" x14ac:dyDescent="0.2">
      <c r="T41" s="5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</row>
    <row r="42" spans="1:32" x14ac:dyDescent="0.2">
      <c r="T42" s="55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</row>
    <row r="43" spans="1:32" x14ac:dyDescent="0.2">
      <c r="T43" s="68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70"/>
    </row>
    <row r="45" spans="1:32" x14ac:dyDescent="0.2">
      <c r="A45" s="28"/>
      <c r="B45" s="28"/>
      <c r="C45" s="28"/>
      <c r="D45" s="28"/>
      <c r="E45" s="28"/>
      <c r="F45" s="28" t="s">
        <v>601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01" t="s">
        <v>578</v>
      </c>
      <c r="F51" s="101"/>
      <c r="G51" s="101"/>
      <c r="I51" s="1"/>
      <c r="J51" s="101" t="s">
        <v>579</v>
      </c>
      <c r="K51" s="101"/>
      <c r="L51" s="101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1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1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1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1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1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1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1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1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1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workbookViewId="0">
      <pane ySplit="1" topLeftCell="A3" activePane="bottomLeft" state="frozen"/>
      <selection pane="bottomLeft" activeCell="G288" sqref="G288"/>
    </sheetView>
  </sheetViews>
  <sheetFormatPr baseColWidth="10" defaultRowHeight="16" x14ac:dyDescent="0.2"/>
  <cols>
    <col min="3" max="5" width="14.83203125" customWidth="1"/>
    <col min="6" max="6" width="29.832031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599</v>
      </c>
      <c r="H1" t="s">
        <v>469</v>
      </c>
      <c r="I1" t="s">
        <v>54</v>
      </c>
      <c r="J1" t="s">
        <v>433</v>
      </c>
      <c r="K1" t="s">
        <v>448</v>
      </c>
      <c r="L1" t="s">
        <v>449</v>
      </c>
      <c r="M1" t="s">
        <v>503</v>
      </c>
      <c r="N1" t="s">
        <v>432</v>
      </c>
      <c r="O1" t="s">
        <v>468</v>
      </c>
    </row>
    <row r="2" spans="1:15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5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547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</row>
    <row r="5" spans="1:15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5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5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548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5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5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5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5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549</v>
      </c>
      <c r="I12">
        <v>60</v>
      </c>
      <c r="L12">
        <f>SUM($I$2:I12)</f>
        <v>280</v>
      </c>
      <c r="M12">
        <f t="shared" si="0"/>
        <v>2.8</v>
      </c>
    </row>
    <row r="13" spans="1:15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t="s">
        <v>484</v>
      </c>
      <c r="I13">
        <v>300</v>
      </c>
      <c r="L13">
        <f>SUM($I$2:I13)</f>
        <v>580</v>
      </c>
      <c r="M13">
        <f t="shared" si="0"/>
        <v>5.8</v>
      </c>
    </row>
    <row r="14" spans="1:15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580</v>
      </c>
      <c r="M14">
        <f t="shared" si="0"/>
        <v>5.8</v>
      </c>
    </row>
    <row r="15" spans="1:15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580</v>
      </c>
      <c r="M15">
        <f t="shared" si="0"/>
        <v>5.8</v>
      </c>
    </row>
    <row r="16" spans="1:15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580</v>
      </c>
      <c r="M16">
        <f t="shared" si="0"/>
        <v>5.8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580</v>
      </c>
      <c r="M17">
        <f t="shared" si="0"/>
        <v>5.8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580</v>
      </c>
      <c r="M18">
        <f t="shared" si="0"/>
        <v>5.8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t="s">
        <v>487</v>
      </c>
      <c r="I19">
        <v>270</v>
      </c>
      <c r="L19">
        <f>SUM($I$2:I19)</f>
        <v>850</v>
      </c>
      <c r="M19">
        <f t="shared" si="0"/>
        <v>8.5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850</v>
      </c>
      <c r="M20">
        <f t="shared" si="0"/>
        <v>8.5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850</v>
      </c>
      <c r="M21">
        <f t="shared" si="0"/>
        <v>8.5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850</v>
      </c>
      <c r="M22">
        <f t="shared" si="0"/>
        <v>8.5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850</v>
      </c>
      <c r="M23">
        <f t="shared" si="0"/>
        <v>8.5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850</v>
      </c>
      <c r="M24">
        <f t="shared" si="0"/>
        <v>8.5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t="s">
        <v>482</v>
      </c>
      <c r="I25">
        <v>720</v>
      </c>
      <c r="L25">
        <f>SUM($I$2:I25)</f>
        <v>1570</v>
      </c>
      <c r="M25">
        <f t="shared" si="0"/>
        <v>15.7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1570</v>
      </c>
      <c r="M26">
        <f t="shared" si="0"/>
        <v>15.7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1570</v>
      </c>
      <c r="M27">
        <f t="shared" si="0"/>
        <v>15.7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1570</v>
      </c>
      <c r="M28">
        <f t="shared" si="0"/>
        <v>15.7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1570</v>
      </c>
      <c r="M29">
        <f t="shared" si="0"/>
        <v>15.7</v>
      </c>
    </row>
    <row r="30" spans="3:13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486</v>
      </c>
      <c r="I30">
        <v>120</v>
      </c>
      <c r="L30">
        <f>SUM($I$2:I30)</f>
        <v>1690</v>
      </c>
      <c r="M30">
        <f t="shared" si="0"/>
        <v>16.899999999999999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t="s">
        <v>481</v>
      </c>
      <c r="I31">
        <v>500</v>
      </c>
      <c r="L31">
        <f>SUM($I$2:I31)</f>
        <v>2190</v>
      </c>
      <c r="M31">
        <f t="shared" si="0"/>
        <v>21.9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2190</v>
      </c>
      <c r="M32">
        <f t="shared" si="0"/>
        <v>21.9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2190</v>
      </c>
      <c r="M33">
        <f t="shared" si="0"/>
        <v>21.9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2190</v>
      </c>
      <c r="M34">
        <f t="shared" si="0"/>
        <v>21.9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2190</v>
      </c>
      <c r="M35">
        <f t="shared" si="0"/>
        <v>21.9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2190</v>
      </c>
      <c r="M36">
        <f t="shared" si="0"/>
        <v>21.9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t="s">
        <v>482</v>
      </c>
      <c r="I37">
        <v>720</v>
      </c>
      <c r="L37">
        <f>SUM($I$2:I37)</f>
        <v>2910</v>
      </c>
      <c r="M37">
        <f t="shared" si="0"/>
        <v>29.1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2910</v>
      </c>
      <c r="M38">
        <f t="shared" si="0"/>
        <v>29.1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2910</v>
      </c>
      <c r="M39">
        <f t="shared" si="0"/>
        <v>29.1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2910</v>
      </c>
      <c r="M40">
        <f t="shared" si="0"/>
        <v>29.1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2910</v>
      </c>
      <c r="M41">
        <f t="shared" si="0"/>
        <v>29.1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2910</v>
      </c>
      <c r="M42">
        <f t="shared" si="0"/>
        <v>29.1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2910</v>
      </c>
      <c r="M43">
        <f t="shared" si="0"/>
        <v>29.1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2910</v>
      </c>
      <c r="M44">
        <f t="shared" si="0"/>
        <v>29.1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2910</v>
      </c>
      <c r="M45">
        <f t="shared" si="0"/>
        <v>29.1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2910</v>
      </c>
      <c r="M46">
        <f t="shared" si="0"/>
        <v>29.1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2910</v>
      </c>
      <c r="M47">
        <f t="shared" si="0"/>
        <v>29.1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t="s">
        <v>487</v>
      </c>
      <c r="I48">
        <v>270</v>
      </c>
      <c r="L48">
        <f>SUM($I$2:I48)</f>
        <v>3180</v>
      </c>
      <c r="M48">
        <f t="shared" si="0"/>
        <v>31.8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3180</v>
      </c>
      <c r="M49">
        <f t="shared" si="0"/>
        <v>31.8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3180</v>
      </c>
      <c r="M50">
        <f t="shared" si="0"/>
        <v>31.8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3180</v>
      </c>
      <c r="M51">
        <f t="shared" si="0"/>
        <v>31.8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3180</v>
      </c>
      <c r="M52">
        <f t="shared" si="0"/>
        <v>31.8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3180</v>
      </c>
      <c r="M53">
        <f t="shared" si="0"/>
        <v>31.8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3180</v>
      </c>
      <c r="M54">
        <f t="shared" si="0"/>
        <v>31.8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3906.6666666666665</v>
      </c>
      <c r="J55">
        <f>SUM(I2:I48)</f>
        <v>3180</v>
      </c>
      <c r="L55">
        <f>SUM($I$2:I55)</f>
        <v>3180</v>
      </c>
      <c r="M55">
        <f t="shared" si="0"/>
        <v>31.8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3180</v>
      </c>
      <c r="M56">
        <f t="shared" si="0"/>
        <v>31.8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3180</v>
      </c>
      <c r="M57">
        <f t="shared" si="0"/>
        <v>31.8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3180</v>
      </c>
      <c r="M58">
        <f t="shared" si="0"/>
        <v>31.8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3180</v>
      </c>
      <c r="M59">
        <f t="shared" si="0"/>
        <v>31.8</v>
      </c>
    </row>
    <row r="60" spans="3:13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480</v>
      </c>
      <c r="I60">
        <v>120</v>
      </c>
      <c r="L60">
        <f>SUM($I$2:I60)</f>
        <v>3300</v>
      </c>
      <c r="M60">
        <f t="shared" si="0"/>
        <v>33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t="s">
        <v>478</v>
      </c>
      <c r="I61">
        <v>1500</v>
      </c>
      <c r="L61">
        <f>SUM($I$2:I61)</f>
        <v>4800</v>
      </c>
      <c r="M61">
        <f t="shared" si="0"/>
        <v>48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4800</v>
      </c>
      <c r="M62">
        <f t="shared" si="0"/>
        <v>48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4800</v>
      </c>
      <c r="M63">
        <f t="shared" si="0"/>
        <v>48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4800</v>
      </c>
      <c r="M64">
        <f t="shared" si="0"/>
        <v>48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4800</v>
      </c>
      <c r="M65">
        <f t="shared" si="0"/>
        <v>48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485</v>
      </c>
      <c r="I66">
        <v>180</v>
      </c>
      <c r="L66">
        <f>SUM($I$2:I66)</f>
        <v>4980</v>
      </c>
      <c r="M66">
        <f t="shared" si="0"/>
        <v>49.8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4980</v>
      </c>
      <c r="M67">
        <f t="shared" ref="M67:M130" si="1">L67/100</f>
        <v>49.8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4980</v>
      </c>
      <c r="M68">
        <f t="shared" si="1"/>
        <v>49.8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4980</v>
      </c>
      <c r="M69">
        <f t="shared" si="1"/>
        <v>49.8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4980</v>
      </c>
      <c r="M70">
        <f t="shared" si="1"/>
        <v>49.8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4980</v>
      </c>
      <c r="M71">
        <f t="shared" si="1"/>
        <v>49.8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4980</v>
      </c>
      <c r="M72">
        <f t="shared" si="1"/>
        <v>49.8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4980</v>
      </c>
      <c r="M73">
        <f t="shared" si="1"/>
        <v>49.8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t="s">
        <v>482</v>
      </c>
      <c r="I74">
        <v>720</v>
      </c>
      <c r="L74">
        <f>SUM($I$2:I74)</f>
        <v>5700</v>
      </c>
      <c r="M74">
        <f t="shared" si="1"/>
        <v>57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5700</v>
      </c>
      <c r="M75">
        <f t="shared" si="1"/>
        <v>57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5700</v>
      </c>
      <c r="M76">
        <f t="shared" si="1"/>
        <v>57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5700</v>
      </c>
      <c r="M77">
        <f t="shared" si="1"/>
        <v>57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5700</v>
      </c>
      <c r="M78">
        <f t="shared" si="1"/>
        <v>57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5700</v>
      </c>
      <c r="M79">
        <f t="shared" si="1"/>
        <v>57</v>
      </c>
    </row>
    <row r="80" spans="3:13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t="s">
        <v>489</v>
      </c>
      <c r="I80">
        <v>750</v>
      </c>
      <c r="L80">
        <f>SUM($I$2:I80)</f>
        <v>6450</v>
      </c>
      <c r="M80">
        <f t="shared" si="1"/>
        <v>64.5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t="s">
        <v>488</v>
      </c>
      <c r="I81">
        <v>500</v>
      </c>
      <c r="L81">
        <f>SUM($I$2:I81)</f>
        <v>6950</v>
      </c>
      <c r="M81">
        <f t="shared" si="1"/>
        <v>69.5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6950</v>
      </c>
      <c r="M82">
        <f t="shared" si="1"/>
        <v>69.5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6950</v>
      </c>
      <c r="M83">
        <f t="shared" si="1"/>
        <v>69.5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6950</v>
      </c>
      <c r="M84">
        <f t="shared" si="1"/>
        <v>69.5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6950</v>
      </c>
      <c r="M85">
        <f t="shared" si="1"/>
        <v>69.5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t="s">
        <v>484</v>
      </c>
      <c r="I86">
        <v>300</v>
      </c>
      <c r="L86">
        <f>SUM($I$2:I86)</f>
        <v>7250</v>
      </c>
      <c r="M86">
        <f t="shared" si="1"/>
        <v>72.5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7250</v>
      </c>
      <c r="M87">
        <f t="shared" si="1"/>
        <v>72.5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7250</v>
      </c>
      <c r="M88">
        <f t="shared" si="1"/>
        <v>72.5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7250</v>
      </c>
      <c r="M89">
        <f t="shared" si="1"/>
        <v>72.5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7250</v>
      </c>
      <c r="M90">
        <f t="shared" si="1"/>
        <v>72.5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t="s">
        <v>482</v>
      </c>
      <c r="I91">
        <v>720</v>
      </c>
      <c r="L91">
        <f>SUM($I$2:I91)</f>
        <v>7970</v>
      </c>
      <c r="M91">
        <f t="shared" si="1"/>
        <v>79.7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7970</v>
      </c>
      <c r="M92">
        <f t="shared" si="1"/>
        <v>79.7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7970</v>
      </c>
      <c r="M93">
        <f t="shared" si="1"/>
        <v>79.7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7970</v>
      </c>
      <c r="M94">
        <f t="shared" si="1"/>
        <v>79.7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7970</v>
      </c>
      <c r="M95">
        <f t="shared" si="1"/>
        <v>79.7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7970</v>
      </c>
      <c r="M96">
        <f t="shared" si="1"/>
        <v>79.7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7970</v>
      </c>
      <c r="M97">
        <f t="shared" si="1"/>
        <v>79.7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7970</v>
      </c>
      <c r="M98">
        <f t="shared" si="1"/>
        <v>79.7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7970</v>
      </c>
      <c r="M99">
        <f t="shared" si="1"/>
        <v>79.7</v>
      </c>
    </row>
    <row r="100" spans="3:13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t="s">
        <v>496</v>
      </c>
      <c r="I100">
        <v>300</v>
      </c>
      <c r="L100">
        <f>SUM($I$2:I100)</f>
        <v>8270</v>
      </c>
      <c r="M100">
        <f t="shared" si="1"/>
        <v>82.7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t="s">
        <v>490</v>
      </c>
      <c r="I101">
        <v>2000</v>
      </c>
      <c r="L101">
        <f>SUM($I$2:I101)</f>
        <v>10270</v>
      </c>
      <c r="M101">
        <f t="shared" si="1"/>
        <v>102.7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10270</v>
      </c>
      <c r="M102">
        <f t="shared" si="1"/>
        <v>102.7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10270</v>
      </c>
      <c r="M103">
        <f t="shared" si="1"/>
        <v>102.7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10270</v>
      </c>
      <c r="M104">
        <f t="shared" si="1"/>
        <v>102.7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t="s">
        <v>491</v>
      </c>
      <c r="I105">
        <v>360</v>
      </c>
      <c r="L105">
        <f>SUM($I$2:I105)</f>
        <v>10630</v>
      </c>
      <c r="M105">
        <f t="shared" si="1"/>
        <v>106.3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10630</v>
      </c>
      <c r="M106">
        <f t="shared" si="1"/>
        <v>106.3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10630</v>
      </c>
      <c r="M107">
        <f t="shared" si="1"/>
        <v>106.3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10630</v>
      </c>
      <c r="M108">
        <f t="shared" si="1"/>
        <v>106.3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10630</v>
      </c>
      <c r="M109">
        <f t="shared" si="1"/>
        <v>106.3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t="s">
        <v>497</v>
      </c>
      <c r="I110">
        <v>200</v>
      </c>
      <c r="L110">
        <f>SUM($I$2:I110)</f>
        <v>10830</v>
      </c>
      <c r="M110">
        <f t="shared" si="1"/>
        <v>108.3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10830</v>
      </c>
      <c r="M111">
        <f t="shared" si="1"/>
        <v>108.3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10830</v>
      </c>
      <c r="M112">
        <f t="shared" si="1"/>
        <v>108.3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10830</v>
      </c>
      <c r="M113">
        <f t="shared" si="1"/>
        <v>108.3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10830</v>
      </c>
      <c r="M114">
        <f t="shared" si="1"/>
        <v>108.3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10830</v>
      </c>
      <c r="M115">
        <f t="shared" si="1"/>
        <v>108.3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10830</v>
      </c>
      <c r="M116">
        <f t="shared" si="1"/>
        <v>108.3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10830</v>
      </c>
      <c r="M117">
        <f t="shared" si="1"/>
        <v>108.3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10830</v>
      </c>
      <c r="M118">
        <f t="shared" si="1"/>
        <v>108.3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10830</v>
      </c>
      <c r="M119">
        <f t="shared" si="1"/>
        <v>108.3</v>
      </c>
    </row>
    <row r="120" spans="3:13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t="s">
        <v>495</v>
      </c>
      <c r="I120">
        <v>2500</v>
      </c>
      <c r="L120">
        <f>SUM($I$2:I120)</f>
        <v>13330</v>
      </c>
      <c r="M120">
        <f t="shared" si="1"/>
        <v>133.30000000000001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9340</v>
      </c>
      <c r="H121" t="s">
        <v>481</v>
      </c>
      <c r="I121">
        <v>500</v>
      </c>
      <c r="J121">
        <f>SUM(I59:I123)</f>
        <v>10650</v>
      </c>
      <c r="L121">
        <f>SUM($I$2:I121)</f>
        <v>13830</v>
      </c>
      <c r="M121">
        <f t="shared" si="1"/>
        <v>138.30000000000001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13830</v>
      </c>
      <c r="M122">
        <f t="shared" si="1"/>
        <v>138.30000000000001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13830</v>
      </c>
      <c r="M123">
        <f t="shared" si="1"/>
        <v>138.30000000000001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13830</v>
      </c>
      <c r="M124">
        <f t="shared" si="1"/>
        <v>138.30000000000001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13830</v>
      </c>
      <c r="M125">
        <f t="shared" si="1"/>
        <v>138.30000000000001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t="s">
        <v>489</v>
      </c>
      <c r="I126">
        <v>750</v>
      </c>
      <c r="L126">
        <f>SUM($I$2:I126)</f>
        <v>14580</v>
      </c>
      <c r="M126">
        <f t="shared" si="1"/>
        <v>145.80000000000001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14580</v>
      </c>
      <c r="M127">
        <f t="shared" si="1"/>
        <v>145.80000000000001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14580</v>
      </c>
      <c r="M128">
        <f t="shared" si="1"/>
        <v>145.80000000000001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14580</v>
      </c>
      <c r="M129">
        <f t="shared" si="1"/>
        <v>145.80000000000001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14580</v>
      </c>
      <c r="M130">
        <f t="shared" si="1"/>
        <v>145.80000000000001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t="s">
        <v>498</v>
      </c>
      <c r="I131">
        <v>600</v>
      </c>
      <c r="L131">
        <f>SUM($I$2:I131)</f>
        <v>15180</v>
      </c>
      <c r="M131">
        <f t="shared" ref="M131:M194" si="2">L131/100</f>
        <v>151.80000000000001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15180</v>
      </c>
      <c r="M132">
        <f t="shared" si="2"/>
        <v>151.80000000000001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15180</v>
      </c>
      <c r="M133">
        <f t="shared" si="2"/>
        <v>151.80000000000001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15180</v>
      </c>
      <c r="M134">
        <f t="shared" si="2"/>
        <v>151.80000000000001</v>
      </c>
    </row>
    <row r="135" spans="3:13" x14ac:dyDescent="0.2">
      <c r="C135">
        <v>134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t="s">
        <v>491</v>
      </c>
      <c r="I135">
        <v>360</v>
      </c>
      <c r="L135">
        <f>SUM($I$2:I135)</f>
        <v>15540</v>
      </c>
      <c r="M135">
        <f t="shared" si="2"/>
        <v>155.4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t="s">
        <v>490</v>
      </c>
      <c r="I136">
        <v>3000</v>
      </c>
      <c r="L136">
        <f>SUM($I$2:I136)</f>
        <v>18540</v>
      </c>
      <c r="M136">
        <f t="shared" si="2"/>
        <v>185.4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18540</v>
      </c>
      <c r="M137">
        <f t="shared" si="2"/>
        <v>185.4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18540</v>
      </c>
      <c r="M138">
        <f t="shared" si="2"/>
        <v>185.4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18540</v>
      </c>
      <c r="M139">
        <f t="shared" si="2"/>
        <v>185.4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t="s">
        <v>493</v>
      </c>
      <c r="I140">
        <v>3000</v>
      </c>
      <c r="L140">
        <f>SUM($I$2:I140)</f>
        <v>21540</v>
      </c>
      <c r="M140">
        <f t="shared" si="2"/>
        <v>215.4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21540</v>
      </c>
      <c r="M141">
        <f t="shared" si="2"/>
        <v>215.4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21540</v>
      </c>
      <c r="M142">
        <f t="shared" si="2"/>
        <v>215.4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21540</v>
      </c>
      <c r="M143">
        <f t="shared" si="2"/>
        <v>215.4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t="s">
        <v>499</v>
      </c>
      <c r="I144">
        <v>500</v>
      </c>
      <c r="L144">
        <f>SUM($I$2:I144)</f>
        <v>22040</v>
      </c>
      <c r="M144">
        <f t="shared" si="2"/>
        <v>220.4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22040</v>
      </c>
      <c r="M145">
        <f t="shared" si="2"/>
        <v>220.4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22040</v>
      </c>
      <c r="M146">
        <f t="shared" si="2"/>
        <v>220.4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22040</v>
      </c>
      <c r="M147">
        <f t="shared" si="2"/>
        <v>220.4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22040</v>
      </c>
      <c r="M148">
        <f t="shared" si="2"/>
        <v>220.4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22040</v>
      </c>
      <c r="M149">
        <f t="shared" si="2"/>
        <v>220.4</v>
      </c>
    </row>
    <row r="150" spans="3:13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t="s">
        <v>482</v>
      </c>
      <c r="I150">
        <v>720</v>
      </c>
      <c r="L150">
        <f>SUM($I$2:I150)</f>
        <v>22760</v>
      </c>
      <c r="M150">
        <f t="shared" si="2"/>
        <v>227.6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t="s">
        <v>492</v>
      </c>
      <c r="I151">
        <v>2500</v>
      </c>
      <c r="L151">
        <f>SUM($I$2:I151)</f>
        <v>25260</v>
      </c>
      <c r="M151">
        <f t="shared" si="2"/>
        <v>252.6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25260</v>
      </c>
      <c r="M152">
        <f t="shared" si="2"/>
        <v>252.6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25260</v>
      </c>
      <c r="M153">
        <f t="shared" si="2"/>
        <v>252.6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25260</v>
      </c>
      <c r="M154">
        <f t="shared" si="2"/>
        <v>252.6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t="s">
        <v>478</v>
      </c>
      <c r="I155">
        <v>1500</v>
      </c>
      <c r="L155">
        <f>SUM($I$2:I155)</f>
        <v>26760</v>
      </c>
      <c r="M155">
        <f t="shared" si="2"/>
        <v>267.60000000000002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26760</v>
      </c>
      <c r="M156">
        <f t="shared" si="2"/>
        <v>267.60000000000002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26760</v>
      </c>
      <c r="M157">
        <f t="shared" si="2"/>
        <v>267.60000000000002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26760</v>
      </c>
      <c r="M158">
        <f t="shared" si="2"/>
        <v>267.60000000000002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26760</v>
      </c>
      <c r="M159">
        <f t="shared" si="2"/>
        <v>267.60000000000002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t="s">
        <v>495</v>
      </c>
      <c r="I160">
        <v>2000</v>
      </c>
      <c r="J160" s="7"/>
      <c r="L160">
        <f>SUM($I$2:I160)</f>
        <v>28760</v>
      </c>
      <c r="M160">
        <f t="shared" si="2"/>
        <v>287.60000000000002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28760</v>
      </c>
      <c r="M161">
        <f t="shared" si="2"/>
        <v>287.60000000000002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28760</v>
      </c>
      <c r="M162">
        <f t="shared" si="2"/>
        <v>287.60000000000002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28760</v>
      </c>
      <c r="M163">
        <f t="shared" si="2"/>
        <v>287.60000000000002</v>
      </c>
    </row>
    <row r="164" spans="3:13" x14ac:dyDescent="0.2">
      <c r="C164">
        <v>163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t="s">
        <v>500</v>
      </c>
      <c r="I164">
        <v>1200</v>
      </c>
      <c r="J164" s="7"/>
      <c r="L164">
        <f>SUM($I$2:I164)</f>
        <v>29960</v>
      </c>
      <c r="M164">
        <f t="shared" si="2"/>
        <v>299.60000000000002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t="s">
        <v>492</v>
      </c>
      <c r="I165">
        <v>2500</v>
      </c>
      <c r="J165" s="7"/>
      <c r="L165">
        <f>SUM($I$2:I165)</f>
        <v>32460</v>
      </c>
      <c r="M165">
        <f t="shared" si="2"/>
        <v>324.60000000000002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32460</v>
      </c>
      <c r="M166">
        <f t="shared" si="2"/>
        <v>324.60000000000002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32460</v>
      </c>
      <c r="M167">
        <f t="shared" si="2"/>
        <v>324.60000000000002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32460</v>
      </c>
      <c r="M168">
        <f t="shared" si="2"/>
        <v>324.60000000000002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t="s">
        <v>482</v>
      </c>
      <c r="I169">
        <v>720</v>
      </c>
      <c r="J169" s="7"/>
      <c r="L169">
        <f>SUM($I$2:I169)</f>
        <v>33180</v>
      </c>
      <c r="M169">
        <f t="shared" si="2"/>
        <v>331.8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33180</v>
      </c>
      <c r="M170">
        <f t="shared" si="2"/>
        <v>331.8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33180</v>
      </c>
      <c r="M171">
        <f t="shared" si="2"/>
        <v>331.8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33180</v>
      </c>
      <c r="M172">
        <f t="shared" si="2"/>
        <v>331.8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33180</v>
      </c>
      <c r="M173">
        <f t="shared" si="2"/>
        <v>331.8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t="s">
        <v>501</v>
      </c>
      <c r="I174">
        <v>750</v>
      </c>
      <c r="J174" s="7"/>
      <c r="L174">
        <f>SUM($I$2:I174)</f>
        <v>33930</v>
      </c>
      <c r="M174">
        <f t="shared" si="2"/>
        <v>339.3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33930</v>
      </c>
      <c r="M175">
        <f t="shared" si="2"/>
        <v>339.3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33930</v>
      </c>
      <c r="M176">
        <f t="shared" si="2"/>
        <v>339.3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33930</v>
      </c>
      <c r="M177">
        <f t="shared" si="2"/>
        <v>339.3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33930</v>
      </c>
      <c r="M178">
        <f t="shared" si="2"/>
        <v>339.3</v>
      </c>
    </row>
    <row r="179" spans="3:13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t="s">
        <v>495</v>
      </c>
      <c r="I179">
        <v>2500</v>
      </c>
      <c r="J179" s="7"/>
      <c r="L179">
        <f>SUM($I$2:I179)</f>
        <v>36430</v>
      </c>
      <c r="M179">
        <f t="shared" si="2"/>
        <v>364.3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t="s">
        <v>490</v>
      </c>
      <c r="I180">
        <v>3000</v>
      </c>
      <c r="J180" s="7"/>
      <c r="L180">
        <f>SUM($I$2:I180)</f>
        <v>39430</v>
      </c>
      <c r="M180">
        <f t="shared" si="2"/>
        <v>394.3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39430</v>
      </c>
      <c r="M181">
        <f t="shared" si="2"/>
        <v>394.3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39430</v>
      </c>
      <c r="M182">
        <f t="shared" si="2"/>
        <v>394.3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39430</v>
      </c>
      <c r="M183">
        <f t="shared" si="2"/>
        <v>394.3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t="s">
        <v>491</v>
      </c>
      <c r="I184">
        <v>360</v>
      </c>
      <c r="J184" s="7"/>
      <c r="L184">
        <f>SUM($I$2:I184)</f>
        <v>39790</v>
      </c>
      <c r="M184">
        <f t="shared" si="2"/>
        <v>397.9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39790</v>
      </c>
      <c r="M185">
        <f t="shared" si="2"/>
        <v>397.9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39790</v>
      </c>
      <c r="M186">
        <f t="shared" si="2"/>
        <v>397.9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39790</v>
      </c>
      <c r="M187">
        <f t="shared" si="2"/>
        <v>397.9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t="s">
        <v>482</v>
      </c>
      <c r="I188">
        <v>720</v>
      </c>
      <c r="J188" s="7"/>
      <c r="L188">
        <f>SUM($I$2:I188)</f>
        <v>40510</v>
      </c>
      <c r="M188">
        <f t="shared" si="2"/>
        <v>405.1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40510</v>
      </c>
      <c r="M189">
        <f t="shared" si="2"/>
        <v>405.1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40510</v>
      </c>
      <c r="M190">
        <f t="shared" si="2"/>
        <v>405.1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40510</v>
      </c>
      <c r="M191">
        <f t="shared" si="2"/>
        <v>405.1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40510</v>
      </c>
      <c r="M192">
        <f t="shared" si="2"/>
        <v>405.1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40510</v>
      </c>
      <c r="M193">
        <f t="shared" si="2"/>
        <v>405.1</v>
      </c>
    </row>
    <row r="194" spans="3:13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t="s">
        <v>500</v>
      </c>
      <c r="I194">
        <v>1200</v>
      </c>
      <c r="L194">
        <f>SUM($I$2:I194)</f>
        <v>41710</v>
      </c>
      <c r="M194">
        <f t="shared" si="2"/>
        <v>417.1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t="s">
        <v>481</v>
      </c>
      <c r="I195">
        <v>500</v>
      </c>
      <c r="L195">
        <f>SUM($I$2:I195)</f>
        <v>42210</v>
      </c>
      <c r="M195">
        <f t="shared" ref="M195:M258" si="3">L195/100</f>
        <v>422.1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42210</v>
      </c>
      <c r="M196">
        <f t="shared" si="3"/>
        <v>422.1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42210</v>
      </c>
      <c r="M197">
        <f t="shared" si="3"/>
        <v>422.1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42210</v>
      </c>
      <c r="M198">
        <f t="shared" si="3"/>
        <v>422.1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487</v>
      </c>
      <c r="I199">
        <v>270</v>
      </c>
      <c r="L199">
        <f>SUM($I$2:I199)</f>
        <v>42480</v>
      </c>
      <c r="M199">
        <f t="shared" si="3"/>
        <v>424.8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42480</v>
      </c>
      <c r="M200">
        <f t="shared" si="3"/>
        <v>424.8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42480</v>
      </c>
      <c r="M201">
        <f t="shared" si="3"/>
        <v>424.8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42480</v>
      </c>
      <c r="M202">
        <f t="shared" si="3"/>
        <v>424.8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42480</v>
      </c>
      <c r="M203">
        <f t="shared" si="3"/>
        <v>424.8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t="s">
        <v>495</v>
      </c>
      <c r="I204">
        <v>2500</v>
      </c>
      <c r="L204">
        <f>SUM($I$2:I204)</f>
        <v>44980</v>
      </c>
      <c r="M204">
        <f t="shared" si="3"/>
        <v>449.8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37766.666666666664</v>
      </c>
      <c r="J205">
        <f>SUM(I122:I204)</f>
        <v>31150</v>
      </c>
      <c r="L205">
        <f>SUM($I$2:I205)</f>
        <v>44980</v>
      </c>
      <c r="M205">
        <f t="shared" si="3"/>
        <v>449.8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44980</v>
      </c>
      <c r="M206">
        <f t="shared" si="3"/>
        <v>449.8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44980</v>
      </c>
      <c r="M207">
        <f t="shared" si="3"/>
        <v>449.8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44980</v>
      </c>
      <c r="M208">
        <f t="shared" si="3"/>
        <v>449.8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44980</v>
      </c>
      <c r="M209">
        <f t="shared" si="3"/>
        <v>449.8</v>
      </c>
    </row>
    <row r="210" spans="3:13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t="s">
        <v>493</v>
      </c>
      <c r="I210">
        <v>600</v>
      </c>
      <c r="L210">
        <f>SUM($I$2:I210)</f>
        <v>45580</v>
      </c>
      <c r="M210">
        <f t="shared" si="3"/>
        <v>455.8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t="s">
        <v>494</v>
      </c>
      <c r="I211">
        <v>6000</v>
      </c>
      <c r="L211">
        <f>SUM($I$2:I211)</f>
        <v>51580</v>
      </c>
      <c r="M211">
        <f t="shared" si="3"/>
        <v>515.79999999999995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51580</v>
      </c>
      <c r="M212">
        <f t="shared" si="3"/>
        <v>515.79999999999995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51580</v>
      </c>
      <c r="M213">
        <f t="shared" si="3"/>
        <v>515.79999999999995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51580</v>
      </c>
      <c r="M214">
        <f t="shared" si="3"/>
        <v>515.79999999999995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t="s">
        <v>498</v>
      </c>
      <c r="I215">
        <v>600</v>
      </c>
      <c r="L215">
        <f>SUM($I$2:I215)</f>
        <v>52180</v>
      </c>
      <c r="M215">
        <f t="shared" si="3"/>
        <v>521.79999999999995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52180</v>
      </c>
      <c r="M216">
        <f t="shared" si="3"/>
        <v>521.79999999999995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52180</v>
      </c>
      <c r="M217">
        <f t="shared" si="3"/>
        <v>521.79999999999995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52180</v>
      </c>
      <c r="M218">
        <f t="shared" si="3"/>
        <v>521.79999999999995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52180</v>
      </c>
      <c r="M219">
        <f t="shared" si="3"/>
        <v>521.79999999999995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501</v>
      </c>
      <c r="I220">
        <v>750</v>
      </c>
      <c r="L220">
        <f>SUM($I$2:I220)</f>
        <v>52930</v>
      </c>
      <c r="M220">
        <f t="shared" si="3"/>
        <v>529.29999999999995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52930</v>
      </c>
      <c r="M221">
        <f t="shared" si="3"/>
        <v>529.29999999999995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52930</v>
      </c>
      <c r="M222">
        <f t="shared" si="3"/>
        <v>529.29999999999995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52930</v>
      </c>
      <c r="M223">
        <f t="shared" si="3"/>
        <v>529.29999999999995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52930</v>
      </c>
      <c r="M224">
        <f t="shared" si="3"/>
        <v>529.29999999999995</v>
      </c>
    </row>
    <row r="225" spans="3:13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t="s">
        <v>499</v>
      </c>
      <c r="I225">
        <v>500</v>
      </c>
      <c r="L225">
        <f>SUM($I$2:I225)</f>
        <v>53430</v>
      </c>
      <c r="M225">
        <f t="shared" si="3"/>
        <v>534.29999999999995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t="s">
        <v>492</v>
      </c>
      <c r="I226">
        <v>2500</v>
      </c>
      <c r="L226">
        <f>SUM($I$2:I226)</f>
        <v>55930</v>
      </c>
      <c r="M226">
        <f t="shared" si="3"/>
        <v>559.29999999999995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55930</v>
      </c>
      <c r="M227">
        <f t="shared" si="3"/>
        <v>559.29999999999995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55930</v>
      </c>
      <c r="M228">
        <f t="shared" si="3"/>
        <v>559.29999999999995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55930</v>
      </c>
      <c r="M229">
        <f t="shared" si="3"/>
        <v>559.29999999999995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55930</v>
      </c>
      <c r="M230">
        <f t="shared" si="3"/>
        <v>559.29999999999995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501</v>
      </c>
      <c r="I231">
        <v>750</v>
      </c>
      <c r="L231">
        <f>SUM($I$2:I231)</f>
        <v>56680</v>
      </c>
      <c r="M231">
        <f t="shared" si="3"/>
        <v>566.79999999999995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56680</v>
      </c>
      <c r="M232">
        <f t="shared" si="3"/>
        <v>566.79999999999995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56680</v>
      </c>
      <c r="M233">
        <f t="shared" si="3"/>
        <v>566.79999999999995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56680</v>
      </c>
      <c r="M234">
        <f t="shared" si="3"/>
        <v>566.79999999999995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56680</v>
      </c>
      <c r="M235">
        <f t="shared" si="3"/>
        <v>566.79999999999995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t="s">
        <v>502</v>
      </c>
      <c r="I236">
        <v>450</v>
      </c>
      <c r="L236">
        <f>SUM($I$2:I236)</f>
        <v>57130</v>
      </c>
      <c r="M236">
        <f t="shared" si="3"/>
        <v>571.29999999999995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57130</v>
      </c>
      <c r="M237">
        <f t="shared" si="3"/>
        <v>571.29999999999995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57130</v>
      </c>
      <c r="M238">
        <f t="shared" si="3"/>
        <v>571.29999999999995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57130</v>
      </c>
      <c r="M239">
        <f t="shared" si="3"/>
        <v>571.29999999999995</v>
      </c>
    </row>
    <row r="240" spans="3:13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t="s">
        <v>500</v>
      </c>
      <c r="I240">
        <v>1200</v>
      </c>
      <c r="L240">
        <f>SUM($I$2:I240)</f>
        <v>58330</v>
      </c>
      <c r="M240">
        <f t="shared" si="3"/>
        <v>583.29999999999995</v>
      </c>
    </row>
    <row r="241" spans="3:13" s="28" customFormat="1" x14ac:dyDescent="0.2">
      <c r="C241" s="28">
        <v>240</v>
      </c>
      <c r="D241" s="28">
        <f>IF(IFERROR(VLOOKUP(C241,'Dungeon&amp;Framework'!CG:CL,3,FALSE),"") = 0,"",IFERROR(VLOOKUP(C241,'Dungeon&amp;Framework'!CG:CL,3,FALSE),"") )</f>
        <v>6</v>
      </c>
      <c r="F241" s="28">
        <v>1</v>
      </c>
      <c r="G241" s="28">
        <f>IF( IFERROR(VLOOKUP(C241,'Dungeon&amp;Framework'!CG:CN,8,FALSE),"") = 0, "",IFERROR(VLOOKUP(C241,'Dungeon&amp;Framework'!CG:CN,8,FALSE),""))</f>
        <v>26840</v>
      </c>
      <c r="H241" s="28" t="s">
        <v>494</v>
      </c>
      <c r="I241" s="28">
        <v>6000</v>
      </c>
      <c r="J241" s="28">
        <f>SUM(I206:I240)</f>
        <v>13350</v>
      </c>
      <c r="L241">
        <f>SUM($I$2:I241)</f>
        <v>64330</v>
      </c>
      <c r="M241">
        <f t="shared" si="3"/>
        <v>643.29999999999995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64330</v>
      </c>
      <c r="M242">
        <f t="shared" si="3"/>
        <v>643.29999999999995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64330</v>
      </c>
      <c r="M243">
        <f t="shared" si="3"/>
        <v>643.29999999999995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64330</v>
      </c>
      <c r="M244">
        <f t="shared" si="3"/>
        <v>643.29999999999995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64330</v>
      </c>
      <c r="M245">
        <f t="shared" si="3"/>
        <v>643.29999999999995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64330</v>
      </c>
      <c r="M246">
        <f t="shared" si="3"/>
        <v>643.29999999999995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64330</v>
      </c>
      <c r="M247">
        <f t="shared" si="3"/>
        <v>643.29999999999995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t="s">
        <v>482</v>
      </c>
      <c r="I248">
        <v>720</v>
      </c>
      <c r="L248">
        <f>SUM($I$2:I248)</f>
        <v>65050</v>
      </c>
      <c r="M248">
        <f t="shared" si="3"/>
        <v>650.5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65050</v>
      </c>
      <c r="M249">
        <f t="shared" si="3"/>
        <v>650.5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65050</v>
      </c>
      <c r="M250">
        <f t="shared" si="3"/>
        <v>650.5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65050</v>
      </c>
      <c r="M251">
        <f t="shared" si="3"/>
        <v>650.5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65050</v>
      </c>
      <c r="M252">
        <f t="shared" si="3"/>
        <v>650.5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65050</v>
      </c>
      <c r="M253">
        <f t="shared" si="3"/>
        <v>650.5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65050</v>
      </c>
      <c r="M254">
        <f t="shared" si="3"/>
        <v>650.5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487</v>
      </c>
      <c r="I255">
        <v>270</v>
      </c>
      <c r="L255">
        <f>SUM($I$2:I255)</f>
        <v>65320</v>
      </c>
      <c r="M255">
        <f t="shared" si="3"/>
        <v>653.20000000000005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65320</v>
      </c>
      <c r="M256">
        <f t="shared" si="3"/>
        <v>653.20000000000005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65320</v>
      </c>
      <c r="M257">
        <f t="shared" si="3"/>
        <v>653.20000000000005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65320</v>
      </c>
      <c r="M258">
        <f t="shared" si="3"/>
        <v>653.20000000000005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65320</v>
      </c>
      <c r="M259">
        <f t="shared" ref="M259:M322" si="4">L259/100</f>
        <v>653.20000000000005</v>
      </c>
    </row>
    <row r="260" spans="3:13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497</v>
      </c>
      <c r="I260">
        <v>250</v>
      </c>
      <c r="L260">
        <f>SUM($I$2:I260)</f>
        <v>65570</v>
      </c>
      <c r="M260">
        <f t="shared" si="4"/>
        <v>655.7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t="s">
        <v>481</v>
      </c>
      <c r="I261">
        <v>500</v>
      </c>
      <c r="L261">
        <f>SUM($I$2:I261)</f>
        <v>66070</v>
      </c>
      <c r="M261">
        <f t="shared" si="4"/>
        <v>660.7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66070</v>
      </c>
      <c r="M262">
        <f t="shared" si="4"/>
        <v>660.7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66070</v>
      </c>
      <c r="M263">
        <f t="shared" si="4"/>
        <v>660.7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66070</v>
      </c>
      <c r="M264">
        <f t="shared" si="4"/>
        <v>660.7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66070</v>
      </c>
      <c r="M265">
        <f t="shared" si="4"/>
        <v>660.7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66070</v>
      </c>
      <c r="M266">
        <f t="shared" si="4"/>
        <v>660.7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66070</v>
      </c>
      <c r="M267">
        <f t="shared" si="4"/>
        <v>660.7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t="s">
        <v>496</v>
      </c>
      <c r="I268">
        <v>300</v>
      </c>
      <c r="L268">
        <f>SUM($I$2:I268)</f>
        <v>66370</v>
      </c>
      <c r="M268">
        <f t="shared" si="4"/>
        <v>663.7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66370</v>
      </c>
      <c r="M269">
        <f t="shared" si="4"/>
        <v>663.7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66370</v>
      </c>
      <c r="M270">
        <f t="shared" si="4"/>
        <v>663.7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66370</v>
      </c>
      <c r="M271">
        <f t="shared" si="4"/>
        <v>663.7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66370</v>
      </c>
      <c r="M272">
        <f t="shared" si="4"/>
        <v>663.7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66370</v>
      </c>
      <c r="M273">
        <f t="shared" si="4"/>
        <v>663.7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66370</v>
      </c>
      <c r="M274">
        <f t="shared" si="4"/>
        <v>663.7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501</v>
      </c>
      <c r="I275">
        <v>750</v>
      </c>
      <c r="L275">
        <f>SUM($I$2:I275)</f>
        <v>67120</v>
      </c>
      <c r="M275">
        <f t="shared" si="4"/>
        <v>671.2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67120</v>
      </c>
      <c r="M276">
        <f t="shared" si="4"/>
        <v>671.2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67120</v>
      </c>
      <c r="M277">
        <f t="shared" si="4"/>
        <v>671.2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67120</v>
      </c>
      <c r="M278">
        <f t="shared" si="4"/>
        <v>671.2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67120</v>
      </c>
      <c r="M279">
        <f t="shared" si="4"/>
        <v>671.2</v>
      </c>
    </row>
    <row r="280" spans="3:13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487</v>
      </c>
      <c r="I280">
        <v>270</v>
      </c>
      <c r="L280">
        <f>SUM($I$2:I280)</f>
        <v>67390</v>
      </c>
      <c r="M280">
        <f t="shared" si="4"/>
        <v>673.9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t="s">
        <v>490</v>
      </c>
      <c r="I281">
        <v>3000</v>
      </c>
      <c r="L281">
        <f>SUM($I$2:I281)</f>
        <v>70390</v>
      </c>
      <c r="M281">
        <f t="shared" si="4"/>
        <v>703.9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70390</v>
      </c>
      <c r="M282">
        <f t="shared" si="4"/>
        <v>703.9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70390</v>
      </c>
      <c r="M283">
        <f t="shared" si="4"/>
        <v>703.9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70390</v>
      </c>
      <c r="M284">
        <f t="shared" si="4"/>
        <v>703.9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70390</v>
      </c>
      <c r="M285">
        <f t="shared" si="4"/>
        <v>703.9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70390</v>
      </c>
      <c r="M286">
        <f t="shared" si="4"/>
        <v>703.9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70390</v>
      </c>
      <c r="M287">
        <f t="shared" si="4"/>
        <v>703.9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t="s">
        <v>482</v>
      </c>
      <c r="I288">
        <v>720</v>
      </c>
      <c r="L288">
        <f>SUM($I$2:I288)</f>
        <v>71110</v>
      </c>
      <c r="M288">
        <f t="shared" si="4"/>
        <v>711.1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71110</v>
      </c>
      <c r="M289">
        <f t="shared" si="4"/>
        <v>711.1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71110</v>
      </c>
      <c r="M290">
        <f t="shared" si="4"/>
        <v>711.1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71110</v>
      </c>
      <c r="M291">
        <f t="shared" si="4"/>
        <v>711.1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71110</v>
      </c>
      <c r="M292">
        <f t="shared" si="4"/>
        <v>711.1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71110</v>
      </c>
      <c r="M293">
        <f t="shared" si="4"/>
        <v>711.1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71110</v>
      </c>
      <c r="M294">
        <f t="shared" si="4"/>
        <v>711.1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487</v>
      </c>
      <c r="I295">
        <v>270</v>
      </c>
      <c r="L295">
        <f>SUM($I$2:I295)</f>
        <v>71380</v>
      </c>
      <c r="M295">
        <f t="shared" si="4"/>
        <v>713.8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71380</v>
      </c>
      <c r="M296">
        <f t="shared" si="4"/>
        <v>713.8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71380</v>
      </c>
      <c r="M297">
        <f t="shared" si="4"/>
        <v>713.8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71380</v>
      </c>
      <c r="M298">
        <f t="shared" si="4"/>
        <v>713.8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71380</v>
      </c>
      <c r="M299">
        <f t="shared" si="4"/>
        <v>713.8</v>
      </c>
    </row>
    <row r="300" spans="3:13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497</v>
      </c>
      <c r="I300">
        <v>250</v>
      </c>
      <c r="L300">
        <f>SUM($I$2:I300)</f>
        <v>71630</v>
      </c>
      <c r="M300">
        <f t="shared" si="4"/>
        <v>716.3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t="s">
        <v>481</v>
      </c>
      <c r="I301">
        <v>500</v>
      </c>
      <c r="L301">
        <f>SUM($I$2:I301)</f>
        <v>72130</v>
      </c>
      <c r="M301">
        <f t="shared" si="4"/>
        <v>721.3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72130</v>
      </c>
      <c r="M302">
        <f t="shared" si="4"/>
        <v>721.3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72130</v>
      </c>
      <c r="M303">
        <f t="shared" si="4"/>
        <v>721.3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72130</v>
      </c>
      <c r="M304">
        <f t="shared" si="4"/>
        <v>721.3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72130</v>
      </c>
      <c r="M305">
        <f t="shared" si="4"/>
        <v>721.3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72130</v>
      </c>
      <c r="M306">
        <f t="shared" si="4"/>
        <v>721.3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72130</v>
      </c>
      <c r="M307">
        <f t="shared" si="4"/>
        <v>721.3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t="s">
        <v>496</v>
      </c>
      <c r="I308">
        <v>300</v>
      </c>
      <c r="L308">
        <f>SUM($I$2:I308)</f>
        <v>72430</v>
      </c>
      <c r="M308">
        <f t="shared" si="4"/>
        <v>724.3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72430</v>
      </c>
      <c r="M309">
        <f t="shared" si="4"/>
        <v>724.3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72430</v>
      </c>
      <c r="M310">
        <f t="shared" si="4"/>
        <v>724.3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72430</v>
      </c>
      <c r="M311">
        <f t="shared" si="4"/>
        <v>724.3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72430</v>
      </c>
      <c r="M312">
        <f t="shared" si="4"/>
        <v>724.3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72430</v>
      </c>
      <c r="M313">
        <f t="shared" si="4"/>
        <v>724.3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72430</v>
      </c>
      <c r="M314">
        <f t="shared" si="4"/>
        <v>724.3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501</v>
      </c>
      <c r="I315">
        <v>750</v>
      </c>
      <c r="L315">
        <f>SUM($I$2:I315)</f>
        <v>73180</v>
      </c>
      <c r="M315">
        <f t="shared" si="4"/>
        <v>731.8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73180</v>
      </c>
      <c r="M316">
        <f t="shared" si="4"/>
        <v>731.8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73180</v>
      </c>
      <c r="M317">
        <f t="shared" si="4"/>
        <v>731.8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73180</v>
      </c>
      <c r="M318">
        <f t="shared" si="4"/>
        <v>731.8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73180</v>
      </c>
      <c r="M319">
        <f t="shared" si="4"/>
        <v>731.8</v>
      </c>
    </row>
    <row r="320" spans="3:13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487</v>
      </c>
      <c r="I320">
        <v>270</v>
      </c>
      <c r="L320">
        <f>SUM($I$2:I320)</f>
        <v>73450</v>
      </c>
      <c r="M320">
        <f t="shared" si="4"/>
        <v>734.5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t="s">
        <v>490</v>
      </c>
      <c r="I321">
        <v>3000</v>
      </c>
      <c r="L321">
        <f>SUM($I$2:I321)</f>
        <v>76450</v>
      </c>
      <c r="M321">
        <f t="shared" si="4"/>
        <v>764.5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76450</v>
      </c>
      <c r="M322">
        <f t="shared" si="4"/>
        <v>764.5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76450</v>
      </c>
      <c r="M323">
        <f t="shared" ref="M323:M386" si="5">L323/100</f>
        <v>764.5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76450</v>
      </c>
      <c r="M324">
        <f t="shared" si="5"/>
        <v>764.5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76450</v>
      </c>
      <c r="M325">
        <f t="shared" si="5"/>
        <v>764.5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76450</v>
      </c>
      <c r="M326">
        <f t="shared" si="5"/>
        <v>764.5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76450</v>
      </c>
      <c r="M327">
        <f t="shared" si="5"/>
        <v>764.5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t="s">
        <v>482</v>
      </c>
      <c r="I328">
        <v>720</v>
      </c>
      <c r="L328">
        <f>SUM($I$2:I328)</f>
        <v>77170</v>
      </c>
      <c r="M328">
        <f t="shared" si="5"/>
        <v>771.7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77170</v>
      </c>
      <c r="M329">
        <f t="shared" si="5"/>
        <v>771.7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77170</v>
      </c>
      <c r="M330">
        <f t="shared" si="5"/>
        <v>771.7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77170</v>
      </c>
      <c r="M331">
        <f t="shared" si="5"/>
        <v>771.7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77170</v>
      </c>
      <c r="M332">
        <f t="shared" si="5"/>
        <v>771.7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77170</v>
      </c>
      <c r="M333">
        <f t="shared" si="5"/>
        <v>771.7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77170</v>
      </c>
      <c r="M334">
        <f t="shared" si="5"/>
        <v>771.7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487</v>
      </c>
      <c r="I335">
        <v>270</v>
      </c>
      <c r="L335">
        <f>SUM($I$2:I335)</f>
        <v>77440</v>
      </c>
      <c r="M335">
        <f t="shared" si="5"/>
        <v>774.4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77440</v>
      </c>
      <c r="M336">
        <f t="shared" si="5"/>
        <v>774.4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77440</v>
      </c>
      <c r="M337">
        <f t="shared" si="5"/>
        <v>774.4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77440</v>
      </c>
      <c r="M338">
        <f t="shared" si="5"/>
        <v>774.4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77440</v>
      </c>
      <c r="M339">
        <f t="shared" si="5"/>
        <v>774.4</v>
      </c>
    </row>
    <row r="340" spans="3:13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497</v>
      </c>
      <c r="I340">
        <v>250</v>
      </c>
      <c r="L340">
        <f>SUM($I$2:I340)</f>
        <v>77690</v>
      </c>
      <c r="M340">
        <f t="shared" si="5"/>
        <v>776.9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t="s">
        <v>481</v>
      </c>
      <c r="I341">
        <v>500</v>
      </c>
      <c r="L341">
        <f>SUM($I$2:I341)</f>
        <v>78190</v>
      </c>
      <c r="M341">
        <f t="shared" si="5"/>
        <v>781.9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78190</v>
      </c>
      <c r="M342">
        <f t="shared" si="5"/>
        <v>781.9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78190</v>
      </c>
      <c r="M343">
        <f t="shared" si="5"/>
        <v>781.9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78190</v>
      </c>
      <c r="M344">
        <f t="shared" si="5"/>
        <v>781.9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78190</v>
      </c>
      <c r="M345">
        <f t="shared" si="5"/>
        <v>781.9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78190</v>
      </c>
      <c r="M346">
        <f t="shared" si="5"/>
        <v>781.9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78190</v>
      </c>
      <c r="M347">
        <f t="shared" si="5"/>
        <v>781.9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t="s">
        <v>496</v>
      </c>
      <c r="I348">
        <v>300</v>
      </c>
      <c r="L348">
        <f>SUM($I$2:I348)</f>
        <v>78490</v>
      </c>
      <c r="M348">
        <f t="shared" si="5"/>
        <v>784.9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78490</v>
      </c>
      <c r="M349">
        <f t="shared" si="5"/>
        <v>784.9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78490</v>
      </c>
      <c r="M350">
        <f t="shared" si="5"/>
        <v>784.9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78490</v>
      </c>
      <c r="M351">
        <f t="shared" si="5"/>
        <v>784.9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78490</v>
      </c>
      <c r="M352">
        <f t="shared" si="5"/>
        <v>784.9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78490</v>
      </c>
      <c r="M353">
        <f t="shared" si="5"/>
        <v>784.9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78490</v>
      </c>
      <c r="M354">
        <f t="shared" si="5"/>
        <v>784.9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501</v>
      </c>
      <c r="I355">
        <v>750</v>
      </c>
      <c r="L355">
        <f>SUM($I$2:I355)</f>
        <v>79240</v>
      </c>
      <c r="M355">
        <f t="shared" si="5"/>
        <v>792.4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79240</v>
      </c>
      <c r="M356">
        <f t="shared" si="5"/>
        <v>792.4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79240</v>
      </c>
      <c r="M357">
        <f t="shared" si="5"/>
        <v>792.4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79240</v>
      </c>
      <c r="M358">
        <f t="shared" si="5"/>
        <v>792.4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79240</v>
      </c>
      <c r="M359">
        <f t="shared" si="5"/>
        <v>792.4</v>
      </c>
    </row>
    <row r="360" spans="3:13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487</v>
      </c>
      <c r="I360">
        <v>270</v>
      </c>
      <c r="L360">
        <f>SUM($I$2:I360)</f>
        <v>79510</v>
      </c>
      <c r="M360">
        <f t="shared" si="5"/>
        <v>795.1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t="s">
        <v>490</v>
      </c>
      <c r="I361">
        <v>3000</v>
      </c>
      <c r="L361">
        <f>SUM($I$2:I361)</f>
        <v>82510</v>
      </c>
      <c r="M361">
        <f t="shared" si="5"/>
        <v>825.1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82510</v>
      </c>
      <c r="M362">
        <f t="shared" si="5"/>
        <v>825.1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82510</v>
      </c>
      <c r="M363">
        <f t="shared" si="5"/>
        <v>825.1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82510</v>
      </c>
      <c r="M364">
        <f t="shared" si="5"/>
        <v>825.1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82510</v>
      </c>
      <c r="M365">
        <f t="shared" si="5"/>
        <v>825.1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82510</v>
      </c>
      <c r="M366">
        <f t="shared" si="5"/>
        <v>825.1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82510</v>
      </c>
      <c r="M367">
        <f t="shared" si="5"/>
        <v>825.1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t="s">
        <v>482</v>
      </c>
      <c r="I368">
        <v>720</v>
      </c>
      <c r="L368">
        <f>SUM($I$2:I368)</f>
        <v>83230</v>
      </c>
      <c r="M368">
        <f t="shared" si="5"/>
        <v>832.3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83230</v>
      </c>
      <c r="M369">
        <f t="shared" si="5"/>
        <v>832.3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83230</v>
      </c>
      <c r="M370">
        <f t="shared" si="5"/>
        <v>832.3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83230</v>
      </c>
      <c r="M371">
        <f t="shared" si="5"/>
        <v>832.3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83230</v>
      </c>
      <c r="M372">
        <f t="shared" si="5"/>
        <v>832.3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83230</v>
      </c>
      <c r="M373">
        <f t="shared" si="5"/>
        <v>832.3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83230</v>
      </c>
      <c r="M374">
        <f t="shared" si="5"/>
        <v>832.3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487</v>
      </c>
      <c r="I375">
        <v>270</v>
      </c>
      <c r="L375">
        <f>SUM($I$2:I375)</f>
        <v>83500</v>
      </c>
      <c r="M375">
        <f t="shared" si="5"/>
        <v>835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83500</v>
      </c>
      <c r="M376">
        <f t="shared" si="5"/>
        <v>835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83500</v>
      </c>
      <c r="M377">
        <f t="shared" si="5"/>
        <v>835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83500</v>
      </c>
      <c r="M378">
        <f t="shared" si="5"/>
        <v>835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83500</v>
      </c>
      <c r="M379">
        <f t="shared" si="5"/>
        <v>835</v>
      </c>
    </row>
    <row r="380" spans="3:13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497</v>
      </c>
      <c r="I380">
        <v>250</v>
      </c>
      <c r="L380">
        <f>SUM($I$2:I380)</f>
        <v>83750</v>
      </c>
      <c r="M380">
        <f t="shared" si="5"/>
        <v>837.5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t="s">
        <v>481</v>
      </c>
      <c r="I381">
        <v>500</v>
      </c>
      <c r="L381">
        <f>SUM($I$2:I381)</f>
        <v>84250</v>
      </c>
      <c r="M381">
        <f t="shared" si="5"/>
        <v>842.5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84250</v>
      </c>
      <c r="M382">
        <f t="shared" si="5"/>
        <v>842.5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84250</v>
      </c>
      <c r="M383">
        <f t="shared" si="5"/>
        <v>842.5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84250</v>
      </c>
      <c r="M384">
        <f t="shared" si="5"/>
        <v>842.5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84250</v>
      </c>
      <c r="M385">
        <f t="shared" si="5"/>
        <v>842.5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84250</v>
      </c>
      <c r="M386">
        <f t="shared" si="5"/>
        <v>842.5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84250</v>
      </c>
      <c r="M387">
        <f t="shared" ref="M387:M417" si="6">L387/100</f>
        <v>842.5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t="s">
        <v>496</v>
      </c>
      <c r="I388">
        <v>300</v>
      </c>
      <c r="L388">
        <f>SUM($I$2:I388)</f>
        <v>84550</v>
      </c>
      <c r="M388">
        <f t="shared" si="6"/>
        <v>845.5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84550</v>
      </c>
      <c r="M389">
        <f t="shared" si="6"/>
        <v>845.5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84550</v>
      </c>
      <c r="M390">
        <f t="shared" si="6"/>
        <v>845.5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84550</v>
      </c>
      <c r="M391">
        <f t="shared" si="6"/>
        <v>845.5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84550</v>
      </c>
      <c r="M392">
        <f t="shared" si="6"/>
        <v>845.5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84550</v>
      </c>
      <c r="M393">
        <f t="shared" si="6"/>
        <v>845.5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84550</v>
      </c>
      <c r="M394">
        <f t="shared" si="6"/>
        <v>845.5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501</v>
      </c>
      <c r="I395">
        <v>750</v>
      </c>
      <c r="L395">
        <f>SUM($I$2:I395)</f>
        <v>85300</v>
      </c>
      <c r="M395">
        <f t="shared" si="6"/>
        <v>853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85300</v>
      </c>
      <c r="M396">
        <f t="shared" si="6"/>
        <v>853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85300</v>
      </c>
      <c r="M397">
        <f t="shared" si="6"/>
        <v>853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85300</v>
      </c>
      <c r="M398">
        <f t="shared" si="6"/>
        <v>853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85300</v>
      </c>
      <c r="M399">
        <f t="shared" si="6"/>
        <v>853</v>
      </c>
    </row>
    <row r="400" spans="3:13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487</v>
      </c>
      <c r="I400">
        <v>270</v>
      </c>
      <c r="L400">
        <f>SUM($I$2:I400)</f>
        <v>85570</v>
      </c>
      <c r="M400">
        <f t="shared" si="6"/>
        <v>855.7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t="s">
        <v>490</v>
      </c>
      <c r="I401">
        <v>3000</v>
      </c>
      <c r="L401">
        <f>SUM($I$2:I401)</f>
        <v>88570</v>
      </c>
      <c r="M401">
        <f t="shared" si="6"/>
        <v>885.7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88570</v>
      </c>
      <c r="M402">
        <f t="shared" si="6"/>
        <v>885.7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88570</v>
      </c>
      <c r="M403">
        <f t="shared" si="6"/>
        <v>885.7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88570</v>
      </c>
      <c r="M404">
        <f t="shared" si="6"/>
        <v>885.7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t="s">
        <v>482</v>
      </c>
      <c r="I405">
        <v>720</v>
      </c>
      <c r="L405">
        <f>SUM($I$2:I405)</f>
        <v>89290</v>
      </c>
      <c r="M405">
        <f t="shared" si="6"/>
        <v>892.9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89290</v>
      </c>
      <c r="M406">
        <f t="shared" si="6"/>
        <v>892.9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89290</v>
      </c>
      <c r="M407">
        <f t="shared" si="6"/>
        <v>892.9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89290</v>
      </c>
      <c r="M408">
        <f t="shared" si="6"/>
        <v>892.9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89290</v>
      </c>
      <c r="M409">
        <f t="shared" si="6"/>
        <v>892.9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487</v>
      </c>
      <c r="I410">
        <v>270</v>
      </c>
      <c r="L410">
        <f>SUM($I$2:I410)</f>
        <v>89560</v>
      </c>
      <c r="M410">
        <f t="shared" si="6"/>
        <v>895.6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89560</v>
      </c>
      <c r="M411">
        <f t="shared" si="6"/>
        <v>895.6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89560</v>
      </c>
      <c r="M412">
        <f t="shared" si="6"/>
        <v>895.6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89560</v>
      </c>
      <c r="M413">
        <f t="shared" si="6"/>
        <v>895.6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89560</v>
      </c>
      <c r="M414">
        <f t="shared" si="6"/>
        <v>895.6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89560</v>
      </c>
      <c r="M415">
        <f t="shared" si="6"/>
        <v>895.6</v>
      </c>
    </row>
    <row r="416" spans="3:13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497</v>
      </c>
      <c r="I416">
        <v>250</v>
      </c>
      <c r="L416">
        <f>SUM($I$2:I416)</f>
        <v>89810</v>
      </c>
      <c r="M416">
        <f t="shared" si="6"/>
        <v>898.1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t="s">
        <v>481</v>
      </c>
      <c r="I417">
        <v>500</v>
      </c>
      <c r="L417">
        <f>SUM($I$2:I417)</f>
        <v>90310</v>
      </c>
      <c r="M417">
        <f t="shared" si="6"/>
        <v>903.1</v>
      </c>
    </row>
    <row r="418" spans="3:13" hidden="1" x14ac:dyDescent="0.2"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G419" t="str">
        <f>IF( IFERROR(VLOOKUP(C419,'Dungeon&amp;Framework'!CG:CN,8,FALSE),"") = 0, "",IFERROR(VLOOKUP(C419,'Dungeon&amp;Framework'!CG:CN,8,FALSE),""))</f>
        <v/>
      </c>
      <c r="L419" t="s">
        <v>517</v>
      </c>
    </row>
    <row r="420" spans="3:13" hidden="1" x14ac:dyDescent="0.2">
      <c r="L420" t="s">
        <v>518</v>
      </c>
    </row>
    <row r="421" spans="3:13" hidden="1" x14ac:dyDescent="0.2"/>
    <row r="422" spans="3:13" hidden="1" x14ac:dyDescent="0.2">
      <c r="G422" t="str">
        <f>IF( IFERROR(VLOOKUP(C422,'Dungeon&amp;Framework'!CG:CN,8,FALSE),"") = 0, "",IFERROR(VLOOKUP(C422,'Dungeon&amp;Framework'!CG:CN,8,FALSE),""))</f>
        <v/>
      </c>
      <c r="L422" t="s">
        <v>519</v>
      </c>
    </row>
    <row r="423" spans="3:13" hidden="1" x14ac:dyDescent="0.2">
      <c r="G423" t="str">
        <f>IF( IFERROR(VLOOKUP(C423,'Dungeon&amp;Framework'!CG:CN,8,FALSE),"") = 0, "",IFERROR(VLOOKUP(C423,'Dungeon&amp;Framework'!CG:CN,8,FALSE),""))</f>
        <v/>
      </c>
      <c r="L423" t="s">
        <v>520</v>
      </c>
    </row>
    <row r="424" spans="3:13" hidden="1" x14ac:dyDescent="0.2">
      <c r="G424" t="str">
        <f>IF( IFERROR(VLOOKUP(C424,'Dungeon&amp;Framework'!CG:CN,8,FALSE),"") = 0, "",IFERROR(VLOOKUP(C424,'Dungeon&amp;Framework'!CG:CN,8,FALSE),""))</f>
        <v/>
      </c>
      <c r="L424" t="s">
        <v>521</v>
      </c>
    </row>
    <row r="425" spans="3:13" hidden="1" x14ac:dyDescent="0.2"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L426" t="s">
        <v>522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R79"/>
  <sheetViews>
    <sheetView tabSelected="1" topLeftCell="A6" workbookViewId="0">
      <selection activeCell="J19" sqref="J19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598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K3" t="s">
        <v>350</v>
      </c>
      <c r="L3" t="s">
        <v>102</v>
      </c>
      <c r="M3">
        <v>10</v>
      </c>
      <c r="N3">
        <f>M3*60*2</f>
        <v>1200</v>
      </c>
      <c r="O3">
        <f>N3/$R$3</f>
        <v>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:N5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36000</v>
      </c>
      <c r="D5" s="1">
        <f t="shared" ref="D5:E5" si="2">D11*$R$8</f>
        <v>84000</v>
      </c>
      <c r="E5" s="1">
        <f t="shared" si="2"/>
        <v>360000</v>
      </c>
      <c r="F5" s="1">
        <f>F11*$R$8</f>
        <v>600000</v>
      </c>
      <c r="L5" t="s">
        <v>347</v>
      </c>
      <c r="M5">
        <v>1000</v>
      </c>
      <c r="N5">
        <f>M5*60*2</f>
        <v>120000</v>
      </c>
      <c r="O5">
        <f t="shared" si="1"/>
        <v>500</v>
      </c>
    </row>
    <row r="6" spans="1:18" x14ac:dyDescent="0.2">
      <c r="A6" s="91" t="s">
        <v>348</v>
      </c>
      <c r="B6" s="1" t="s">
        <v>102</v>
      </c>
      <c r="C6" s="1">
        <v>10</v>
      </c>
      <c r="D6" s="1">
        <v>20</v>
      </c>
      <c r="E6" s="1">
        <v>50</v>
      </c>
      <c r="F6" s="1"/>
    </row>
    <row r="7" spans="1:18" x14ac:dyDescent="0.2">
      <c r="A7" s="91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M7" t="s">
        <v>693</v>
      </c>
      <c r="R7" s="28" t="s">
        <v>597</v>
      </c>
    </row>
    <row r="8" spans="1:18" x14ac:dyDescent="0.2">
      <c r="A8" s="91"/>
      <c r="B8" s="1" t="s">
        <v>347</v>
      </c>
      <c r="C8" s="1">
        <v>0</v>
      </c>
      <c r="D8" s="1">
        <v>0</v>
      </c>
      <c r="E8" s="1">
        <v>1</v>
      </c>
      <c r="F8" s="1">
        <v>2</v>
      </c>
      <c r="R8" s="28">
        <f>ROUND('Dungeon&amp;Framework'!DZ71,0)</f>
        <v>240</v>
      </c>
    </row>
    <row r="10" spans="1:18" x14ac:dyDescent="0.2">
      <c r="B10" s="1" t="s">
        <v>349</v>
      </c>
      <c r="C10" s="1">
        <f>C6*$N$3+C7*$N$4+C8*$N$5</f>
        <v>36000</v>
      </c>
      <c r="D10" s="1">
        <f t="shared" ref="D10:F10" si="3">D6*$N$3+D7*$N$4+D8*$N$5</f>
        <v>84000</v>
      </c>
      <c r="E10" s="1">
        <f>E6*$N$3+E7*$N$4+E8*$N$5</f>
        <v>360000</v>
      </c>
      <c r="F10" s="1">
        <f t="shared" si="3"/>
        <v>600000</v>
      </c>
    </row>
    <row r="11" spans="1:18" x14ac:dyDescent="0.2">
      <c r="B11" s="1" t="s">
        <v>427</v>
      </c>
      <c r="C11" s="78">
        <f>C10/$R$3</f>
        <v>150</v>
      </c>
      <c r="D11" s="78">
        <f t="shared" ref="D11:F11" si="4">D10/$R$3</f>
        <v>350</v>
      </c>
      <c r="E11" s="78">
        <f t="shared" si="4"/>
        <v>1500</v>
      </c>
      <c r="F11" s="78">
        <f t="shared" si="4"/>
        <v>2500</v>
      </c>
    </row>
    <row r="14" spans="1:18" x14ac:dyDescent="0.2">
      <c r="C14" s="101" t="s">
        <v>428</v>
      </c>
      <c r="D14" s="101"/>
      <c r="E14" s="101"/>
      <c r="F14" s="101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8" spans="1:10" x14ac:dyDescent="0.2">
      <c r="B18" t="s">
        <v>632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5</v>
      </c>
      <c r="E19">
        <v>15</v>
      </c>
      <c r="F19">
        <v>35</v>
      </c>
      <c r="G19" t="s">
        <v>679</v>
      </c>
    </row>
    <row r="20" spans="1:10" x14ac:dyDescent="0.2">
      <c r="B20" t="s">
        <v>347</v>
      </c>
      <c r="C20">
        <v>0</v>
      </c>
      <c r="D20">
        <v>0</v>
      </c>
      <c r="E20">
        <v>1</v>
      </c>
      <c r="F20">
        <v>2</v>
      </c>
    </row>
    <row r="22" spans="1:10" x14ac:dyDescent="0.2">
      <c r="B22" t="s">
        <v>631</v>
      </c>
      <c r="C22">
        <f>SUM(C18:C20)</f>
        <v>14</v>
      </c>
      <c r="D22">
        <f t="shared" ref="D22:F22" si="5">SUM(D18:D20)</f>
        <v>30</v>
      </c>
      <c r="E22">
        <f t="shared" si="5"/>
        <v>76</v>
      </c>
      <c r="F22">
        <f t="shared" si="5"/>
        <v>37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694</v>
      </c>
      <c r="B25" s="113"/>
      <c r="C25" s="113"/>
      <c r="D25" s="113"/>
      <c r="E25" s="113"/>
      <c r="F25" s="7"/>
      <c r="G25" s="7"/>
    </row>
    <row r="26" spans="1:10" x14ac:dyDescent="0.2">
      <c r="A26" s="7" t="s">
        <v>695</v>
      </c>
      <c r="B26" s="113">
        <v>10</v>
      </c>
      <c r="C26" s="113"/>
      <c r="D26" s="113"/>
      <c r="E26" s="113"/>
      <c r="F26" s="7"/>
      <c r="G26" s="7"/>
    </row>
    <row r="27" spans="1:10" x14ac:dyDescent="0.2">
      <c r="C27" s="7"/>
      <c r="D27" s="7"/>
      <c r="E27" s="7"/>
      <c r="F27" s="7" t="s">
        <v>698</v>
      </c>
      <c r="G27" s="7"/>
      <c r="H27" t="s">
        <v>699</v>
      </c>
    </row>
    <row r="28" spans="1:10" x14ac:dyDescent="0.2">
      <c r="A28" t="s">
        <v>697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70</v>
      </c>
      <c r="G28" s="7"/>
      <c r="H28">
        <f>SUM(F36:F40)*B28/'Chest&amp;Cards&amp;Offer'!F10*'Chest&amp;Cards&amp;Offer'!F8</f>
        <v>76</v>
      </c>
    </row>
    <row r="29" spans="1:10" x14ac:dyDescent="0.2">
      <c r="A29" s="7" t="s">
        <v>696</v>
      </c>
      <c r="B29" s="7">
        <v>2</v>
      </c>
      <c r="C29" s="7"/>
      <c r="D29" s="7">
        <f>SUM(A52:A56)*2</f>
        <v>419.9</v>
      </c>
      <c r="E29" s="7"/>
      <c r="F29" s="7">
        <f>SUM(C52:C56)*2</f>
        <v>28</v>
      </c>
      <c r="G29" s="7"/>
      <c r="H29">
        <f>SUM(H52:H56)*B29/F11*F8</f>
        <v>29.6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203.6</v>
      </c>
    </row>
    <row r="32" spans="1:10" ht="17" customHeight="1" x14ac:dyDescent="0.2"/>
    <row r="33" spans="1:18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t="s">
        <v>685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12</v>
      </c>
      <c r="K36" s="1">
        <f>H36/100</f>
        <v>0</v>
      </c>
      <c r="L36" s="1">
        <f t="shared" ref="L36:L41" si="7">I36</f>
        <v>5</v>
      </c>
      <c r="M36" s="1"/>
      <c r="N36" s="1">
        <f>SUM(J36:L36)</f>
        <v>17</v>
      </c>
      <c r="O36" s="1">
        <f t="shared" ref="O36:O41" si="8">N36/A36</f>
        <v>3.4068136272545089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23.5</v>
      </c>
      <c r="K37" s="1">
        <f t="shared" ref="K37:K41" si="9">H37/100</f>
        <v>0</v>
      </c>
      <c r="L37" s="1">
        <f t="shared" si="7"/>
        <v>10</v>
      </c>
      <c r="M37" s="1"/>
      <c r="N37" s="1">
        <f t="shared" ref="N37:N41" si="10">SUM(J37:L37)</f>
        <v>33.5</v>
      </c>
      <c r="O37" s="1">
        <f t="shared" si="8"/>
        <v>3.3533533533533535</v>
      </c>
    </row>
    <row r="38" spans="1:18" x14ac:dyDescent="0.2">
      <c r="A38" s="1">
        <v>14.99</v>
      </c>
      <c r="B38" s="1"/>
      <c r="C38" s="1">
        <v>1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35</v>
      </c>
      <c r="K38" s="1">
        <f t="shared" si="9"/>
        <v>0</v>
      </c>
      <c r="L38" s="1">
        <f t="shared" si="7"/>
        <v>15</v>
      </c>
      <c r="M38" s="1"/>
      <c r="N38" s="1">
        <f t="shared" si="10"/>
        <v>50</v>
      </c>
      <c r="O38" s="1">
        <f t="shared" si="8"/>
        <v>3.3355570380253501</v>
      </c>
    </row>
    <row r="39" spans="1:18" x14ac:dyDescent="0.2">
      <c r="A39" s="112">
        <v>24.99</v>
      </c>
      <c r="B39" s="112"/>
      <c r="C39" s="112">
        <v>2</v>
      </c>
      <c r="D39" s="112">
        <v>40</v>
      </c>
      <c r="E39" s="112"/>
      <c r="F39" s="1">
        <f>ROUND(A39,0)*'Chest&amp;Cards&amp;Offer'!$P$3</f>
        <v>600000</v>
      </c>
      <c r="G39" s="112"/>
      <c r="H39" s="112"/>
      <c r="I39" s="112">
        <v>25</v>
      </c>
      <c r="J39" s="112">
        <f t="shared" ref="J39:J41" si="11">(C39*$N$5+D39*$N$4+E39*$N$3+F39)/$P$3</f>
        <v>55</v>
      </c>
      <c r="K39" s="112">
        <f t="shared" si="9"/>
        <v>0</v>
      </c>
      <c r="L39" s="112">
        <f t="shared" si="7"/>
        <v>25</v>
      </c>
      <c r="M39" s="112"/>
      <c r="N39" s="112">
        <f t="shared" si="10"/>
        <v>80</v>
      </c>
      <c r="O39" s="112">
        <f t="shared" si="8"/>
        <v>3.2012805122048822</v>
      </c>
    </row>
    <row r="40" spans="1:18" x14ac:dyDescent="0.2">
      <c r="A40" s="1">
        <v>39.99</v>
      </c>
      <c r="B40" s="1"/>
      <c r="C40" s="1">
        <v>4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90</v>
      </c>
      <c r="K40" s="1">
        <f t="shared" si="9"/>
        <v>0</v>
      </c>
      <c r="L40" s="1">
        <f t="shared" si="7"/>
        <v>40</v>
      </c>
      <c r="M40" s="1"/>
      <c r="N40" s="1">
        <f t="shared" si="10"/>
        <v>130</v>
      </c>
      <c r="O40" s="1">
        <f t="shared" si="8"/>
        <v>3.2508127031757938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6" spans="1:18" x14ac:dyDescent="0.2">
      <c r="A46" s="16" t="s">
        <v>684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18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t="s">
        <v>685</v>
      </c>
      <c r="R49">
        <v>260</v>
      </c>
    </row>
    <row r="50" spans="1:18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8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13</v>
      </c>
      <c r="K52" s="1">
        <f>H52/100</f>
        <v>7</v>
      </c>
      <c r="L52" s="1">
        <f t="shared" ref="L52:L57" si="13">I52</f>
        <v>10</v>
      </c>
      <c r="M52" s="1"/>
      <c r="N52" s="1">
        <f>SUM(J52:L52)</f>
        <v>30</v>
      </c>
      <c r="O52" s="1">
        <f t="shared" ref="O52:O57" si="14">N52/A52</f>
        <v>3.0030030030030028</v>
      </c>
    </row>
    <row r="53" spans="1:18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26.5</v>
      </c>
      <c r="K53" s="1">
        <f t="shared" ref="K53:K57" si="15">H53/100</f>
        <v>15</v>
      </c>
      <c r="L53" s="1">
        <f t="shared" si="13"/>
        <v>20</v>
      </c>
      <c r="M53" s="1"/>
      <c r="N53" s="1">
        <f t="shared" ref="N53:N57" si="16">SUM(J53:L53)</f>
        <v>61.5</v>
      </c>
      <c r="O53" s="1">
        <f t="shared" si="14"/>
        <v>3.0765382691345677</v>
      </c>
    </row>
    <row r="54" spans="1:18" x14ac:dyDescent="0.2">
      <c r="A54" s="1">
        <v>29.99</v>
      </c>
      <c r="B54" s="1"/>
      <c r="C54" s="1">
        <v>2</v>
      </c>
      <c r="D54" s="1">
        <v>50</v>
      </c>
      <c r="E54" s="1"/>
      <c r="F54" s="1"/>
      <c r="G54" s="1"/>
      <c r="H54" s="1">
        <v>2300</v>
      </c>
      <c r="I54" s="1">
        <v>30</v>
      </c>
      <c r="J54" s="1">
        <f t="shared" si="12"/>
        <v>35</v>
      </c>
      <c r="K54" s="1">
        <f t="shared" si="15"/>
        <v>23</v>
      </c>
      <c r="L54" s="1">
        <f t="shared" si="13"/>
        <v>30</v>
      </c>
      <c r="M54" s="1"/>
      <c r="N54" s="1">
        <f t="shared" si="16"/>
        <v>88</v>
      </c>
      <c r="O54" s="1">
        <f t="shared" si="14"/>
        <v>2.9343114371457153</v>
      </c>
    </row>
    <row r="55" spans="1:18" x14ac:dyDescent="0.2">
      <c r="A55" s="112">
        <v>49.99</v>
      </c>
      <c r="B55" s="112"/>
      <c r="C55" s="112">
        <v>4</v>
      </c>
      <c r="D55" s="112">
        <v>90</v>
      </c>
      <c r="E55" s="112"/>
      <c r="F55" s="1"/>
      <c r="G55" s="112"/>
      <c r="H55" s="1">
        <v>4000</v>
      </c>
      <c r="I55" s="112">
        <v>45</v>
      </c>
      <c r="J55" s="112">
        <f t="shared" si="12"/>
        <v>65</v>
      </c>
      <c r="K55" s="112">
        <f t="shared" si="15"/>
        <v>40</v>
      </c>
      <c r="L55" s="112">
        <f t="shared" si="13"/>
        <v>45</v>
      </c>
      <c r="M55" s="112"/>
      <c r="N55" s="112">
        <f t="shared" si="16"/>
        <v>150</v>
      </c>
      <c r="O55" s="112">
        <f t="shared" si="14"/>
        <v>3.0006001200240049</v>
      </c>
    </row>
    <row r="56" spans="1:18" x14ac:dyDescent="0.2">
      <c r="A56" s="1">
        <v>99.99</v>
      </c>
      <c r="B56" s="1"/>
      <c r="C56" s="1">
        <v>8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18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685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5" si="17">(C71*$J$70+D71*100)/100</f>
        <v>14</v>
      </c>
      <c r="G71" s="1">
        <f t="shared" ref="G71:G75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112">
        <v>19.989999999999998</v>
      </c>
      <c r="C73" s="112">
        <v>50</v>
      </c>
      <c r="D73" s="112">
        <v>20</v>
      </c>
      <c r="E73" s="112"/>
      <c r="F73" s="112">
        <f t="shared" si="17"/>
        <v>65</v>
      </c>
      <c r="G73" s="112">
        <f t="shared" si="18"/>
        <v>3.2516258129064535</v>
      </c>
      <c r="H73" s="7"/>
      <c r="I73" s="7"/>
      <c r="J73" s="7"/>
    </row>
    <row r="74" spans="1:18" x14ac:dyDescent="0.2">
      <c r="B74" s="112">
        <v>29.99</v>
      </c>
      <c r="C74" s="112">
        <v>80</v>
      </c>
      <c r="D74" s="112">
        <v>30</v>
      </c>
      <c r="E74" s="112"/>
      <c r="F74" s="112">
        <f t="shared" si="17"/>
        <v>102</v>
      </c>
      <c r="G74" s="112">
        <f t="shared" si="18"/>
        <v>3.4011337112370792</v>
      </c>
      <c r="H74" s="7"/>
      <c r="I74" s="7"/>
      <c r="J74" s="7"/>
    </row>
    <row r="79" spans="1:18" x14ac:dyDescent="0.2">
      <c r="A79" s="16" t="s">
        <v>516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workbookViewId="0">
      <selection activeCell="J19" sqref="J19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550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551</v>
      </c>
      <c r="W2">
        <f>'Dungeon&amp;Framework'!EF40</f>
        <v>66.457606837606832</v>
      </c>
    </row>
    <row r="3" spans="1:32" x14ac:dyDescent="0.2">
      <c r="O3" t="s">
        <v>194</v>
      </c>
      <c r="U3" t="s">
        <v>552</v>
      </c>
      <c r="W3">
        <f>'Dungeon&amp;Framework'!EF58</f>
        <v>179.59389743589745</v>
      </c>
    </row>
    <row r="4" spans="1:32" x14ac:dyDescent="0.2">
      <c r="C4" t="s">
        <v>195</v>
      </c>
      <c r="U4" t="s">
        <v>553</v>
      </c>
      <c r="W4">
        <f>'Dungeon&amp;Framework'!EF64</f>
        <v>242.43761061946901</v>
      </c>
    </row>
    <row r="5" spans="1:32" x14ac:dyDescent="0.2">
      <c r="A5" s="105" t="s">
        <v>37</v>
      </c>
      <c r="B5" s="106"/>
      <c r="C5" s="106"/>
      <c r="D5" s="106"/>
      <c r="E5" s="106"/>
      <c r="F5" s="106"/>
      <c r="G5" s="106"/>
      <c r="H5" s="107"/>
      <c r="J5" s="108" t="s">
        <v>38</v>
      </c>
      <c r="K5" s="109"/>
      <c r="L5" s="109"/>
      <c r="M5" s="109"/>
      <c r="N5" s="109"/>
      <c r="O5" s="109"/>
      <c r="P5" s="109"/>
      <c r="Q5" s="110"/>
      <c r="S5" s="102" t="s">
        <v>39</v>
      </c>
      <c r="T5" s="103"/>
      <c r="U5" s="103"/>
      <c r="V5" s="103"/>
      <c r="W5" s="103"/>
      <c r="X5" s="103"/>
      <c r="Y5" s="103"/>
      <c r="Z5" s="104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327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328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 t="s">
        <v>554</v>
      </c>
      <c r="D8" s="24">
        <v>-1</v>
      </c>
      <c r="E8" s="24">
        <v>2</v>
      </c>
      <c r="F8" s="23" t="s">
        <v>556</v>
      </c>
      <c r="G8" s="23"/>
      <c r="H8" s="23">
        <v>6</v>
      </c>
      <c r="I8" t="s">
        <v>555</v>
      </c>
      <c r="J8" s="20">
        <v>-1</v>
      </c>
      <c r="K8" s="20">
        <v>1</v>
      </c>
      <c r="L8" s="19" t="s">
        <v>554</v>
      </c>
      <c r="M8" s="20">
        <v>-1</v>
      </c>
      <c r="N8" s="20">
        <v>2</v>
      </c>
      <c r="O8" s="19" t="s">
        <v>556</v>
      </c>
      <c r="P8" s="20">
        <v>-1</v>
      </c>
      <c r="Q8" s="20">
        <v>4</v>
      </c>
      <c r="R8" t="s">
        <v>565</v>
      </c>
      <c r="S8" s="22">
        <v>-1</v>
      </c>
      <c r="T8" s="22">
        <v>1</v>
      </c>
      <c r="U8" s="21" t="s">
        <v>556</v>
      </c>
      <c r="V8" s="22">
        <v>-1</v>
      </c>
      <c r="W8" s="22">
        <v>2</v>
      </c>
      <c r="X8" s="21" t="s">
        <v>554</v>
      </c>
      <c r="Y8" s="22">
        <v>-1</v>
      </c>
      <c r="Z8" s="22">
        <v>4</v>
      </c>
      <c r="AA8" t="s">
        <v>564</v>
      </c>
      <c r="AB8" s="7" t="s">
        <v>329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 t="s">
        <v>554</v>
      </c>
      <c r="G9" s="23"/>
      <c r="H9" s="23">
        <v>7</v>
      </c>
      <c r="I9" t="s">
        <v>554</v>
      </c>
      <c r="J9" s="20"/>
      <c r="K9" s="20"/>
      <c r="L9" s="19"/>
      <c r="M9" s="20"/>
      <c r="N9" s="20">
        <v>3</v>
      </c>
      <c r="O9" s="19" t="s">
        <v>554</v>
      </c>
      <c r="P9" s="19"/>
      <c r="Q9" s="19">
        <v>5</v>
      </c>
      <c r="R9" t="s">
        <v>554</v>
      </c>
      <c r="S9" s="22"/>
      <c r="T9" s="22"/>
      <c r="U9" s="21"/>
      <c r="V9" s="22"/>
      <c r="W9" s="22">
        <v>3</v>
      </c>
      <c r="X9" s="21" t="s">
        <v>561</v>
      </c>
      <c r="Y9" s="21"/>
      <c r="Z9" s="21">
        <v>5</v>
      </c>
      <c r="AA9" t="s">
        <v>554</v>
      </c>
    </row>
    <row r="10" spans="1:32" x14ac:dyDescent="0.2">
      <c r="A10" s="24"/>
      <c r="B10" s="24"/>
      <c r="C10" s="23"/>
      <c r="D10" s="24"/>
      <c r="E10" s="24">
        <v>4</v>
      </c>
      <c r="F10" s="23" t="s">
        <v>556</v>
      </c>
      <c r="G10" s="23"/>
      <c r="H10" s="23">
        <v>8</v>
      </c>
      <c r="I10" t="s">
        <v>556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557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564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561</v>
      </c>
      <c r="G11" s="23"/>
      <c r="H11" s="23">
        <v>9</v>
      </c>
      <c r="I11" t="s">
        <v>554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554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557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561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t="s">
        <v>554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554</v>
      </c>
      <c r="S13" s="22"/>
      <c r="T13" s="21"/>
      <c r="U13" s="21"/>
      <c r="V13" s="21"/>
      <c r="W13" s="21"/>
      <c r="X13" s="21"/>
      <c r="Y13" s="21"/>
      <c r="Z13" s="21"/>
      <c r="AC13" t="s">
        <v>367</v>
      </c>
      <c r="AD13" t="s">
        <v>366</v>
      </c>
      <c r="AE13" t="s">
        <v>368</v>
      </c>
      <c r="AF13" t="s">
        <v>369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556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565</v>
      </c>
      <c r="S14" s="22"/>
      <c r="T14" s="21"/>
      <c r="U14" s="21"/>
      <c r="V14" s="21"/>
      <c r="W14" s="21"/>
      <c r="X14" s="21"/>
      <c r="Y14" s="21"/>
      <c r="Z14" s="21"/>
      <c r="AB14" t="s">
        <v>370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t="s">
        <v>554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371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555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372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410</v>
      </c>
      <c r="AD19" t="s">
        <v>411</v>
      </c>
      <c r="AE19" t="s">
        <v>412</v>
      </c>
      <c r="AF19" t="s">
        <v>413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370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371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372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 t="s">
        <v>558</v>
      </c>
      <c r="D25" s="24">
        <v>-1</v>
      </c>
      <c r="E25" s="24">
        <v>3</v>
      </c>
      <c r="F25" s="23" t="s">
        <v>557</v>
      </c>
      <c r="G25" s="23"/>
      <c r="H25" s="23">
        <v>8</v>
      </c>
      <c r="I25" t="s">
        <v>563</v>
      </c>
      <c r="J25" s="20">
        <v>-1</v>
      </c>
      <c r="K25" s="20">
        <v>1</v>
      </c>
      <c r="L25" s="19" t="s">
        <v>558</v>
      </c>
      <c r="M25" s="20">
        <v>-1</v>
      </c>
      <c r="N25" s="20">
        <v>2</v>
      </c>
      <c r="O25" s="19" t="s">
        <v>557</v>
      </c>
      <c r="P25" s="20">
        <v>-1</v>
      </c>
      <c r="Q25" s="19">
        <v>6</v>
      </c>
      <c r="R25" t="s">
        <v>566</v>
      </c>
      <c r="S25" s="22">
        <v>-1</v>
      </c>
      <c r="T25" s="22">
        <v>1</v>
      </c>
      <c r="U25" s="21" t="s">
        <v>558</v>
      </c>
      <c r="V25" s="22">
        <v>-1</v>
      </c>
      <c r="W25" s="22">
        <v>2</v>
      </c>
      <c r="X25" s="21" t="s">
        <v>557</v>
      </c>
      <c r="Y25" s="22">
        <v>-1</v>
      </c>
      <c r="Z25" s="21">
        <v>5</v>
      </c>
      <c r="AA25" t="s">
        <v>555</v>
      </c>
    </row>
    <row r="26" spans="1:32" x14ac:dyDescent="0.2">
      <c r="A26" s="23"/>
      <c r="B26" s="24">
        <v>2</v>
      </c>
      <c r="C26" s="23" t="s">
        <v>556</v>
      </c>
      <c r="D26" s="24"/>
      <c r="E26" s="24">
        <v>4</v>
      </c>
      <c r="F26" s="23" t="s">
        <v>559</v>
      </c>
      <c r="G26" s="23"/>
      <c r="H26" s="23">
        <v>9</v>
      </c>
      <c r="I26" t="s">
        <v>556</v>
      </c>
      <c r="J26" s="20"/>
      <c r="K26" s="20"/>
      <c r="L26" s="19"/>
      <c r="M26" s="20"/>
      <c r="N26" s="20">
        <v>3</v>
      </c>
      <c r="O26" s="19" t="s">
        <v>559</v>
      </c>
      <c r="P26" s="19"/>
      <c r="Q26" s="19">
        <v>7</v>
      </c>
      <c r="R26" t="s">
        <v>558</v>
      </c>
      <c r="S26" s="22"/>
      <c r="T26" s="22"/>
      <c r="U26" s="21"/>
      <c r="V26" s="22"/>
      <c r="W26" s="22">
        <v>3</v>
      </c>
      <c r="X26" s="21" t="s">
        <v>558</v>
      </c>
      <c r="Y26" s="21"/>
      <c r="Z26" s="21">
        <v>6</v>
      </c>
      <c r="AA26" t="s">
        <v>558</v>
      </c>
    </row>
    <row r="27" spans="1:32" x14ac:dyDescent="0.2">
      <c r="A27" s="24"/>
      <c r="B27" s="24"/>
      <c r="C27" s="23"/>
      <c r="D27" s="24"/>
      <c r="E27" s="24">
        <v>5</v>
      </c>
      <c r="F27" s="23" t="s">
        <v>556</v>
      </c>
      <c r="G27" s="23"/>
      <c r="H27" s="23">
        <v>10</v>
      </c>
      <c r="I27" t="s">
        <v>559</v>
      </c>
      <c r="J27" s="20"/>
      <c r="K27" s="20"/>
      <c r="L27" s="19"/>
      <c r="M27" s="20"/>
      <c r="N27" s="20">
        <v>4</v>
      </c>
      <c r="O27" s="19" t="s">
        <v>556</v>
      </c>
      <c r="P27" s="19"/>
      <c r="Q27" s="19">
        <v>8</v>
      </c>
      <c r="R27" t="s">
        <v>557</v>
      </c>
      <c r="S27" s="22"/>
      <c r="T27" s="22"/>
      <c r="U27" s="21"/>
      <c r="V27" s="22"/>
      <c r="W27" s="22">
        <v>4</v>
      </c>
      <c r="X27" s="21" t="s">
        <v>562</v>
      </c>
      <c r="Y27" s="21"/>
      <c r="Z27" s="21">
        <v>7</v>
      </c>
      <c r="AA27" t="s">
        <v>556</v>
      </c>
      <c r="AB27" t="s">
        <v>451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 t="s">
        <v>559</v>
      </c>
      <c r="G28" s="23"/>
      <c r="H28" s="23">
        <v>11</v>
      </c>
      <c r="I28" t="s">
        <v>556</v>
      </c>
      <c r="J28" s="20"/>
      <c r="K28" s="20"/>
      <c r="L28" s="19"/>
      <c r="M28" s="20"/>
      <c r="N28" s="20">
        <v>5</v>
      </c>
      <c r="O28" s="19" t="s">
        <v>562</v>
      </c>
      <c r="P28" s="19"/>
      <c r="Q28" s="19">
        <v>9</v>
      </c>
      <c r="R28" t="s">
        <v>559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555</v>
      </c>
      <c r="AB28" t="s">
        <v>452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562</v>
      </c>
      <c r="G29" s="23"/>
      <c r="H29" s="23">
        <v>12</v>
      </c>
      <c r="I29" t="s">
        <v>558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561</v>
      </c>
      <c r="S29" s="21"/>
      <c r="T29" s="21"/>
      <c r="U29" s="21"/>
      <c r="V29" s="22"/>
      <c r="W29" s="22"/>
      <c r="X29" s="21"/>
      <c r="Y29" s="21"/>
      <c r="Z29" s="21"/>
      <c r="AB29" t="s">
        <v>453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556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559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t="s">
        <v>559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566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556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454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563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560</v>
      </c>
      <c r="D45" s="24">
        <v>-1</v>
      </c>
      <c r="E45" s="24">
        <v>4</v>
      </c>
      <c r="F45" s="23" t="s">
        <v>560</v>
      </c>
      <c r="G45" s="23"/>
      <c r="H45" s="23">
        <v>10</v>
      </c>
      <c r="I45" t="s">
        <v>567</v>
      </c>
      <c r="J45" s="20">
        <v>-1</v>
      </c>
      <c r="K45" s="20">
        <v>1</v>
      </c>
      <c r="L45" s="19" t="s">
        <v>560</v>
      </c>
      <c r="M45" s="20">
        <v>-1</v>
      </c>
      <c r="N45" s="20">
        <v>3</v>
      </c>
      <c r="O45" s="19" t="s">
        <v>560</v>
      </c>
      <c r="P45" s="20">
        <v>-1</v>
      </c>
      <c r="Q45" s="20">
        <v>8</v>
      </c>
      <c r="R45" t="s">
        <v>568</v>
      </c>
      <c r="S45" s="22">
        <v>-1</v>
      </c>
      <c r="T45" s="22">
        <v>1</v>
      </c>
      <c r="U45" s="21" t="s">
        <v>560</v>
      </c>
      <c r="V45" s="22">
        <v>-1</v>
      </c>
      <c r="W45" s="22">
        <v>2</v>
      </c>
      <c r="X45" s="21" t="s">
        <v>560</v>
      </c>
      <c r="Y45" s="22">
        <v>-1</v>
      </c>
      <c r="Z45" s="21">
        <v>6</v>
      </c>
      <c r="AA45" t="s">
        <v>569</v>
      </c>
    </row>
    <row r="46" spans="1:27" x14ac:dyDescent="0.2">
      <c r="A46" s="23"/>
      <c r="B46" s="24">
        <v>2</v>
      </c>
      <c r="C46" s="23" t="s">
        <v>480</v>
      </c>
      <c r="D46" s="24"/>
      <c r="E46" s="24">
        <v>5</v>
      </c>
      <c r="F46" s="23" t="s">
        <v>483</v>
      </c>
      <c r="G46" s="23"/>
      <c r="H46" s="23">
        <v>11</v>
      </c>
      <c r="I46" t="s">
        <v>560</v>
      </c>
      <c r="J46" s="20"/>
      <c r="K46" s="20">
        <v>2</v>
      </c>
      <c r="L46" s="19" t="s">
        <v>480</v>
      </c>
      <c r="M46" s="20"/>
      <c r="N46" s="20">
        <v>4</v>
      </c>
      <c r="O46" s="19" t="s">
        <v>483</v>
      </c>
      <c r="P46" s="19"/>
      <c r="Q46" s="19">
        <v>9</v>
      </c>
      <c r="R46" t="s">
        <v>560</v>
      </c>
      <c r="S46" s="22"/>
      <c r="T46" s="22"/>
      <c r="U46" s="21"/>
      <c r="V46" s="22"/>
      <c r="W46" s="22">
        <v>3</v>
      </c>
      <c r="X46" s="21" t="s">
        <v>483</v>
      </c>
      <c r="Y46" s="21"/>
      <c r="Z46" s="21">
        <v>7</v>
      </c>
      <c r="AA46" t="s">
        <v>560</v>
      </c>
    </row>
    <row r="47" spans="1:27" x14ac:dyDescent="0.2">
      <c r="A47" s="24"/>
      <c r="B47" s="24">
        <v>3</v>
      </c>
      <c r="C47" s="23" t="s">
        <v>562</v>
      </c>
      <c r="D47" s="24"/>
      <c r="E47" s="24">
        <v>6</v>
      </c>
      <c r="F47" s="23" t="s">
        <v>479</v>
      </c>
      <c r="G47" s="23"/>
      <c r="H47" s="23">
        <v>12</v>
      </c>
      <c r="I47" t="s">
        <v>480</v>
      </c>
      <c r="J47" s="20"/>
      <c r="K47" s="20"/>
      <c r="L47" s="19"/>
      <c r="M47" s="20"/>
      <c r="N47" s="20">
        <v>5</v>
      </c>
      <c r="O47" s="19" t="s">
        <v>479</v>
      </c>
      <c r="P47" s="19"/>
      <c r="Q47" s="19">
        <v>10</v>
      </c>
      <c r="R47" t="s">
        <v>480</v>
      </c>
      <c r="S47" s="22"/>
      <c r="T47" s="22"/>
      <c r="U47" s="21"/>
      <c r="V47" s="22"/>
      <c r="W47" s="22">
        <v>4</v>
      </c>
      <c r="X47" s="21" t="s">
        <v>479</v>
      </c>
      <c r="Y47" s="21"/>
      <c r="Z47" s="21">
        <v>8</v>
      </c>
      <c r="AA47" t="s">
        <v>483</v>
      </c>
    </row>
    <row r="48" spans="1:27" x14ac:dyDescent="0.2">
      <c r="A48" s="24"/>
      <c r="B48" s="24"/>
      <c r="C48" s="23"/>
      <c r="D48" s="24"/>
      <c r="E48" s="24">
        <v>7</v>
      </c>
      <c r="F48" s="23" t="s">
        <v>483</v>
      </c>
      <c r="G48" s="23"/>
      <c r="H48" s="23">
        <v>13</v>
      </c>
      <c r="I48" t="s">
        <v>479</v>
      </c>
      <c r="J48" s="20"/>
      <c r="K48" s="20"/>
      <c r="L48" s="19"/>
      <c r="M48" s="20"/>
      <c r="N48" s="20">
        <v>6</v>
      </c>
      <c r="O48" s="19" t="s">
        <v>483</v>
      </c>
      <c r="P48" s="19"/>
      <c r="Q48" s="19">
        <v>11</v>
      </c>
      <c r="R48" t="s">
        <v>562</v>
      </c>
      <c r="S48" s="22"/>
      <c r="T48" s="22"/>
      <c r="U48" s="21"/>
      <c r="V48" s="22"/>
      <c r="W48" s="22">
        <v>5</v>
      </c>
      <c r="X48" s="21" t="s">
        <v>483</v>
      </c>
      <c r="Y48" s="21"/>
      <c r="Z48" s="21">
        <v>9</v>
      </c>
      <c r="AA48" t="s">
        <v>562</v>
      </c>
    </row>
    <row r="49" spans="1:27" x14ac:dyDescent="0.2">
      <c r="A49" s="24"/>
      <c r="B49" s="24"/>
      <c r="C49" s="23"/>
      <c r="D49" s="24"/>
      <c r="E49" s="24">
        <v>8</v>
      </c>
      <c r="F49" s="23" t="s">
        <v>479</v>
      </c>
      <c r="G49" s="23"/>
      <c r="H49" s="23">
        <v>14</v>
      </c>
      <c r="I49" t="s">
        <v>483</v>
      </c>
      <c r="J49" s="19"/>
      <c r="K49" s="20"/>
      <c r="L49" s="19"/>
      <c r="M49" s="20"/>
      <c r="N49" s="20">
        <v>7</v>
      </c>
      <c r="O49" s="19" t="s">
        <v>479</v>
      </c>
      <c r="P49" s="19"/>
      <c r="Q49" s="19">
        <v>12</v>
      </c>
      <c r="R49" t="s">
        <v>483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569</v>
      </c>
    </row>
    <row r="50" spans="1:27" x14ac:dyDescent="0.2">
      <c r="A50" s="24"/>
      <c r="B50" s="24"/>
      <c r="C50" s="23"/>
      <c r="D50" s="24"/>
      <c r="E50" s="24">
        <v>9</v>
      </c>
      <c r="F50" s="23" t="s">
        <v>562</v>
      </c>
      <c r="G50" s="23"/>
      <c r="H50" s="23">
        <v>15</v>
      </c>
      <c r="I50" t="s">
        <v>479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479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562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568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t="s">
        <v>480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567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574</v>
      </c>
      <c r="D65" s="24">
        <v>-1</v>
      </c>
      <c r="E65" s="24">
        <v>5</v>
      </c>
      <c r="F65" s="23" t="s">
        <v>577</v>
      </c>
      <c r="G65" s="23"/>
      <c r="H65" s="23">
        <v>12</v>
      </c>
      <c r="I65" t="s">
        <v>571</v>
      </c>
      <c r="J65" s="20">
        <v>-1</v>
      </c>
      <c r="K65" s="20">
        <v>1</v>
      </c>
      <c r="L65" s="19" t="s">
        <v>574</v>
      </c>
      <c r="M65" s="20">
        <v>-1</v>
      </c>
      <c r="N65" s="20">
        <v>4</v>
      </c>
      <c r="O65" s="19" t="s">
        <v>577</v>
      </c>
      <c r="P65" s="20">
        <v>-1</v>
      </c>
      <c r="Q65" s="19">
        <v>10</v>
      </c>
      <c r="R65" t="s">
        <v>572</v>
      </c>
      <c r="S65" s="22">
        <v>-1</v>
      </c>
      <c r="T65" s="22">
        <v>1</v>
      </c>
      <c r="U65" s="21" t="s">
        <v>574</v>
      </c>
      <c r="V65" s="22">
        <v>-1</v>
      </c>
      <c r="W65" s="22">
        <v>2</v>
      </c>
      <c r="X65" s="21" t="s">
        <v>577</v>
      </c>
      <c r="Y65" s="22">
        <v>-1</v>
      </c>
      <c r="Z65" s="22">
        <v>7</v>
      </c>
      <c r="AA65" t="s">
        <v>573</v>
      </c>
    </row>
    <row r="66" spans="1:27" x14ac:dyDescent="0.2">
      <c r="A66" s="23"/>
      <c r="B66" s="24">
        <v>2</v>
      </c>
      <c r="C66" s="23" t="s">
        <v>570</v>
      </c>
      <c r="D66" s="24"/>
      <c r="E66" s="24">
        <v>6</v>
      </c>
      <c r="F66" s="23" t="s">
        <v>570</v>
      </c>
      <c r="G66" s="23"/>
      <c r="H66" s="23">
        <v>13</v>
      </c>
      <c r="I66" t="s">
        <v>574</v>
      </c>
      <c r="J66" s="20"/>
      <c r="K66" s="20">
        <v>2</v>
      </c>
      <c r="L66" s="19" t="s">
        <v>570</v>
      </c>
      <c r="M66" s="20"/>
      <c r="N66" s="20">
        <v>5</v>
      </c>
      <c r="O66" s="19" t="s">
        <v>570</v>
      </c>
      <c r="P66" s="19"/>
      <c r="Q66" s="19">
        <v>11</v>
      </c>
      <c r="R66" t="s">
        <v>574</v>
      </c>
      <c r="S66" s="22"/>
      <c r="T66" s="22"/>
      <c r="U66" s="21"/>
      <c r="V66" s="22"/>
      <c r="W66" s="22">
        <v>3</v>
      </c>
      <c r="X66" s="21" t="s">
        <v>570</v>
      </c>
      <c r="Y66" s="21"/>
      <c r="Z66" s="21">
        <v>8</v>
      </c>
      <c r="AA66" t="s">
        <v>574</v>
      </c>
    </row>
    <row r="67" spans="1:27" x14ac:dyDescent="0.2">
      <c r="A67" s="24"/>
      <c r="B67" s="24">
        <v>3</v>
      </c>
      <c r="C67" s="23" t="s">
        <v>575</v>
      </c>
      <c r="D67" s="24"/>
      <c r="E67" s="24">
        <v>7</v>
      </c>
      <c r="F67" s="23" t="s">
        <v>577</v>
      </c>
      <c r="G67" s="23"/>
      <c r="H67" s="23">
        <v>14</v>
      </c>
      <c r="I67" t="s">
        <v>570</v>
      </c>
      <c r="J67" s="20"/>
      <c r="K67" s="20">
        <v>3</v>
      </c>
      <c r="L67" s="19" t="s">
        <v>576</v>
      </c>
      <c r="M67" s="20"/>
      <c r="N67" s="20">
        <v>6</v>
      </c>
      <c r="O67" s="19" t="s">
        <v>577</v>
      </c>
      <c r="P67" s="19"/>
      <c r="Q67" s="19">
        <v>12</v>
      </c>
      <c r="R67" t="s">
        <v>570</v>
      </c>
      <c r="S67" s="22"/>
      <c r="T67" s="22"/>
      <c r="U67" s="21"/>
      <c r="V67" s="22"/>
      <c r="W67" s="22">
        <v>4</v>
      </c>
      <c r="X67" s="21" t="s">
        <v>577</v>
      </c>
      <c r="Y67" s="21"/>
      <c r="Z67" s="21">
        <v>9</v>
      </c>
      <c r="AA67" t="s">
        <v>570</v>
      </c>
    </row>
    <row r="68" spans="1:27" x14ac:dyDescent="0.2">
      <c r="A68" s="24"/>
      <c r="B68" s="24">
        <v>4</v>
      </c>
      <c r="C68" s="23" t="s">
        <v>576</v>
      </c>
      <c r="D68" s="24"/>
      <c r="E68" s="24">
        <v>8</v>
      </c>
      <c r="F68" s="23" t="s">
        <v>576</v>
      </c>
      <c r="G68" s="23"/>
      <c r="H68" s="23">
        <v>15</v>
      </c>
      <c r="I68" t="s">
        <v>577</v>
      </c>
      <c r="J68" s="20"/>
      <c r="K68" s="20"/>
      <c r="L68" s="19"/>
      <c r="M68" s="20"/>
      <c r="N68" s="20">
        <v>7</v>
      </c>
      <c r="O68" s="19" t="s">
        <v>576</v>
      </c>
      <c r="P68" s="19"/>
      <c r="Q68" s="19">
        <v>13</v>
      </c>
      <c r="R68" t="s">
        <v>577</v>
      </c>
      <c r="S68" s="22"/>
      <c r="T68" s="22"/>
      <c r="U68" s="21"/>
      <c r="V68" s="22"/>
      <c r="W68" s="22">
        <v>5</v>
      </c>
      <c r="X68" s="21" t="s">
        <v>576</v>
      </c>
      <c r="Y68" s="21"/>
      <c r="Z68" s="21">
        <v>10</v>
      </c>
      <c r="AA68" t="s">
        <v>577</v>
      </c>
    </row>
    <row r="69" spans="1:27" x14ac:dyDescent="0.2">
      <c r="A69" s="24"/>
      <c r="B69" s="24"/>
      <c r="C69" s="23"/>
      <c r="D69" s="24"/>
      <c r="E69" s="24">
        <v>9</v>
      </c>
      <c r="F69" s="23" t="s">
        <v>577</v>
      </c>
      <c r="G69" s="23"/>
      <c r="H69" s="23">
        <v>16</v>
      </c>
      <c r="I69" t="s">
        <v>576</v>
      </c>
      <c r="J69" s="19"/>
      <c r="K69" s="20"/>
      <c r="L69" s="19"/>
      <c r="M69" s="20"/>
      <c r="N69" s="20">
        <v>8</v>
      </c>
      <c r="O69" s="19" t="s">
        <v>577</v>
      </c>
      <c r="P69" s="19"/>
      <c r="Q69" s="19">
        <v>14</v>
      </c>
      <c r="R69" t="s">
        <v>576</v>
      </c>
      <c r="S69" s="21"/>
      <c r="T69" s="22"/>
      <c r="U69" s="21"/>
      <c r="V69" s="22"/>
      <c r="W69" s="22">
        <v>6</v>
      </c>
      <c r="X69" s="21" t="s">
        <v>577</v>
      </c>
      <c r="Y69" s="21"/>
      <c r="Z69" s="21">
        <v>11</v>
      </c>
      <c r="AA69" t="s">
        <v>576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576</v>
      </c>
      <c r="G70" s="23"/>
      <c r="H70" s="23">
        <v>17</v>
      </c>
      <c r="I70" t="s">
        <v>570</v>
      </c>
      <c r="J70" s="20"/>
      <c r="K70" s="20"/>
      <c r="L70" s="19"/>
      <c r="M70" s="20"/>
      <c r="N70" s="19">
        <v>9</v>
      </c>
      <c r="O70" s="19" t="s">
        <v>576</v>
      </c>
      <c r="P70" s="19"/>
      <c r="Q70" s="19">
        <v>15</v>
      </c>
      <c r="R70" t="s">
        <v>570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573</v>
      </c>
    </row>
    <row r="71" spans="1:27" x14ac:dyDescent="0.2">
      <c r="A71" s="24"/>
      <c r="B71" s="24"/>
      <c r="C71" s="23"/>
      <c r="D71" s="24"/>
      <c r="E71" s="24">
        <v>11</v>
      </c>
      <c r="F71" s="23" t="s">
        <v>570</v>
      </c>
      <c r="G71" s="23"/>
      <c r="H71" s="23">
        <v>18</v>
      </c>
      <c r="I71" t="s">
        <v>574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572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576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571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Review</vt:lpstr>
      <vt:lpstr>剧本精细设计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2022-04-11T13:18:52Z</dcterms:modified>
</cp:coreProperties>
</file>